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Z:\02 USUARIOS\R. MERY\MIS COMPARTIDAS\COMPARTIDAS\EDUCACIONAL\TARIFAS\TARIFAS 2025\TARIFAS FINALES 2025\"/>
    </mc:Choice>
  </mc:AlternateContent>
  <xr:revisionPtr revIDLastSave="0" documentId="13_ncr:1_{87EE5D4B-B24C-425B-925B-3492DB52F839}" xr6:coauthVersionLast="47" xr6:coauthVersionMax="47" xr10:uidLastSave="{00000000-0000-0000-0000-000000000000}"/>
  <bookViews>
    <workbookView xWindow="-120" yWindow="-120" windowWidth="29040" windowHeight="15840" tabRatio="929" activeTab="2" xr2:uid="{00000000-000D-0000-FFFF-FFFF00000000}"/>
  </bookViews>
  <sheets>
    <sheet name="Instrucciones" sheetId="17" r:id="rId1"/>
    <sheet name="Índice Tablas" sheetId="11" r:id="rId2"/>
    <sheet name="A) Resumen Ingresos y Egresos" sheetId="2" r:id="rId3"/>
    <sheet name="B) Reajuste Tarifas y Ocupación" sheetId="7" r:id="rId4"/>
    <sheet name="C) Costos Directos" sheetId="3" r:id="rId5"/>
    <sheet name="D) Costos Indirectos" sheetId="13" r:id="rId6"/>
    <sheet name="E) Resumen Tarifado " sheetId="5" r:id="rId7"/>
    <sheet name="F) Remuneraciones" sheetId="12" r:id="rId8"/>
    <sheet name="G) Comparación Mercado" sheetId="1" r:id="rId9"/>
    <sheet name="H) Detalle Datos" sheetId="9" r:id="rId10"/>
    <sheet name="I) Proyección Mensual" sheetId="15" r:id="rId11"/>
  </sheets>
  <externalReferences>
    <externalReference r:id="rId12"/>
  </externalReferences>
  <definedNames>
    <definedName name="__xlnm_Print_Area">'A) Resumen Ingresos y Egresos'!$A$1:$N$32</definedName>
    <definedName name="__xlnm_Print_Area_1">'C) Costos Directos'!$A$1:$H$38</definedName>
    <definedName name="__xlnm_Print_Area_2">'E) Resumen Tarifado '!$A$4:$G$11</definedName>
    <definedName name="__xlnm_Print_Titles">'A) Resumen Ingresos y Egresos'!$1:$25</definedName>
    <definedName name="__xlnm_Print_Titles_1">'C) Costos Directos'!$1:$11</definedName>
    <definedName name="__xlnm_Print_Titles_2">NA()</definedName>
    <definedName name="_xlnm.Print_Area" localSheetId="2">'A) Resumen Ingresos y Egresos'!$A$1:$N$32</definedName>
    <definedName name="_xlnm.Print_Area" localSheetId="4">'C) Costos Directos'!$A$1:$H$75</definedName>
    <definedName name="_xlnm.Print_Area" localSheetId="6">'E) Resumen Tarifado '!$A$4:$G$11</definedName>
    <definedName name="bienique1">'A) Resumen Ingresos y Egresos'!$A$8</definedName>
    <definedName name="Excel_BuiltIn_Print_Area" localSheetId="4">'C) Costos Directos'!$A$1:$H$38</definedName>
    <definedName name="Excel_BuiltIn_Print_Area_1_1">NA()</definedName>
    <definedName name="Excel_BuiltIn_Print_Area_4_1">NA()</definedName>
    <definedName name="Excel_BuiltIn_Print_Area_5_1">NA()</definedName>
    <definedName name="Excel_BuiltIn_Print_Titles_4">NA()</definedName>
    <definedName name="Excel_BuiltIn_Print_Titles_5">NA()</definedName>
    <definedName name="_xlnm.Print_Titles" localSheetId="2">'A) Resumen Ingresos y Egresos'!$1:$25</definedName>
    <definedName name="_xlnm.Print_Titles" localSheetId="4">'C) Costos Directos'!$1:$11</definedName>
  </definedNames>
  <calcPr calcId="181029"/>
</workbook>
</file>

<file path=xl/calcChain.xml><?xml version="1.0" encoding="utf-8"?>
<calcChain xmlns="http://schemas.openxmlformats.org/spreadsheetml/2006/main">
  <c r="G11" i="12" l="1"/>
  <c r="G116" i="12"/>
  <c r="H116" i="12" s="1"/>
  <c r="K116" i="12" s="1"/>
  <c r="P47" i="2"/>
  <c r="P44" i="2"/>
  <c r="P40" i="2"/>
  <c r="H145" i="12"/>
  <c r="K145" i="12" s="1"/>
  <c r="H144" i="12"/>
  <c r="K144" i="12" s="1"/>
  <c r="H143" i="12"/>
  <c r="K143" i="12" s="1"/>
  <c r="H142" i="12"/>
  <c r="K142" i="12" s="1"/>
  <c r="H141" i="12"/>
  <c r="K141" i="12" s="1"/>
  <c r="H140" i="12"/>
  <c r="K140" i="12" s="1"/>
  <c r="H139" i="12"/>
  <c r="K139" i="12" s="1"/>
  <c r="H138" i="12"/>
  <c r="K138" i="12" s="1"/>
  <c r="H137" i="12"/>
  <c r="K137" i="12" s="1"/>
  <c r="H136" i="12"/>
  <c r="K136" i="12" s="1"/>
  <c r="H135" i="12"/>
  <c r="K135" i="12" s="1"/>
  <c r="H134" i="12"/>
  <c r="K134" i="12" s="1"/>
  <c r="H133" i="12"/>
  <c r="K133" i="12" s="1"/>
  <c r="H132" i="12"/>
  <c r="K132" i="12" s="1"/>
  <c r="H131" i="12"/>
  <c r="K131" i="12" s="1"/>
  <c r="B131" i="12"/>
  <c r="H130" i="12"/>
  <c r="K130" i="12" s="1"/>
  <c r="H129" i="12"/>
  <c r="K129" i="12" s="1"/>
  <c r="H128" i="12"/>
  <c r="K128" i="12" s="1"/>
  <c r="H127" i="12"/>
  <c r="K127" i="12" s="1"/>
  <c r="H126" i="12"/>
  <c r="K126" i="12" s="1"/>
  <c r="G125" i="12"/>
  <c r="H125" i="12" s="1"/>
  <c r="K125" i="12" s="1"/>
  <c r="H124" i="12"/>
  <c r="K124" i="12" s="1"/>
  <c r="H123" i="12"/>
  <c r="K123" i="12" s="1"/>
  <c r="H122" i="12"/>
  <c r="K122" i="12" s="1"/>
  <c r="H121" i="12"/>
  <c r="K121" i="12" s="1"/>
  <c r="H120" i="12"/>
  <c r="K120" i="12" s="1"/>
  <c r="H119" i="12"/>
  <c r="K119" i="12" s="1"/>
  <c r="H118" i="12"/>
  <c r="K118" i="12" s="1"/>
  <c r="H117" i="12"/>
  <c r="K117" i="12" s="1"/>
  <c r="H115" i="12"/>
  <c r="K115" i="12" s="1"/>
  <c r="H114" i="12"/>
  <c r="K114" i="12" s="1"/>
  <c r="G113" i="12"/>
  <c r="H113" i="12" s="1"/>
  <c r="K113" i="12" s="1"/>
  <c r="H112" i="12"/>
  <c r="K112" i="12" s="1"/>
  <c r="H111" i="12"/>
  <c r="K111" i="12" s="1"/>
  <c r="K110" i="12"/>
  <c r="H110" i="12"/>
  <c r="H109" i="12"/>
  <c r="K109" i="12" s="1"/>
  <c r="K108" i="12"/>
  <c r="H108" i="12"/>
  <c r="H107" i="12"/>
  <c r="K107" i="12" s="1"/>
  <c r="H106" i="12"/>
  <c r="K106" i="12" s="1"/>
  <c r="H105" i="12"/>
  <c r="K105" i="12" s="1"/>
  <c r="H104" i="12"/>
  <c r="K104" i="12" s="1"/>
  <c r="H103" i="12"/>
  <c r="K103" i="12" s="1"/>
  <c r="B103" i="12"/>
  <c r="B88" i="12"/>
  <c r="H87" i="12"/>
  <c r="K87" i="12" s="1"/>
  <c r="H86" i="12"/>
  <c r="K86" i="12" s="1"/>
  <c r="H85" i="12"/>
  <c r="K85" i="12" s="1"/>
  <c r="H84" i="12"/>
  <c r="K84" i="12" s="1"/>
  <c r="H83" i="12"/>
  <c r="K83" i="12" s="1"/>
  <c r="H82" i="12"/>
  <c r="K82" i="12" s="1"/>
  <c r="G81" i="12"/>
  <c r="H81" i="12" s="1"/>
  <c r="K81" i="12" s="1"/>
  <c r="K80" i="12"/>
  <c r="H80" i="12"/>
  <c r="H79" i="12"/>
  <c r="K79" i="12" s="1"/>
  <c r="K78" i="12"/>
  <c r="H78" i="12"/>
  <c r="H77" i="12"/>
  <c r="K77" i="12" s="1"/>
  <c r="H76" i="12"/>
  <c r="K76" i="12" s="1"/>
  <c r="H75" i="12"/>
  <c r="K75" i="12" s="1"/>
  <c r="H74" i="12"/>
  <c r="K74" i="12" s="1"/>
  <c r="H73" i="12"/>
  <c r="K73" i="12" s="1"/>
  <c r="B73" i="12"/>
  <c r="H70" i="12"/>
  <c r="K70" i="12" s="1"/>
  <c r="H69" i="12"/>
  <c r="K69" i="12" s="1"/>
  <c r="H68" i="12"/>
  <c r="K68" i="12" s="1"/>
  <c r="H67" i="12"/>
  <c r="K67" i="12" s="1"/>
  <c r="H66" i="12"/>
  <c r="K66" i="12" s="1"/>
  <c r="H65" i="12"/>
  <c r="K65" i="12" s="1"/>
  <c r="H64" i="12"/>
  <c r="K64" i="12" s="1"/>
  <c r="H63" i="12"/>
  <c r="K63" i="12" s="1"/>
  <c r="H62" i="12"/>
  <c r="K62" i="12" s="1"/>
  <c r="H61" i="12"/>
  <c r="K61" i="12" s="1"/>
  <c r="H60" i="12"/>
  <c r="K60" i="12" s="1"/>
  <c r="H59" i="12"/>
  <c r="K59" i="12" s="1"/>
  <c r="B59" i="12"/>
  <c r="K58" i="12"/>
  <c r="H58" i="12"/>
  <c r="H57" i="12"/>
  <c r="K57" i="12" s="1"/>
  <c r="H56" i="12"/>
  <c r="K56" i="12" s="1"/>
  <c r="H55" i="12"/>
  <c r="K55" i="12" s="1"/>
  <c r="H54" i="12"/>
  <c r="K54" i="12" s="1"/>
  <c r="H53" i="12"/>
  <c r="K53" i="12" s="1"/>
  <c r="B53" i="12"/>
  <c r="H52" i="12"/>
  <c r="K52" i="12" s="1"/>
  <c r="H49" i="12"/>
  <c r="K49" i="12" s="1"/>
  <c r="H48" i="12"/>
  <c r="K48" i="12" s="1"/>
  <c r="H47" i="12"/>
  <c r="K47" i="12" s="1"/>
  <c r="H46" i="12"/>
  <c r="K46" i="12" s="1"/>
  <c r="H45" i="12"/>
  <c r="K45" i="12" s="1"/>
  <c r="H44" i="12"/>
  <c r="K44" i="12" s="1"/>
  <c r="H43" i="12"/>
  <c r="K43" i="12" s="1"/>
  <c r="H42" i="12"/>
  <c r="K42" i="12" s="1"/>
  <c r="H41" i="12"/>
  <c r="K41" i="12" s="1"/>
  <c r="H40" i="12"/>
  <c r="K40" i="12" s="1"/>
  <c r="H39" i="12"/>
  <c r="K39" i="12" s="1"/>
  <c r="H38" i="12"/>
  <c r="K38" i="12" s="1"/>
  <c r="H37" i="12"/>
  <c r="K37" i="12" s="1"/>
  <c r="H36" i="12"/>
  <c r="K36" i="12" s="1"/>
  <c r="H35" i="12"/>
  <c r="K35" i="12" s="1"/>
  <c r="H34" i="12"/>
  <c r="K34" i="12" s="1"/>
  <c r="H33" i="12"/>
  <c r="K33" i="12" s="1"/>
  <c r="H32" i="12"/>
  <c r="K32" i="12" s="1"/>
  <c r="B32" i="12"/>
  <c r="H31" i="12"/>
  <c r="K31" i="12" s="1"/>
  <c r="H30" i="12"/>
  <c r="K30" i="12" s="1"/>
  <c r="H29" i="12"/>
  <c r="K29" i="12" s="1"/>
  <c r="H28" i="12"/>
  <c r="K28" i="12" s="1"/>
  <c r="H27" i="12"/>
  <c r="K27" i="12" s="1"/>
  <c r="H26" i="12"/>
  <c r="K26" i="12" s="1"/>
  <c r="H25" i="12"/>
  <c r="K25" i="12" s="1"/>
  <c r="H24" i="12"/>
  <c r="K24" i="12" s="1"/>
  <c r="G23" i="12"/>
  <c r="H23" i="12" s="1"/>
  <c r="K23" i="12" s="1"/>
  <c r="H22" i="12"/>
  <c r="K22" i="12" s="1"/>
  <c r="H21" i="12"/>
  <c r="K21" i="12" s="1"/>
  <c r="J20" i="12"/>
  <c r="G20" i="12"/>
  <c r="H20" i="12" s="1"/>
  <c r="H19" i="12"/>
  <c r="K19" i="12" s="1"/>
  <c r="H18" i="12"/>
  <c r="K18" i="12" s="1"/>
  <c r="H17" i="12"/>
  <c r="K17" i="12" s="1"/>
  <c r="H16" i="12"/>
  <c r="K16" i="12" s="1"/>
  <c r="H15" i="12"/>
  <c r="K15" i="12" s="1"/>
  <c r="H14" i="12"/>
  <c r="K14" i="12" s="1"/>
  <c r="H13" i="12"/>
  <c r="K13" i="12" s="1"/>
  <c r="H12" i="12"/>
  <c r="K12" i="12" s="1"/>
  <c r="H11" i="12"/>
  <c r="K11" i="12" s="1"/>
  <c r="B11" i="12"/>
  <c r="E4" i="12"/>
  <c r="G536" i="3"/>
  <c r="D535" i="3"/>
  <c r="G534" i="3"/>
  <c r="G533" i="3"/>
  <c r="G532" i="3"/>
  <c r="G531" i="3"/>
  <c r="G530" i="3"/>
  <c r="G529" i="3"/>
  <c r="G528" i="3"/>
  <c r="G526" i="3"/>
  <c r="G525" i="3"/>
  <c r="G524" i="3"/>
  <c r="G523" i="3"/>
  <c r="H523" i="3" s="1"/>
  <c r="G522" i="3"/>
  <c r="G521" i="3"/>
  <c r="G520" i="3"/>
  <c r="G519" i="3"/>
  <c r="G517" i="3"/>
  <c r="G516" i="3"/>
  <c r="G515" i="3"/>
  <c r="G514" i="3"/>
  <c r="G513" i="3"/>
  <c r="G512" i="3"/>
  <c r="G511" i="3"/>
  <c r="G510" i="3"/>
  <c r="G508" i="3"/>
  <c r="G507" i="3" s="1"/>
  <c r="G506" i="3"/>
  <c r="G505" i="3"/>
  <c r="G504" i="3"/>
  <c r="H504" i="3" s="1"/>
  <c r="G500" i="3"/>
  <c r="G499" i="3"/>
  <c r="G498" i="3"/>
  <c r="D498" i="3"/>
  <c r="H498" i="3" s="1"/>
  <c r="G497" i="3"/>
  <c r="G496" i="3"/>
  <c r="G495" i="3"/>
  <c r="G494" i="3"/>
  <c r="G493" i="3"/>
  <c r="G492" i="3"/>
  <c r="G491" i="3"/>
  <c r="G490" i="3"/>
  <c r="G489" i="3"/>
  <c r="G488" i="3"/>
  <c r="G487" i="3"/>
  <c r="G486" i="3"/>
  <c r="G485" i="3"/>
  <c r="G484" i="3"/>
  <c r="D484" i="3"/>
  <c r="H484" i="3" s="1"/>
  <c r="G483" i="3"/>
  <c r="H483" i="3" s="1"/>
  <c r="F482" i="3"/>
  <c r="F481" i="3"/>
  <c r="H479" i="3"/>
  <c r="G479" i="3"/>
  <c r="G478" i="3"/>
  <c r="G475" i="3" s="1"/>
  <c r="H477" i="3"/>
  <c r="G477" i="3"/>
  <c r="G476" i="3"/>
  <c r="D476" i="3"/>
  <c r="D475" i="3" s="1"/>
  <c r="G470" i="3"/>
  <c r="G469" i="3" s="1"/>
  <c r="D469" i="3"/>
  <c r="G468" i="3"/>
  <c r="G467" i="3"/>
  <c r="G466" i="3"/>
  <c r="G465" i="3"/>
  <c r="G464" i="3"/>
  <c r="G463" i="3"/>
  <c r="G462" i="3"/>
  <c r="G460" i="3"/>
  <c r="G459" i="3"/>
  <c r="G458" i="3"/>
  <c r="N457" i="3"/>
  <c r="D534" i="3" s="1"/>
  <c r="H534" i="3" s="1"/>
  <c r="M457" i="3"/>
  <c r="D468" i="3" s="1"/>
  <c r="H468" i="3" s="1"/>
  <c r="F457" i="3"/>
  <c r="G457" i="3" s="1"/>
  <c r="H457" i="3" s="1"/>
  <c r="G456" i="3"/>
  <c r="M455" i="3"/>
  <c r="G455" i="3"/>
  <c r="D455" i="3"/>
  <c r="M454" i="3"/>
  <c r="D465" i="3" s="1"/>
  <c r="H465" i="3" s="1"/>
  <c r="G454" i="3"/>
  <c r="M453" i="3"/>
  <c r="G453" i="3"/>
  <c r="M452" i="3"/>
  <c r="D463" i="3" s="1"/>
  <c r="H463" i="3" s="1"/>
  <c r="M451" i="3"/>
  <c r="G451" i="3"/>
  <c r="G450" i="3"/>
  <c r="M449" i="3"/>
  <c r="G449" i="3"/>
  <c r="M448" i="3"/>
  <c r="D459" i="3" s="1"/>
  <c r="H459" i="3" s="1"/>
  <c r="G448" i="3"/>
  <c r="M447" i="3"/>
  <c r="G447" i="3"/>
  <c r="G446" i="3"/>
  <c r="M445" i="3"/>
  <c r="N445" i="3" s="1"/>
  <c r="D521" i="3" s="1"/>
  <c r="H521" i="3" s="1"/>
  <c r="G445" i="3"/>
  <c r="M444" i="3"/>
  <c r="N444" i="3" s="1"/>
  <c r="D520" i="3" s="1"/>
  <c r="H520" i="3" s="1"/>
  <c r="G444" i="3"/>
  <c r="G443" i="3" s="1"/>
  <c r="N443" i="3"/>
  <c r="D519" i="3" s="1"/>
  <c r="M443" i="3"/>
  <c r="D453" i="3" s="1"/>
  <c r="G442" i="3"/>
  <c r="L441" i="3"/>
  <c r="M441" i="3" s="1"/>
  <c r="D451" i="3" s="1"/>
  <c r="G441" i="3"/>
  <c r="L440" i="3"/>
  <c r="M440" i="3" s="1"/>
  <c r="G440" i="3"/>
  <c r="L439" i="3"/>
  <c r="M439" i="3" s="1"/>
  <c r="D449" i="3" s="1"/>
  <c r="H449" i="3" s="1"/>
  <c r="G439" i="3"/>
  <c r="L438" i="3"/>
  <c r="M438" i="3" s="1"/>
  <c r="N438" i="3" s="1"/>
  <c r="D514" i="3" s="1"/>
  <c r="H514" i="3" s="1"/>
  <c r="M436" i="3"/>
  <c r="N434" i="3"/>
  <c r="D510" i="3" s="1"/>
  <c r="M434" i="3"/>
  <c r="D444" i="3" s="1"/>
  <c r="G434" i="3"/>
  <c r="D434" i="3"/>
  <c r="H434" i="3" s="1"/>
  <c r="G433" i="3"/>
  <c r="N432" i="3"/>
  <c r="D508" i="3" s="1"/>
  <c r="M432" i="3"/>
  <c r="D442" i="3" s="1"/>
  <c r="G432" i="3"/>
  <c r="G431" i="3"/>
  <c r="G430" i="3"/>
  <c r="L429" i="3"/>
  <c r="M429" i="3" s="1"/>
  <c r="G429" i="3"/>
  <c r="G428" i="3"/>
  <c r="G427" i="3"/>
  <c r="N426" i="3"/>
  <c r="D500" i="3" s="1"/>
  <c r="H500" i="3" s="1"/>
  <c r="M426" i="3"/>
  <c r="G426" i="3"/>
  <c r="D426" i="3"/>
  <c r="H426" i="3" s="1"/>
  <c r="N425" i="3"/>
  <c r="D499" i="3" s="1"/>
  <c r="H499" i="3" s="1"/>
  <c r="L425" i="3"/>
  <c r="M425" i="3" s="1"/>
  <c r="D433" i="3" s="1"/>
  <c r="H433" i="3" s="1"/>
  <c r="G425" i="3"/>
  <c r="N424" i="3"/>
  <c r="M424" i="3"/>
  <c r="D432" i="3" s="1"/>
  <c r="H432" i="3" s="1"/>
  <c r="G424" i="3"/>
  <c r="N423" i="3"/>
  <c r="D497" i="3" s="1"/>
  <c r="M423" i="3"/>
  <c r="D431" i="3" s="1"/>
  <c r="H431" i="3" s="1"/>
  <c r="G423" i="3"/>
  <c r="N422" i="3"/>
  <c r="D496" i="3" s="1"/>
  <c r="M422" i="3"/>
  <c r="D430" i="3" s="1"/>
  <c r="H430" i="3" s="1"/>
  <c r="G422" i="3"/>
  <c r="N421" i="3"/>
  <c r="D495" i="3" s="1"/>
  <c r="H495" i="3" s="1"/>
  <c r="M421" i="3"/>
  <c r="D429" i="3" s="1"/>
  <c r="H429" i="3" s="1"/>
  <c r="G421" i="3"/>
  <c r="N420" i="3"/>
  <c r="D494" i="3" s="1"/>
  <c r="H494" i="3" s="1"/>
  <c r="M420" i="3"/>
  <c r="D428" i="3" s="1"/>
  <c r="H428" i="3" s="1"/>
  <c r="G420" i="3"/>
  <c r="N419" i="3"/>
  <c r="D493" i="3" s="1"/>
  <c r="H493" i="3" s="1"/>
  <c r="M419" i="3"/>
  <c r="D427" i="3" s="1"/>
  <c r="H427" i="3" s="1"/>
  <c r="G419" i="3"/>
  <c r="N418" i="3"/>
  <c r="D492" i="3" s="1"/>
  <c r="H492" i="3" s="1"/>
  <c r="M418" i="3"/>
  <c r="G418" i="3"/>
  <c r="N417" i="3"/>
  <c r="D491" i="3" s="1"/>
  <c r="M417" i="3"/>
  <c r="D425" i="3" s="1"/>
  <c r="H425" i="3" s="1"/>
  <c r="F417" i="3"/>
  <c r="M416" i="3"/>
  <c r="D424" i="3" s="1"/>
  <c r="H424" i="3" s="1"/>
  <c r="L416" i="3"/>
  <c r="N416" i="3" s="1"/>
  <c r="D490" i="3" s="1"/>
  <c r="F416" i="3"/>
  <c r="L415" i="3"/>
  <c r="F415" i="3"/>
  <c r="L414" i="3"/>
  <c r="M414" i="3" s="1"/>
  <c r="D422" i="3" s="1"/>
  <c r="L413" i="3"/>
  <c r="M413" i="3" s="1"/>
  <c r="D421" i="3" s="1"/>
  <c r="H421" i="3" s="1"/>
  <c r="F413" i="3"/>
  <c r="N412" i="3"/>
  <c r="D486" i="3" s="1"/>
  <c r="H486" i="3" s="1"/>
  <c r="M412" i="3"/>
  <c r="D420" i="3" s="1"/>
  <c r="H412" i="3"/>
  <c r="G412" i="3"/>
  <c r="N411" i="3"/>
  <c r="D485" i="3" s="1"/>
  <c r="H485" i="3" s="1"/>
  <c r="M411" i="3"/>
  <c r="D419" i="3" s="1"/>
  <c r="H419" i="3" s="1"/>
  <c r="G411" i="3"/>
  <c r="H411" i="3" s="1"/>
  <c r="N410" i="3"/>
  <c r="M410" i="3"/>
  <c r="D418" i="3" s="1"/>
  <c r="G410" i="3"/>
  <c r="D410" i="3"/>
  <c r="H410" i="3" s="1"/>
  <c r="G404" i="3"/>
  <c r="H404" i="3" s="1"/>
  <c r="H403" i="3" s="1"/>
  <c r="G403" i="3"/>
  <c r="D403" i="3"/>
  <c r="G402" i="3"/>
  <c r="D402" i="3"/>
  <c r="G401" i="3"/>
  <c r="D401" i="3"/>
  <c r="G400" i="3"/>
  <c r="D400" i="3"/>
  <c r="H400" i="3" s="1"/>
  <c r="G399" i="3"/>
  <c r="D399" i="3"/>
  <c r="H398" i="3"/>
  <c r="G398" i="3"/>
  <c r="D398" i="3"/>
  <c r="G397" i="3"/>
  <c r="D397" i="3"/>
  <c r="G396" i="3"/>
  <c r="D396" i="3"/>
  <c r="H396" i="3" s="1"/>
  <c r="G395" i="3"/>
  <c r="H394" i="3"/>
  <c r="G394" i="3"/>
  <c r="D394" i="3"/>
  <c r="G393" i="3"/>
  <c r="D393" i="3"/>
  <c r="G392" i="3"/>
  <c r="D392" i="3"/>
  <c r="H392" i="3" s="1"/>
  <c r="G391" i="3"/>
  <c r="H391" i="3" s="1"/>
  <c r="G390" i="3"/>
  <c r="H390" i="3" s="1"/>
  <c r="D390" i="3"/>
  <c r="G389" i="3"/>
  <c r="D389" i="3"/>
  <c r="H389" i="3" s="1"/>
  <c r="G388" i="3"/>
  <c r="D388" i="3"/>
  <c r="H388" i="3" s="1"/>
  <c r="H387" i="3"/>
  <c r="G387" i="3"/>
  <c r="D387" i="3"/>
  <c r="G385" i="3"/>
  <c r="D385" i="3"/>
  <c r="H385" i="3" s="1"/>
  <c r="G384" i="3"/>
  <c r="D384" i="3"/>
  <c r="H384" i="3" s="1"/>
  <c r="G383" i="3"/>
  <c r="D383" i="3"/>
  <c r="H382" i="3"/>
  <c r="G382" i="3"/>
  <c r="D382" i="3"/>
  <c r="G381" i="3"/>
  <c r="D381" i="3"/>
  <c r="H381" i="3" s="1"/>
  <c r="G380" i="3"/>
  <c r="D380" i="3"/>
  <c r="H380" i="3" s="1"/>
  <c r="G379" i="3"/>
  <c r="D379" i="3"/>
  <c r="G378" i="3"/>
  <c r="D378" i="3"/>
  <c r="G376" i="3"/>
  <c r="D376" i="3"/>
  <c r="G375" i="3"/>
  <c r="G374" i="3"/>
  <c r="D374" i="3"/>
  <c r="G373" i="3"/>
  <c r="D373" i="3"/>
  <c r="H373" i="3" s="1"/>
  <c r="G372" i="3"/>
  <c r="H372" i="3" s="1"/>
  <c r="G371" i="3"/>
  <c r="D370" i="3"/>
  <c r="G368" i="3"/>
  <c r="D368" i="3"/>
  <c r="G367" i="3"/>
  <c r="D367" i="3"/>
  <c r="H367" i="3" s="1"/>
  <c r="G366" i="3"/>
  <c r="D366" i="3"/>
  <c r="H365" i="3"/>
  <c r="G365" i="3"/>
  <c r="D365" i="3"/>
  <c r="G364" i="3"/>
  <c r="D364" i="3"/>
  <c r="G363" i="3"/>
  <c r="D363" i="3"/>
  <c r="H363" i="3" s="1"/>
  <c r="G362" i="3"/>
  <c r="D362" i="3"/>
  <c r="G361" i="3"/>
  <c r="D361" i="3"/>
  <c r="G360" i="3"/>
  <c r="D360" i="3"/>
  <c r="G359" i="3"/>
  <c r="D359" i="3"/>
  <c r="H359" i="3" s="1"/>
  <c r="G358" i="3"/>
  <c r="H358" i="3" s="1"/>
  <c r="D358" i="3"/>
  <c r="G357" i="3"/>
  <c r="D357" i="3"/>
  <c r="H357" i="3" s="1"/>
  <c r="G356" i="3"/>
  <c r="D356" i="3"/>
  <c r="G355" i="3"/>
  <c r="D355" i="3"/>
  <c r="H355" i="3" s="1"/>
  <c r="G354" i="3"/>
  <c r="H354" i="3" s="1"/>
  <c r="D354" i="3"/>
  <c r="G353" i="3"/>
  <c r="D353" i="3"/>
  <c r="H353" i="3" s="1"/>
  <c r="G352" i="3"/>
  <c r="D352" i="3"/>
  <c r="G351" i="3"/>
  <c r="H351" i="3" s="1"/>
  <c r="H350" i="3"/>
  <c r="G350" i="3"/>
  <c r="G349" i="3"/>
  <c r="H349" i="3" s="1"/>
  <c r="G347" i="3"/>
  <c r="H347" i="3" s="1"/>
  <c r="G346" i="3"/>
  <c r="H346" i="3" s="1"/>
  <c r="G345" i="3"/>
  <c r="H345" i="3" s="1"/>
  <c r="G344" i="3"/>
  <c r="D344" i="3"/>
  <c r="D343" i="3" s="1"/>
  <c r="G338" i="3"/>
  <c r="H338" i="3" s="1"/>
  <c r="H337" i="3" s="1"/>
  <c r="G337" i="3"/>
  <c r="D337" i="3"/>
  <c r="G336" i="3"/>
  <c r="D336" i="3"/>
  <c r="H336" i="3" s="1"/>
  <c r="G335" i="3"/>
  <c r="G334" i="3"/>
  <c r="G333" i="3"/>
  <c r="G332" i="3"/>
  <c r="G331" i="3"/>
  <c r="G330" i="3"/>
  <c r="G329" i="3" s="1"/>
  <c r="D330" i="3"/>
  <c r="G328" i="3"/>
  <c r="G327" i="3"/>
  <c r="G326" i="3"/>
  <c r="D326" i="3"/>
  <c r="H326" i="3" s="1"/>
  <c r="F325" i="3"/>
  <c r="G325" i="3" s="1"/>
  <c r="H325" i="3" s="1"/>
  <c r="G324" i="3"/>
  <c r="G323" i="3"/>
  <c r="G322" i="3"/>
  <c r="G321" i="3"/>
  <c r="G319" i="3"/>
  <c r="G317" i="3"/>
  <c r="G316" i="3"/>
  <c r="G315" i="3"/>
  <c r="G314" i="3"/>
  <c r="G313" i="3"/>
  <c r="G312" i="3"/>
  <c r="G310" i="3"/>
  <c r="G309" i="3"/>
  <c r="G308" i="3"/>
  <c r="G307" i="3"/>
  <c r="G302" i="3"/>
  <c r="G301" i="3"/>
  <c r="G300" i="3"/>
  <c r="G299" i="3"/>
  <c r="D299" i="3"/>
  <c r="H299" i="3" s="1"/>
  <c r="G298" i="3"/>
  <c r="G297" i="3"/>
  <c r="G296" i="3"/>
  <c r="G295" i="3"/>
  <c r="G294" i="3"/>
  <c r="G293" i="3"/>
  <c r="D293" i="3"/>
  <c r="H293" i="3" s="1"/>
  <c r="G292" i="3"/>
  <c r="G291" i="3"/>
  <c r="G290" i="3"/>
  <c r="G289" i="3"/>
  <c r="G288" i="3"/>
  <c r="G287" i="3"/>
  <c r="G286" i="3"/>
  <c r="F285" i="3"/>
  <c r="F284" i="3"/>
  <c r="F283" i="3"/>
  <c r="F281" i="3"/>
  <c r="G280" i="3"/>
  <c r="H280" i="3" s="1"/>
  <c r="G279" i="3"/>
  <c r="H279" i="3" s="1"/>
  <c r="G278" i="3"/>
  <c r="D278" i="3"/>
  <c r="H278" i="3" s="1"/>
  <c r="G272" i="3"/>
  <c r="H272" i="3" s="1"/>
  <c r="H271" i="3" s="1"/>
  <c r="D271" i="3"/>
  <c r="G270" i="3"/>
  <c r="G269" i="3"/>
  <c r="G268" i="3"/>
  <c r="D268" i="3"/>
  <c r="H268" i="3" s="1"/>
  <c r="H267" i="3"/>
  <c r="G267" i="3"/>
  <c r="G266" i="3"/>
  <c r="G265" i="3"/>
  <c r="D265" i="3"/>
  <c r="H265" i="3" s="1"/>
  <c r="G264" i="3"/>
  <c r="G263" i="3"/>
  <c r="G262" i="3"/>
  <c r="G261" i="3"/>
  <c r="G260" i="3"/>
  <c r="O259" i="3"/>
  <c r="D270" i="3" s="1"/>
  <c r="H270" i="3" s="1"/>
  <c r="M259" i="3"/>
  <c r="F259" i="3"/>
  <c r="G259" i="3" s="1"/>
  <c r="H259" i="3" s="1"/>
  <c r="O258" i="3"/>
  <c r="D269" i="3" s="1"/>
  <c r="H269" i="3" s="1"/>
  <c r="L258" i="3"/>
  <c r="M258" i="3" s="1"/>
  <c r="D335" i="3" s="1"/>
  <c r="G258" i="3"/>
  <c r="O257" i="3"/>
  <c r="M257" i="3"/>
  <c r="D334" i="3" s="1"/>
  <c r="H334" i="3" s="1"/>
  <c r="G257" i="3"/>
  <c r="O256" i="3"/>
  <c r="D267" i="3" s="1"/>
  <c r="M256" i="3"/>
  <c r="D333" i="3" s="1"/>
  <c r="H333" i="3" s="1"/>
  <c r="G256" i="3"/>
  <c r="O255" i="3"/>
  <c r="D266" i="3" s="1"/>
  <c r="H266" i="3" s="1"/>
  <c r="M255" i="3"/>
  <c r="D332" i="3" s="1"/>
  <c r="H332" i="3" s="1"/>
  <c r="G255" i="3"/>
  <c r="O254" i="3"/>
  <c r="M254" i="3"/>
  <c r="D331" i="3" s="1"/>
  <c r="O253" i="3"/>
  <c r="D264" i="3" s="1"/>
  <c r="M253" i="3"/>
  <c r="G253" i="3"/>
  <c r="G252" i="3"/>
  <c r="E252" i="3"/>
  <c r="E318" i="3" s="1"/>
  <c r="G318" i="3" s="1"/>
  <c r="O251" i="3"/>
  <c r="D262" i="3" s="1"/>
  <c r="H262" i="3" s="1"/>
  <c r="M251" i="3"/>
  <c r="D328" i="3" s="1"/>
  <c r="H328" i="3" s="1"/>
  <c r="G251" i="3"/>
  <c r="G250" i="3"/>
  <c r="O249" i="3"/>
  <c r="D260" i="3" s="1"/>
  <c r="H260" i="3" s="1"/>
  <c r="M249" i="3"/>
  <c r="G249" i="3"/>
  <c r="G248" i="3"/>
  <c r="D248" i="3"/>
  <c r="H248" i="3" s="1"/>
  <c r="L247" i="3"/>
  <c r="G247" i="3"/>
  <c r="O246" i="3"/>
  <c r="D256" i="3" s="1"/>
  <c r="M246" i="3"/>
  <c r="D322" i="3" s="1"/>
  <c r="H322" i="3" s="1"/>
  <c r="G246" i="3"/>
  <c r="O245" i="3"/>
  <c r="D255" i="3" s="1"/>
  <c r="M245" i="3"/>
  <c r="D321" i="3" s="1"/>
  <c r="H321" i="3" s="1"/>
  <c r="G244" i="3"/>
  <c r="G243" i="3" s="1"/>
  <c r="L243" i="3"/>
  <c r="O242" i="3"/>
  <c r="D252" i="3" s="1"/>
  <c r="H252" i="3" s="1"/>
  <c r="M242" i="3"/>
  <c r="D318" i="3" s="1"/>
  <c r="H318" i="3" s="1"/>
  <c r="G242" i="3"/>
  <c r="L241" i="3"/>
  <c r="O241" i="3" s="1"/>
  <c r="D251" i="3" s="1"/>
  <c r="G241" i="3"/>
  <c r="L240" i="3"/>
  <c r="O240" i="3" s="1"/>
  <c r="D250" i="3" s="1"/>
  <c r="O239" i="3"/>
  <c r="D249" i="3" s="1"/>
  <c r="H249" i="3" s="1"/>
  <c r="M239" i="3"/>
  <c r="D315" i="3" s="1"/>
  <c r="D239" i="3"/>
  <c r="O238" i="3"/>
  <c r="M238" i="3"/>
  <c r="D314" i="3" s="1"/>
  <c r="H314" i="3" s="1"/>
  <c r="O237" i="3"/>
  <c r="D247" i="3" s="1"/>
  <c r="M237" i="3"/>
  <c r="D313" i="3" s="1"/>
  <c r="H313" i="3" s="1"/>
  <c r="O236" i="3"/>
  <c r="D246" i="3" s="1"/>
  <c r="H246" i="3" s="1"/>
  <c r="M236" i="3"/>
  <c r="D312" i="3" s="1"/>
  <c r="G236" i="3"/>
  <c r="H236" i="3" s="1"/>
  <c r="G235" i="3"/>
  <c r="O234" i="3"/>
  <c r="D244" i="3" s="1"/>
  <c r="M234" i="3"/>
  <c r="D310" i="3" s="1"/>
  <c r="G234" i="3"/>
  <c r="G233" i="3"/>
  <c r="G232" i="3"/>
  <c r="D232" i="3"/>
  <c r="L231" i="3"/>
  <c r="M231" i="3" s="1"/>
  <c r="D307" i="3" s="1"/>
  <c r="G231" i="3"/>
  <c r="G230" i="3"/>
  <c r="G229" i="3"/>
  <c r="D229" i="3"/>
  <c r="H229" i="3" s="1"/>
  <c r="O228" i="3"/>
  <c r="M228" i="3"/>
  <c r="D302" i="3" s="1"/>
  <c r="G228" i="3"/>
  <c r="G227" i="3"/>
  <c r="O226" i="3"/>
  <c r="D234" i="3" s="1"/>
  <c r="H234" i="3" s="1"/>
  <c r="M226" i="3"/>
  <c r="D300" i="3" s="1"/>
  <c r="H300" i="3" s="1"/>
  <c r="G226" i="3"/>
  <c r="O225" i="3"/>
  <c r="D233" i="3" s="1"/>
  <c r="H233" i="3" s="1"/>
  <c r="M225" i="3"/>
  <c r="G225" i="3"/>
  <c r="O224" i="3"/>
  <c r="M224" i="3"/>
  <c r="D298" i="3" s="1"/>
  <c r="G224" i="3"/>
  <c r="O223" i="3"/>
  <c r="D231" i="3" s="1"/>
  <c r="H231" i="3" s="1"/>
  <c r="M223" i="3"/>
  <c r="D297" i="3" s="1"/>
  <c r="G223" i="3"/>
  <c r="O222" i="3"/>
  <c r="D230" i="3" s="1"/>
  <c r="H230" i="3" s="1"/>
  <c r="M222" i="3"/>
  <c r="D296" i="3" s="1"/>
  <c r="H296" i="3" s="1"/>
  <c r="G222" i="3"/>
  <c r="O221" i="3"/>
  <c r="M221" i="3"/>
  <c r="D295" i="3" s="1"/>
  <c r="H295" i="3" s="1"/>
  <c r="G221" i="3"/>
  <c r="O220" i="3"/>
  <c r="D228" i="3" s="1"/>
  <c r="M220" i="3"/>
  <c r="D294" i="3" s="1"/>
  <c r="G220" i="3"/>
  <c r="O219" i="3"/>
  <c r="D227" i="3" s="1"/>
  <c r="H227" i="3" s="1"/>
  <c r="M219" i="3"/>
  <c r="F219" i="3"/>
  <c r="L218" i="3"/>
  <c r="F218" i="3"/>
  <c r="L217" i="3"/>
  <c r="M217" i="3" s="1"/>
  <c r="D291" i="3" s="1"/>
  <c r="F217" i="3"/>
  <c r="L216" i="3"/>
  <c r="O216" i="3" s="1"/>
  <c r="D224" i="3" s="1"/>
  <c r="H224" i="3" s="1"/>
  <c r="L215" i="3"/>
  <c r="M215" i="3" s="1"/>
  <c r="D289" i="3" s="1"/>
  <c r="H289" i="3" s="1"/>
  <c r="F215" i="3"/>
  <c r="E215" i="3"/>
  <c r="E281" i="3" s="1"/>
  <c r="E413" i="3" s="1"/>
  <c r="O214" i="3"/>
  <c r="D222" i="3" s="1"/>
  <c r="H222" i="3" s="1"/>
  <c r="M214" i="3"/>
  <c r="D288" i="3" s="1"/>
  <c r="G214" i="3"/>
  <c r="H214" i="3" s="1"/>
  <c r="O213" i="3"/>
  <c r="D221" i="3" s="1"/>
  <c r="M213" i="3"/>
  <c r="D287" i="3" s="1"/>
  <c r="H287" i="3" s="1"/>
  <c r="G213" i="3"/>
  <c r="H213" i="3" s="1"/>
  <c r="O212" i="3"/>
  <c r="D220" i="3" s="1"/>
  <c r="H220" i="3" s="1"/>
  <c r="M212" i="3"/>
  <c r="D286" i="3" s="1"/>
  <c r="G212" i="3"/>
  <c r="D212" i="3"/>
  <c r="D211" i="3" s="1"/>
  <c r="A210" i="3"/>
  <c r="G206" i="3"/>
  <c r="H206" i="3" s="1"/>
  <c r="H205" i="3" s="1"/>
  <c r="G205" i="3"/>
  <c r="D205" i="3"/>
  <c r="G204" i="3"/>
  <c r="H204" i="3" s="1"/>
  <c r="G203" i="3"/>
  <c r="H203" i="3" s="1"/>
  <c r="G202" i="3"/>
  <c r="H202" i="3" s="1"/>
  <c r="G201" i="3"/>
  <c r="H201" i="3" s="1"/>
  <c r="G200" i="3"/>
  <c r="H200" i="3" s="1"/>
  <c r="H199" i="3"/>
  <c r="G199" i="3"/>
  <c r="G198" i="3"/>
  <c r="H198" i="3" s="1"/>
  <c r="D197" i="3"/>
  <c r="G196" i="3"/>
  <c r="H196" i="3" s="1"/>
  <c r="G194" i="3"/>
  <c r="H194" i="3" s="1"/>
  <c r="F193" i="3"/>
  <c r="G193" i="3" s="1"/>
  <c r="H193" i="3" s="1"/>
  <c r="H191" i="3"/>
  <c r="G191" i="3"/>
  <c r="E191" i="3"/>
  <c r="G190" i="3"/>
  <c r="H190" i="3" s="1"/>
  <c r="G189" i="3"/>
  <c r="H189" i="3" s="1"/>
  <c r="D188" i="3"/>
  <c r="G187" i="3"/>
  <c r="D187" i="3"/>
  <c r="E186" i="3"/>
  <c r="G186" i="3" s="1"/>
  <c r="H186" i="3" s="1"/>
  <c r="G185" i="3"/>
  <c r="D185" i="3"/>
  <c r="H185" i="3" s="1"/>
  <c r="G184" i="3"/>
  <c r="D184" i="3"/>
  <c r="E183" i="3"/>
  <c r="G183" i="3" s="1"/>
  <c r="H183" i="3" s="1"/>
  <c r="G182" i="3"/>
  <c r="H182" i="3" s="1"/>
  <c r="G180" i="3"/>
  <c r="H180" i="3" s="1"/>
  <c r="G178" i="3"/>
  <c r="E178" i="3"/>
  <c r="D177" i="3"/>
  <c r="E175" i="3"/>
  <c r="G175" i="3" s="1"/>
  <c r="H175" i="3" s="1"/>
  <c r="D173" i="3"/>
  <c r="G170" i="3"/>
  <c r="H170" i="3" s="1"/>
  <c r="E169" i="3"/>
  <c r="G169" i="3" s="1"/>
  <c r="H169" i="3" s="1"/>
  <c r="H168" i="3"/>
  <c r="G168" i="3"/>
  <c r="G167" i="3"/>
  <c r="H167" i="3" s="1"/>
  <c r="G166" i="3"/>
  <c r="H166" i="3" s="1"/>
  <c r="G165" i="3"/>
  <c r="H165" i="3" s="1"/>
  <c r="G164" i="3"/>
  <c r="H164" i="3" s="1"/>
  <c r="G163" i="3"/>
  <c r="H163" i="3" s="1"/>
  <c r="G162" i="3"/>
  <c r="D162" i="3"/>
  <c r="H162" i="3" s="1"/>
  <c r="G161" i="3"/>
  <c r="D161" i="3"/>
  <c r="H161" i="3" s="1"/>
  <c r="G160" i="3"/>
  <c r="D160" i="3"/>
  <c r="H160" i="3" s="1"/>
  <c r="G159" i="3"/>
  <c r="D159" i="3"/>
  <c r="G158" i="3"/>
  <c r="D158" i="3"/>
  <c r="G156" i="3"/>
  <c r="H156" i="3" s="1"/>
  <c r="G155" i="3"/>
  <c r="H155" i="3" s="1"/>
  <c r="G154" i="3"/>
  <c r="H154" i="3" s="1"/>
  <c r="H153" i="3"/>
  <c r="G153" i="3"/>
  <c r="G152" i="3"/>
  <c r="H152" i="3" s="1"/>
  <c r="H151" i="3"/>
  <c r="G151" i="3"/>
  <c r="F149" i="3"/>
  <c r="G148" i="3"/>
  <c r="H148" i="3" s="1"/>
  <c r="H147" i="3"/>
  <c r="G147" i="3"/>
  <c r="G146" i="3"/>
  <c r="D146" i="3"/>
  <c r="D145" i="3" s="1"/>
  <c r="A144" i="3"/>
  <c r="G140" i="3"/>
  <c r="G139" i="3" s="1"/>
  <c r="D139" i="3"/>
  <c r="H138" i="3"/>
  <c r="G138" i="3"/>
  <c r="G136" i="3"/>
  <c r="H136" i="3" s="1"/>
  <c r="G135" i="3"/>
  <c r="H135" i="3" s="1"/>
  <c r="G134" i="3"/>
  <c r="H134" i="3" s="1"/>
  <c r="G133" i="3"/>
  <c r="H133" i="3" s="1"/>
  <c r="G132" i="3"/>
  <c r="H132" i="3" s="1"/>
  <c r="D131" i="3"/>
  <c r="G130" i="3"/>
  <c r="H130" i="3" s="1"/>
  <c r="G128" i="3"/>
  <c r="H128" i="3" s="1"/>
  <c r="F127" i="3"/>
  <c r="G127" i="3" s="1"/>
  <c r="H127" i="3" s="1"/>
  <c r="H125" i="3"/>
  <c r="G125" i="3"/>
  <c r="G124" i="3"/>
  <c r="H124" i="3" s="1"/>
  <c r="G123" i="3"/>
  <c r="H123" i="3" s="1"/>
  <c r="D122" i="3"/>
  <c r="G121" i="3"/>
  <c r="D121" i="3"/>
  <c r="H121" i="3" s="1"/>
  <c r="G120" i="3"/>
  <c r="H120" i="3" s="1"/>
  <c r="E120" i="3"/>
  <c r="G119" i="3"/>
  <c r="D119" i="3"/>
  <c r="H119" i="3" s="1"/>
  <c r="G118" i="3"/>
  <c r="D118" i="3"/>
  <c r="H116" i="3"/>
  <c r="G116" i="3"/>
  <c r="G114" i="3"/>
  <c r="D114" i="3"/>
  <c r="G112" i="3"/>
  <c r="G111" i="3" s="1"/>
  <c r="D111" i="3"/>
  <c r="G110" i="3"/>
  <c r="H110" i="3" s="1"/>
  <c r="E110" i="3"/>
  <c r="E176" i="3" s="1"/>
  <c r="E109" i="3"/>
  <c r="G109" i="3" s="1"/>
  <c r="D109" i="3"/>
  <c r="E107" i="3"/>
  <c r="E173" i="3" s="1"/>
  <c r="H104" i="3"/>
  <c r="G104" i="3"/>
  <c r="G103" i="3"/>
  <c r="H103" i="3" s="1"/>
  <c r="E103" i="3"/>
  <c r="L227" i="3" s="1"/>
  <c r="G102" i="3"/>
  <c r="H102" i="3" s="1"/>
  <c r="G101" i="3"/>
  <c r="H101" i="3" s="1"/>
  <c r="H100" i="3"/>
  <c r="G100" i="3"/>
  <c r="E99" i="3"/>
  <c r="G99" i="3" s="1"/>
  <c r="H99" i="3" s="1"/>
  <c r="G98" i="3"/>
  <c r="H98" i="3" s="1"/>
  <c r="E97" i="3"/>
  <c r="G97" i="3" s="1"/>
  <c r="H97" i="3" s="1"/>
  <c r="G96" i="3"/>
  <c r="H96" i="3" s="1"/>
  <c r="D96" i="3"/>
  <c r="G95" i="3"/>
  <c r="D95" i="3"/>
  <c r="G94" i="3"/>
  <c r="D94" i="3"/>
  <c r="H94" i="3" s="1"/>
  <c r="G93" i="3"/>
  <c r="D93" i="3"/>
  <c r="H93" i="3" s="1"/>
  <c r="G92" i="3"/>
  <c r="D92" i="3"/>
  <c r="H90" i="3"/>
  <c r="G90" i="3"/>
  <c r="G89" i="3"/>
  <c r="H89" i="3" s="1"/>
  <c r="G88" i="3"/>
  <c r="H88" i="3" s="1"/>
  <c r="E87" i="3"/>
  <c r="F86" i="3"/>
  <c r="F85" i="3"/>
  <c r="E85" i="3"/>
  <c r="E217" i="3" s="1"/>
  <c r="E219" i="3" s="1"/>
  <c r="G219" i="3" s="1"/>
  <c r="H219" i="3" s="1"/>
  <c r="F83" i="3"/>
  <c r="G82" i="3"/>
  <c r="H82" i="3" s="1"/>
  <c r="H81" i="3"/>
  <c r="G81" i="3"/>
  <c r="G80" i="3"/>
  <c r="D80" i="3"/>
  <c r="H80" i="3" s="1"/>
  <c r="A78" i="3"/>
  <c r="G74" i="3"/>
  <c r="G73" i="3" s="1"/>
  <c r="D73" i="3"/>
  <c r="G72" i="3"/>
  <c r="H72" i="3" s="1"/>
  <c r="E71" i="3"/>
  <c r="E137" i="3" s="1"/>
  <c r="G70" i="3"/>
  <c r="H70" i="3" s="1"/>
  <c r="H69" i="3"/>
  <c r="G69" i="3"/>
  <c r="G68" i="3"/>
  <c r="H68" i="3" s="1"/>
  <c r="G67" i="3"/>
  <c r="H67" i="3" s="1"/>
  <c r="G66" i="3"/>
  <c r="D65" i="3"/>
  <c r="G64" i="3"/>
  <c r="H64" i="3" s="1"/>
  <c r="G63" i="3"/>
  <c r="H63" i="3" s="1"/>
  <c r="E63" i="3"/>
  <c r="E129" i="3" s="1"/>
  <c r="G62" i="3"/>
  <c r="H62" i="3" s="1"/>
  <c r="F61" i="3"/>
  <c r="G61" i="3" s="1"/>
  <c r="H61" i="3" s="1"/>
  <c r="E60" i="3"/>
  <c r="E126" i="3" s="1"/>
  <c r="G59" i="3"/>
  <c r="H59" i="3" s="1"/>
  <c r="H58" i="3"/>
  <c r="G58" i="3"/>
  <c r="G57" i="3"/>
  <c r="H57" i="3" s="1"/>
  <c r="D56" i="3"/>
  <c r="G55" i="3"/>
  <c r="D55" i="3"/>
  <c r="H55" i="3" s="1"/>
  <c r="H54" i="3"/>
  <c r="E54" i="3"/>
  <c r="G54" i="3" s="1"/>
  <c r="E53" i="3"/>
  <c r="G53" i="3" s="1"/>
  <c r="H53" i="3" s="1"/>
  <c r="G52" i="3"/>
  <c r="D52" i="3"/>
  <c r="H52" i="3" s="1"/>
  <c r="E51" i="3"/>
  <c r="L437" i="3" s="1"/>
  <c r="M437" i="3" s="1"/>
  <c r="G50" i="3"/>
  <c r="H50" i="3" s="1"/>
  <c r="G49" i="3"/>
  <c r="H49" i="3" s="1"/>
  <c r="E49" i="3"/>
  <c r="E181" i="3" s="1"/>
  <c r="G181" i="3" s="1"/>
  <c r="H181" i="3" s="1"/>
  <c r="G48" i="3"/>
  <c r="D48" i="3"/>
  <c r="E46" i="3"/>
  <c r="G46" i="3" s="1"/>
  <c r="D45" i="3"/>
  <c r="G44" i="3"/>
  <c r="H44" i="3" s="1"/>
  <c r="E43" i="3"/>
  <c r="G43" i="3" s="1"/>
  <c r="D43" i="3"/>
  <c r="E42" i="3"/>
  <c r="E108" i="3" s="1"/>
  <c r="E41" i="3"/>
  <c r="G41" i="3" s="1"/>
  <c r="D41" i="3"/>
  <c r="D107" i="3" s="1"/>
  <c r="G38" i="3"/>
  <c r="H38" i="3" s="1"/>
  <c r="G37" i="3"/>
  <c r="H37" i="3" s="1"/>
  <c r="G36" i="3"/>
  <c r="H36" i="3" s="1"/>
  <c r="G35" i="3"/>
  <c r="H35" i="3" s="1"/>
  <c r="G34" i="3"/>
  <c r="H34" i="3" s="1"/>
  <c r="G33" i="3"/>
  <c r="H33" i="3" s="1"/>
  <c r="E33" i="3"/>
  <c r="E32" i="3"/>
  <c r="G32" i="3" s="1"/>
  <c r="H32" i="3" s="1"/>
  <c r="G31" i="3"/>
  <c r="H31" i="3" s="1"/>
  <c r="G30" i="3"/>
  <c r="D30" i="3"/>
  <c r="H30" i="3" s="1"/>
  <c r="G29" i="3"/>
  <c r="H29" i="3" s="1"/>
  <c r="D29" i="3"/>
  <c r="G28" i="3"/>
  <c r="D28" i="3"/>
  <c r="H28" i="3" s="1"/>
  <c r="G27" i="3"/>
  <c r="D27" i="3"/>
  <c r="H27" i="3" s="1"/>
  <c r="G26" i="3"/>
  <c r="D26" i="3"/>
  <c r="H26" i="3" s="1"/>
  <c r="G25" i="3"/>
  <c r="H25" i="3" s="1"/>
  <c r="E25" i="3"/>
  <c r="E91" i="3" s="1"/>
  <c r="E157" i="3" s="1"/>
  <c r="G24" i="3"/>
  <c r="H24" i="3" s="1"/>
  <c r="H23" i="3"/>
  <c r="G23" i="3"/>
  <c r="G22" i="3"/>
  <c r="H22" i="3" s="1"/>
  <c r="F21" i="3"/>
  <c r="F87" i="3" s="1"/>
  <c r="G87" i="3" s="1"/>
  <c r="H87" i="3" s="1"/>
  <c r="F20" i="3"/>
  <c r="E20" i="3"/>
  <c r="E86" i="3" s="1"/>
  <c r="E218" i="3" s="1"/>
  <c r="D20" i="3"/>
  <c r="F19" i="3"/>
  <c r="G19" i="3" s="1"/>
  <c r="F17" i="3"/>
  <c r="G17" i="3" s="1"/>
  <c r="H17" i="3" s="1"/>
  <c r="E17" i="3"/>
  <c r="E149" i="3" s="1"/>
  <c r="G149" i="3" s="1"/>
  <c r="G16" i="3"/>
  <c r="H16" i="3" s="1"/>
  <c r="G15" i="3"/>
  <c r="H15" i="3" s="1"/>
  <c r="G14" i="3"/>
  <c r="G13" i="3" s="1"/>
  <c r="D14" i="3"/>
  <c r="H14" i="3" s="1"/>
  <c r="A12" i="3"/>
  <c r="L53" i="12" l="1"/>
  <c r="K20" i="12"/>
  <c r="L32" i="12"/>
  <c r="D277" i="3"/>
  <c r="H197" i="3"/>
  <c r="H19" i="3"/>
  <c r="L456" i="3"/>
  <c r="M456" i="3" s="1"/>
  <c r="G137" i="3"/>
  <c r="H137" i="3" s="1"/>
  <c r="G21" i="3"/>
  <c r="H21" i="3" s="1"/>
  <c r="O215" i="3"/>
  <c r="D223" i="3" s="1"/>
  <c r="H223" i="3" s="1"/>
  <c r="H362" i="3"/>
  <c r="G71" i="3"/>
  <c r="H71" i="3" s="1"/>
  <c r="G85" i="3"/>
  <c r="E115" i="3"/>
  <c r="G115" i="3" s="1"/>
  <c r="H115" i="3" s="1"/>
  <c r="H140" i="3"/>
  <c r="H139" i="3" s="1"/>
  <c r="H331" i="3"/>
  <c r="H422" i="3"/>
  <c r="H491" i="3"/>
  <c r="N448" i="3"/>
  <c r="D525" i="3" s="1"/>
  <c r="H525" i="3" s="1"/>
  <c r="H470" i="3"/>
  <c r="H469" i="3" s="1"/>
  <c r="G527" i="3"/>
  <c r="G107" i="3"/>
  <c r="H107" i="3" s="1"/>
  <c r="H478" i="3"/>
  <c r="H41" i="3"/>
  <c r="H48" i="3"/>
  <c r="H47" i="3" s="1"/>
  <c r="G217" i="3"/>
  <c r="H217" i="3" s="1"/>
  <c r="H298" i="3"/>
  <c r="H393" i="3"/>
  <c r="H496" i="3"/>
  <c r="G370" i="3"/>
  <c r="N454" i="3"/>
  <c r="D531" i="3" s="1"/>
  <c r="H531" i="3" s="1"/>
  <c r="L59" i="12"/>
  <c r="H74" i="3"/>
  <c r="H73" i="3" s="1"/>
  <c r="H366" i="3"/>
  <c r="N452" i="3"/>
  <c r="D529" i="3" s="1"/>
  <c r="G51" i="3"/>
  <c r="H51" i="3" s="1"/>
  <c r="G86" i="3"/>
  <c r="H86" i="3" s="1"/>
  <c r="H247" i="3"/>
  <c r="H251" i="3"/>
  <c r="G245" i="3"/>
  <c r="H397" i="3"/>
  <c r="H510" i="3"/>
  <c r="D454" i="3"/>
  <c r="H454" i="3" s="1"/>
  <c r="G461" i="3"/>
  <c r="G518" i="3"/>
  <c r="H297" i="3"/>
  <c r="H383" i="3"/>
  <c r="H371" i="3"/>
  <c r="N413" i="3"/>
  <c r="D487" i="3" s="1"/>
  <c r="H487" i="3" s="1"/>
  <c r="G60" i="3"/>
  <c r="H60" i="3" s="1"/>
  <c r="H56" i="3" s="1"/>
  <c r="H159" i="3"/>
  <c r="G413" i="3"/>
  <c r="H291" i="3"/>
  <c r="G311" i="3"/>
  <c r="H361" i="3"/>
  <c r="H401" i="3"/>
  <c r="H420" i="3"/>
  <c r="H221" i="3"/>
  <c r="G20" i="3"/>
  <c r="G18" i="3" s="1"/>
  <c r="G12" i="3" s="1"/>
  <c r="H92" i="3"/>
  <c r="E117" i="3"/>
  <c r="G117" i="3" s="1"/>
  <c r="H117" i="3" s="1"/>
  <c r="H187" i="3"/>
  <c r="H307" i="3"/>
  <c r="H256" i="3"/>
  <c r="G271" i="3"/>
  <c r="E283" i="3"/>
  <c r="H374" i="3"/>
  <c r="H402" i="3"/>
  <c r="H490" i="3"/>
  <c r="H497" i="3"/>
  <c r="D18" i="3"/>
  <c r="D150" i="3"/>
  <c r="D144" i="3" s="1"/>
  <c r="D409" i="3"/>
  <c r="M216" i="3"/>
  <c r="D290" i="3" s="1"/>
  <c r="H290" i="3" s="1"/>
  <c r="H158" i="3"/>
  <c r="M241" i="3"/>
  <c r="D317" i="3" s="1"/>
  <c r="H317" i="3" s="1"/>
  <c r="H109" i="3"/>
  <c r="O231" i="3"/>
  <c r="D241" i="3" s="1"/>
  <c r="H241" i="3" s="1"/>
  <c r="G452" i="3"/>
  <c r="H43" i="3"/>
  <c r="D113" i="3"/>
  <c r="M240" i="3"/>
  <c r="D316" i="3" s="1"/>
  <c r="H316" i="3" s="1"/>
  <c r="G254" i="3"/>
  <c r="N439" i="3"/>
  <c r="D515" i="3" s="1"/>
  <c r="H515" i="3" s="1"/>
  <c r="G47" i="3"/>
  <c r="D84" i="3"/>
  <c r="O217" i="3"/>
  <c r="D225" i="3" s="1"/>
  <c r="H225" i="3" s="1"/>
  <c r="N414" i="3"/>
  <c r="D488" i="3" s="1"/>
  <c r="H488" i="3" s="1"/>
  <c r="N441" i="3"/>
  <c r="D517" i="3" s="1"/>
  <c r="H517" i="3" s="1"/>
  <c r="D47" i="3"/>
  <c r="H146" i="3"/>
  <c r="L11" i="12"/>
  <c r="L131" i="12"/>
  <c r="L73" i="12"/>
  <c r="L103" i="12"/>
  <c r="D437" i="3"/>
  <c r="D106" i="3"/>
  <c r="E174" i="3"/>
  <c r="G108" i="3"/>
  <c r="H131" i="3"/>
  <c r="H18" i="3"/>
  <c r="H46" i="3"/>
  <c r="H45" i="3" s="1"/>
  <c r="G45" i="3"/>
  <c r="G126" i="3"/>
  <c r="H126" i="3" s="1"/>
  <c r="H122" i="3" s="1"/>
  <c r="E192" i="3"/>
  <c r="H85" i="3"/>
  <c r="E239" i="3"/>
  <c r="G173" i="3"/>
  <c r="H173" i="3" s="1"/>
  <c r="H13" i="3"/>
  <c r="H149" i="3"/>
  <c r="G145" i="3"/>
  <c r="E195" i="3"/>
  <c r="G129" i="3"/>
  <c r="H129" i="3" s="1"/>
  <c r="L435" i="3"/>
  <c r="M435" i="3" s="1"/>
  <c r="G157" i="3"/>
  <c r="H157" i="3" s="1"/>
  <c r="H312" i="3"/>
  <c r="D13" i="3"/>
  <c r="H20" i="3"/>
  <c r="D179" i="3"/>
  <c r="H184" i="3"/>
  <c r="H286" i="3"/>
  <c r="H413" i="3"/>
  <c r="G409" i="3"/>
  <c r="E284" i="3"/>
  <c r="G218" i="3"/>
  <c r="H218" i="3" s="1"/>
  <c r="H244" i="3"/>
  <c r="H243" i="3" s="1"/>
  <c r="D243" i="3"/>
  <c r="O247" i="3"/>
  <c r="D257" i="3" s="1"/>
  <c r="H257" i="3" s="1"/>
  <c r="M247" i="3"/>
  <c r="D323" i="3" s="1"/>
  <c r="H323" i="3" s="1"/>
  <c r="E415" i="3"/>
  <c r="G283" i="3"/>
  <c r="E285" i="3"/>
  <c r="G285" i="3" s="1"/>
  <c r="H285" i="3" s="1"/>
  <c r="E481" i="3"/>
  <c r="G481" i="3" s="1"/>
  <c r="D309" i="3"/>
  <c r="H310" i="3"/>
  <c r="H309" i="3" s="1"/>
  <c r="D450" i="3"/>
  <c r="H450" i="3" s="1"/>
  <c r="N440" i="3"/>
  <c r="D516" i="3" s="1"/>
  <c r="H516" i="3" s="1"/>
  <c r="D40" i="3"/>
  <c r="G42" i="3"/>
  <c r="H66" i="3"/>
  <c r="H65" i="3" s="1"/>
  <c r="E83" i="3"/>
  <c r="G83" i="3" s="1"/>
  <c r="H83" i="3" s="1"/>
  <c r="H79" i="3" s="1"/>
  <c r="G91" i="3"/>
  <c r="H91" i="3" s="1"/>
  <c r="O227" i="3"/>
  <c r="D235" i="3" s="1"/>
  <c r="H235" i="3" s="1"/>
  <c r="M227" i="3"/>
  <c r="D301" i="3" s="1"/>
  <c r="H301" i="3" s="1"/>
  <c r="H112" i="3"/>
  <c r="H111" i="3" s="1"/>
  <c r="H118" i="3"/>
  <c r="H228" i="3"/>
  <c r="H370" i="3"/>
  <c r="D375" i="3"/>
  <c r="H376" i="3"/>
  <c r="H375" i="3" s="1"/>
  <c r="G386" i="3"/>
  <c r="D447" i="3"/>
  <c r="H447" i="3" s="1"/>
  <c r="N437" i="3"/>
  <c r="D513" i="3" s="1"/>
  <c r="H513" i="3" s="1"/>
  <c r="D79" i="3"/>
  <c r="H114" i="3"/>
  <c r="G131" i="3"/>
  <c r="H178" i="3"/>
  <c r="H177" i="3" s="1"/>
  <c r="G177" i="3"/>
  <c r="M218" i="3"/>
  <c r="D292" i="3" s="1"/>
  <c r="H292" i="3" s="1"/>
  <c r="O218" i="3"/>
  <c r="D226" i="3" s="1"/>
  <c r="H226" i="3" s="1"/>
  <c r="H250" i="3"/>
  <c r="D329" i="3"/>
  <c r="H330" i="3"/>
  <c r="H379" i="3"/>
  <c r="G377" i="3"/>
  <c r="H95" i="3"/>
  <c r="L430" i="3"/>
  <c r="M430" i="3" s="1"/>
  <c r="L232" i="3"/>
  <c r="G176" i="3"/>
  <c r="H176" i="3" s="1"/>
  <c r="N456" i="3"/>
  <c r="D533" i="3" s="1"/>
  <c r="H533" i="3" s="1"/>
  <c r="D467" i="3"/>
  <c r="H467" i="3" s="1"/>
  <c r="D172" i="3"/>
  <c r="G179" i="3"/>
  <c r="G197" i="3"/>
  <c r="M243" i="3"/>
  <c r="D319" i="3" s="1"/>
  <c r="H319" i="3" s="1"/>
  <c r="O243" i="3"/>
  <c r="D253" i="3" s="1"/>
  <c r="H253" i="3" s="1"/>
  <c r="H255" i="3"/>
  <c r="D263" i="3"/>
  <c r="H264" i="3"/>
  <c r="H263" i="3" s="1"/>
  <c r="G281" i="3"/>
  <c r="H281" i="3" s="1"/>
  <c r="H277" i="3" s="1"/>
  <c r="D377" i="3"/>
  <c r="H378" i="3"/>
  <c r="H377" i="3" s="1"/>
  <c r="D439" i="3"/>
  <c r="H439" i="3" s="1"/>
  <c r="N429" i="3"/>
  <c r="D505" i="3" s="1"/>
  <c r="H212" i="3"/>
  <c r="H288" i="3"/>
  <c r="G215" i="3"/>
  <c r="H215" i="3" s="1"/>
  <c r="H294" i="3"/>
  <c r="H232" i="3"/>
  <c r="H315" i="3"/>
  <c r="H335" i="3"/>
  <c r="H344" i="3"/>
  <c r="H343" i="3" s="1"/>
  <c r="G343" i="3"/>
  <c r="D348" i="3"/>
  <c r="H352" i="3"/>
  <c r="H360" i="3"/>
  <c r="H368" i="3"/>
  <c r="D395" i="3"/>
  <c r="H399" i="3"/>
  <c r="H395" i="3" s="1"/>
  <c r="H409" i="3"/>
  <c r="N449" i="3"/>
  <c r="D526" i="3" s="1"/>
  <c r="H526" i="3" s="1"/>
  <c r="D460" i="3"/>
  <c r="H460" i="3" s="1"/>
  <c r="G211" i="3"/>
  <c r="G277" i="3"/>
  <c r="H302" i="3"/>
  <c r="G320" i="3"/>
  <c r="D342" i="3"/>
  <c r="D405" i="3" s="1"/>
  <c r="G348" i="3"/>
  <c r="H418" i="3"/>
  <c r="H453" i="3"/>
  <c r="D305" i="3"/>
  <c r="H356" i="3"/>
  <c r="H364" i="3"/>
  <c r="H386" i="3"/>
  <c r="N415" i="3"/>
  <c r="D489" i="3" s="1"/>
  <c r="H489" i="3" s="1"/>
  <c r="M415" i="3"/>
  <c r="D423" i="3" s="1"/>
  <c r="H423" i="3" s="1"/>
  <c r="H442" i="3"/>
  <c r="H441" i="3" s="1"/>
  <c r="D441" i="3"/>
  <c r="D446" i="3"/>
  <c r="H446" i="3" s="1"/>
  <c r="N436" i="3"/>
  <c r="D512" i="3" s="1"/>
  <c r="H512" i="3" s="1"/>
  <c r="D448" i="3"/>
  <c r="H448" i="3" s="1"/>
  <c r="H508" i="3"/>
  <c r="H507" i="3" s="1"/>
  <c r="D507" i="3"/>
  <c r="H451" i="3"/>
  <c r="D464" i="3"/>
  <c r="H464" i="3" s="1"/>
  <c r="N453" i="3"/>
  <c r="D530" i="3" s="1"/>
  <c r="H530" i="3" s="1"/>
  <c r="D466" i="3"/>
  <c r="H466" i="3" s="1"/>
  <c r="N455" i="3"/>
  <c r="D532" i="3" s="1"/>
  <c r="H532" i="3" s="1"/>
  <c r="H476" i="3"/>
  <c r="H475" i="3" s="1"/>
  <c r="G509" i="3"/>
  <c r="G535" i="3"/>
  <c r="H536" i="3"/>
  <c r="H535" i="3" s="1"/>
  <c r="H444" i="3"/>
  <c r="D458" i="3"/>
  <c r="H458" i="3" s="1"/>
  <c r="N447" i="3"/>
  <c r="D524" i="3" s="1"/>
  <c r="H524" i="3" s="1"/>
  <c r="D462" i="3"/>
  <c r="N451" i="3"/>
  <c r="D528" i="3" s="1"/>
  <c r="H529" i="3"/>
  <c r="H455" i="3"/>
  <c r="H519" i="3"/>
  <c r="H179" i="3" l="1"/>
  <c r="G122" i="3"/>
  <c r="G56" i="3"/>
  <c r="H329" i="3"/>
  <c r="H348" i="3"/>
  <c r="H342" i="3" s="1"/>
  <c r="H405" i="3" s="1"/>
  <c r="G113" i="3"/>
  <c r="G150" i="3"/>
  <c r="G144" i="3" s="1"/>
  <c r="H150" i="3"/>
  <c r="G369" i="3"/>
  <c r="G65" i="3"/>
  <c r="D12" i="3"/>
  <c r="D105" i="3"/>
  <c r="H216" i="3"/>
  <c r="H245" i="3"/>
  <c r="D78" i="3"/>
  <c r="D39" i="3"/>
  <c r="D75" i="3" s="1"/>
  <c r="H12" i="3"/>
  <c r="D245" i="3"/>
  <c r="D480" i="3"/>
  <c r="D474" i="3" s="1"/>
  <c r="H145" i="3"/>
  <c r="J140" i="3"/>
  <c r="L146" i="12"/>
  <c r="H528" i="3"/>
  <c r="H527" i="3" s="1"/>
  <c r="D527" i="3"/>
  <c r="H462" i="3"/>
  <c r="H461" i="3" s="1"/>
  <c r="D461" i="3"/>
  <c r="J404" i="3"/>
  <c r="G216" i="3"/>
  <c r="G210" i="3" s="1"/>
  <c r="H369" i="3"/>
  <c r="G79" i="3"/>
  <c r="E417" i="3"/>
  <c r="G417" i="3" s="1"/>
  <c r="H417" i="3" s="1"/>
  <c r="G415" i="3"/>
  <c r="D311" i="3"/>
  <c r="G195" i="3"/>
  <c r="H195" i="3" s="1"/>
  <c r="L250" i="3"/>
  <c r="H84" i="3"/>
  <c r="H78" i="3" s="1"/>
  <c r="E240" i="3"/>
  <c r="G174" i="3"/>
  <c r="H174" i="3" s="1"/>
  <c r="H172" i="3" s="1"/>
  <c r="D414" i="3"/>
  <c r="D408" i="3" s="1"/>
  <c r="G342" i="3"/>
  <c r="G405" i="3" s="1"/>
  <c r="H211" i="3"/>
  <c r="O232" i="3"/>
  <c r="D242" i="3" s="1"/>
  <c r="M232" i="3"/>
  <c r="D308" i="3" s="1"/>
  <c r="H308" i="3" s="1"/>
  <c r="D216" i="3"/>
  <c r="D210" i="3" s="1"/>
  <c r="H481" i="3"/>
  <c r="J74" i="3"/>
  <c r="H42" i="3"/>
  <c r="H40" i="3" s="1"/>
  <c r="H39" i="3" s="1"/>
  <c r="H75" i="3" s="1"/>
  <c r="G40" i="3"/>
  <c r="G39" i="3" s="1"/>
  <c r="G75" i="3" s="1"/>
  <c r="N435" i="3"/>
  <c r="D511" i="3" s="1"/>
  <c r="D445" i="3"/>
  <c r="E305" i="3"/>
  <c r="G239" i="3"/>
  <c r="L248" i="3"/>
  <c r="G192" i="3"/>
  <c r="L446" i="3"/>
  <c r="M446" i="3" s="1"/>
  <c r="H505" i="3"/>
  <c r="D440" i="3"/>
  <c r="H440" i="3" s="1"/>
  <c r="N430" i="3"/>
  <c r="D506" i="3" s="1"/>
  <c r="H506" i="3" s="1"/>
  <c r="D171" i="3"/>
  <c r="D207" i="3" s="1"/>
  <c r="H113" i="3"/>
  <c r="G282" i="3"/>
  <c r="G276" i="3" s="1"/>
  <c r="H283" i="3"/>
  <c r="G284" i="3"/>
  <c r="H284" i="3" s="1"/>
  <c r="E416" i="3"/>
  <c r="D282" i="3"/>
  <c r="D276" i="3" s="1"/>
  <c r="H311" i="3"/>
  <c r="G84" i="3"/>
  <c r="H108" i="3"/>
  <c r="H106" i="3" s="1"/>
  <c r="H105" i="3" s="1"/>
  <c r="G106" i="3"/>
  <c r="G105" i="3" s="1"/>
  <c r="H144" i="3" l="1"/>
  <c r="G172" i="3"/>
  <c r="H210" i="3"/>
  <c r="D436" i="3"/>
  <c r="D141" i="3"/>
  <c r="J75" i="3"/>
  <c r="H141" i="3"/>
  <c r="J141" i="3" s="1"/>
  <c r="H415" i="3"/>
  <c r="E482" i="3"/>
  <c r="G482" i="3" s="1"/>
  <c r="G416" i="3"/>
  <c r="H416" i="3" s="1"/>
  <c r="D443" i="3"/>
  <c r="H445" i="3"/>
  <c r="H443" i="3" s="1"/>
  <c r="M250" i="3"/>
  <c r="D327" i="3" s="1"/>
  <c r="H327" i="3" s="1"/>
  <c r="O250" i="3"/>
  <c r="D261" i="3" s="1"/>
  <c r="H261" i="3" s="1"/>
  <c r="D502" i="3"/>
  <c r="N446" i="3"/>
  <c r="D522" i="3" s="1"/>
  <c r="D456" i="3"/>
  <c r="G305" i="3"/>
  <c r="E437" i="3"/>
  <c r="H511" i="3"/>
  <c r="H509" i="3" s="1"/>
  <c r="D509" i="3"/>
  <c r="G78" i="3"/>
  <c r="G141" i="3" s="1"/>
  <c r="J405" i="3"/>
  <c r="H282" i="3"/>
  <c r="H276" i="3" s="1"/>
  <c r="H192" i="3"/>
  <c r="H188" i="3" s="1"/>
  <c r="H171" i="3" s="1"/>
  <c r="H207" i="3" s="1"/>
  <c r="G188" i="3"/>
  <c r="G171" i="3" s="1"/>
  <c r="G207" i="3" s="1"/>
  <c r="H242" i="3"/>
  <c r="D238" i="3"/>
  <c r="D304" i="3"/>
  <c r="D303" i="3" s="1"/>
  <c r="D339" i="3" s="1"/>
  <c r="G240" i="3"/>
  <c r="H240" i="3" s="1"/>
  <c r="E306" i="3"/>
  <c r="O248" i="3"/>
  <c r="D258" i="3" s="1"/>
  <c r="M248" i="3"/>
  <c r="D324" i="3" s="1"/>
  <c r="H324" i="3" s="1"/>
  <c r="H320" i="3" s="1"/>
  <c r="G238" i="3"/>
  <c r="G237" i="3" s="1"/>
  <c r="G273" i="3" s="1"/>
  <c r="H239" i="3"/>
  <c r="H238" i="3" l="1"/>
  <c r="H258" i="3"/>
  <c r="H254" i="3" s="1"/>
  <c r="D254" i="3"/>
  <c r="J206" i="3"/>
  <c r="J207" i="3" s="1"/>
  <c r="E503" i="3"/>
  <c r="G503" i="3" s="1"/>
  <c r="G437" i="3"/>
  <c r="D237" i="3"/>
  <c r="D273" i="3" s="1"/>
  <c r="H305" i="3"/>
  <c r="H414" i="3"/>
  <c r="H408" i="3" s="1"/>
  <c r="E438" i="3"/>
  <c r="G438" i="3" s="1"/>
  <c r="H438" i="3" s="1"/>
  <c r="G306" i="3"/>
  <c r="H306" i="3" s="1"/>
  <c r="H456" i="3"/>
  <c r="D452" i="3"/>
  <c r="D435" i="3" s="1"/>
  <c r="D471" i="3" s="1"/>
  <c r="J338" i="3"/>
  <c r="G414" i="3"/>
  <c r="G408" i="3" s="1"/>
  <c r="H522" i="3"/>
  <c r="D518" i="3"/>
  <c r="D501" i="3" s="1"/>
  <c r="D537" i="3" s="1"/>
  <c r="H482" i="3"/>
  <c r="H480" i="3" s="1"/>
  <c r="H474" i="3" s="1"/>
  <c r="G480" i="3"/>
  <c r="G474" i="3" s="1"/>
  <c r="H237" i="3" l="1"/>
  <c r="H273" i="3" s="1"/>
  <c r="J272" i="3"/>
  <c r="J273" i="3" s="1"/>
  <c r="H452" i="3"/>
  <c r="J470" i="3"/>
  <c r="H304" i="3"/>
  <c r="H303" i="3" s="1"/>
  <c r="H339" i="3" s="1"/>
  <c r="J339" i="3" s="1"/>
  <c r="G304" i="3"/>
  <c r="G303" i="3" s="1"/>
  <c r="G339" i="3" s="1"/>
  <c r="G436" i="3"/>
  <c r="G435" i="3" s="1"/>
  <c r="G471" i="3" s="1"/>
  <c r="H437" i="3"/>
  <c r="H436" i="3" s="1"/>
  <c r="H518" i="3"/>
  <c r="J536" i="3"/>
  <c r="H503" i="3"/>
  <c r="H502" i="3" s="1"/>
  <c r="G502" i="3"/>
  <c r="G501" i="3" s="1"/>
  <c r="G537" i="3" s="1"/>
  <c r="H435" i="3" l="1"/>
  <c r="H471" i="3" s="1"/>
  <c r="J471" i="3" s="1"/>
  <c r="H501" i="3"/>
  <c r="H537" i="3" s="1"/>
  <c r="J537" i="3" s="1"/>
  <c r="H538" i="3" l="1"/>
  <c r="G66" i="13" l="1"/>
  <c r="G65" i="13" l="1"/>
  <c r="AM247" i="9" l="1"/>
  <c r="AM246" i="9"/>
  <c r="AM245" i="9"/>
  <c r="AM244" i="9"/>
  <c r="AM243" i="9"/>
  <c r="AM242" i="9"/>
  <c r="AM241" i="9"/>
  <c r="AM240" i="9"/>
  <c r="AM239" i="9"/>
  <c r="AM238" i="9"/>
  <c r="G238" i="9"/>
  <c r="AM237" i="9"/>
  <c r="G237" i="9"/>
  <c r="AM236" i="9"/>
  <c r="G236" i="9"/>
  <c r="AM235" i="9"/>
  <c r="G235" i="9"/>
  <c r="AM234" i="9"/>
  <c r="G234" i="9"/>
  <c r="AM233" i="9"/>
  <c r="AE233" i="9"/>
  <c r="G233" i="9"/>
  <c r="AM232" i="9"/>
  <c r="AE232" i="9"/>
  <c r="G232" i="9"/>
  <c r="AM231" i="9"/>
  <c r="AE231" i="9"/>
  <c r="W231" i="9"/>
  <c r="O231" i="9"/>
  <c r="G231" i="9"/>
  <c r="AM230" i="9"/>
  <c r="AE230" i="9"/>
  <c r="W230" i="9"/>
  <c r="O230" i="9"/>
  <c r="G230" i="9"/>
  <c r="AM229" i="9"/>
  <c r="AE229" i="9"/>
  <c r="W229" i="9"/>
  <c r="O229" i="9"/>
  <c r="G229" i="9"/>
  <c r="AM228" i="9"/>
  <c r="AE228" i="9"/>
  <c r="W228" i="9"/>
  <c r="O228" i="9"/>
  <c r="G228" i="9"/>
  <c r="AM227" i="9"/>
  <c r="AE227" i="9"/>
  <c r="W227" i="9"/>
  <c r="O227" i="9"/>
  <c r="G227" i="9"/>
  <c r="AM226" i="9"/>
  <c r="AE226" i="9"/>
  <c r="W226" i="9"/>
  <c r="O226" i="9"/>
  <c r="G226" i="9"/>
  <c r="AM225" i="9"/>
  <c r="AE225" i="9"/>
  <c r="W225" i="9"/>
  <c r="O225" i="9"/>
  <c r="G225" i="9"/>
  <c r="AM224" i="9"/>
  <c r="AE224" i="9"/>
  <c r="W224" i="9"/>
  <c r="O224" i="9"/>
  <c r="G224" i="9"/>
  <c r="AM223" i="9"/>
  <c r="AE223" i="9"/>
  <c r="W223" i="9"/>
  <c r="O223" i="9"/>
  <c r="G223" i="9"/>
  <c r="AM222" i="9"/>
  <c r="AE222" i="9"/>
  <c r="W222" i="9"/>
  <c r="O222" i="9"/>
  <c r="G222" i="9"/>
  <c r="AM221" i="9"/>
  <c r="AE221" i="9"/>
  <c r="W221" i="9"/>
  <c r="O221" i="9"/>
  <c r="G221" i="9"/>
  <c r="AM220" i="9"/>
  <c r="AE220" i="9"/>
  <c r="W220" i="9"/>
  <c r="O220" i="9"/>
  <c r="G220" i="9"/>
  <c r="AM219" i="9"/>
  <c r="AE219" i="9"/>
  <c r="W219" i="9"/>
  <c r="O219" i="9"/>
  <c r="G219" i="9"/>
  <c r="AE218" i="9"/>
  <c r="W218" i="9"/>
  <c r="O218" i="9"/>
  <c r="G218" i="9"/>
  <c r="AM217" i="9"/>
  <c r="AE217" i="9"/>
  <c r="W217" i="9"/>
  <c r="O217" i="9"/>
  <c r="G217" i="9"/>
  <c r="AM216" i="9"/>
  <c r="AE216" i="9"/>
  <c r="W216" i="9"/>
  <c r="O216" i="9"/>
  <c r="G216" i="9"/>
  <c r="AM215" i="9"/>
  <c r="AE215" i="9"/>
  <c r="W215" i="9"/>
  <c r="O215" i="9"/>
  <c r="G215" i="9"/>
  <c r="AM214" i="9"/>
  <c r="AE214" i="9"/>
  <c r="W214" i="9"/>
  <c r="O214" i="9"/>
  <c r="G214" i="9"/>
  <c r="AM213" i="9"/>
  <c r="AE213" i="9"/>
  <c r="W213" i="9"/>
  <c r="O213" i="9"/>
  <c r="G213" i="9"/>
  <c r="AM212" i="9"/>
  <c r="AE212" i="9"/>
  <c r="W212" i="9"/>
  <c r="O212" i="9"/>
  <c r="G212" i="9"/>
  <c r="AM211" i="9"/>
  <c r="AE211" i="9"/>
  <c r="W211" i="9"/>
  <c r="O211" i="9"/>
  <c r="AM210" i="9"/>
  <c r="AE210" i="9"/>
  <c r="W210" i="9"/>
  <c r="O210" i="9"/>
  <c r="G210" i="9"/>
  <c r="AM209" i="9"/>
  <c r="AE209" i="9"/>
  <c r="W209" i="9"/>
  <c r="O209" i="9"/>
  <c r="G209" i="9"/>
  <c r="AM208" i="9"/>
  <c r="AE208" i="9"/>
  <c r="W208" i="9"/>
  <c r="O208" i="9"/>
  <c r="G208" i="9"/>
  <c r="AM207" i="9"/>
  <c r="W207" i="9"/>
  <c r="O207" i="9"/>
  <c r="G207" i="9"/>
  <c r="AM206" i="9"/>
  <c r="AE206" i="9"/>
  <c r="W206" i="9"/>
  <c r="O206" i="9"/>
  <c r="G206" i="9"/>
  <c r="AM205" i="9"/>
  <c r="AE205" i="9"/>
  <c r="G205" i="9"/>
  <c r="AM204" i="9"/>
  <c r="AE204" i="9"/>
  <c r="W204" i="9"/>
  <c r="O204" i="9"/>
  <c r="G204" i="9"/>
  <c r="AM203" i="9"/>
  <c r="AE203" i="9"/>
  <c r="W203" i="9"/>
  <c r="O203" i="9"/>
  <c r="G203" i="9"/>
  <c r="AM202" i="9"/>
  <c r="AE202" i="9"/>
  <c r="W202" i="9"/>
  <c r="O202" i="9"/>
  <c r="G202" i="9"/>
  <c r="AM201" i="9"/>
  <c r="AE201" i="9"/>
  <c r="W201" i="9"/>
  <c r="O201" i="9"/>
  <c r="G201" i="9"/>
  <c r="AE200" i="9"/>
  <c r="W200" i="9"/>
  <c r="O200" i="9"/>
  <c r="G200" i="9"/>
  <c r="AM199" i="9"/>
  <c r="AE199" i="9"/>
  <c r="W199" i="9"/>
  <c r="O199" i="9"/>
  <c r="G199" i="9"/>
  <c r="AM198" i="9"/>
  <c r="AE198" i="9"/>
  <c r="W198" i="9"/>
  <c r="O198" i="9"/>
  <c r="G198" i="9"/>
  <c r="AM197" i="9"/>
  <c r="AE197" i="9"/>
  <c r="W197" i="9"/>
  <c r="O197" i="9"/>
  <c r="G197" i="9"/>
  <c r="AM196" i="9"/>
  <c r="AE196" i="9"/>
  <c r="W196" i="9"/>
  <c r="O196" i="9"/>
  <c r="G196" i="9"/>
  <c r="AM195" i="9"/>
  <c r="AE195" i="9"/>
  <c r="W195" i="9"/>
  <c r="O195" i="9"/>
  <c r="G195" i="9"/>
  <c r="AM194" i="9"/>
  <c r="AE194" i="9"/>
  <c r="W194" i="9"/>
  <c r="O194" i="9"/>
  <c r="G194" i="9"/>
  <c r="AM193" i="9"/>
  <c r="AE193" i="9"/>
  <c r="W193" i="9"/>
  <c r="O193" i="9"/>
  <c r="G193" i="9"/>
  <c r="AM192" i="9"/>
  <c r="AE192" i="9"/>
  <c r="W192" i="9"/>
  <c r="O192" i="9"/>
  <c r="AM191" i="9"/>
  <c r="AE191" i="9"/>
  <c r="W191" i="9"/>
  <c r="O191" i="9"/>
  <c r="G191" i="9"/>
  <c r="AM190" i="9"/>
  <c r="AE190" i="9"/>
  <c r="W190" i="9"/>
  <c r="O190" i="9"/>
  <c r="G190" i="9"/>
  <c r="AM189" i="9"/>
  <c r="W189" i="9"/>
  <c r="O189" i="9"/>
  <c r="G189" i="9"/>
  <c r="AM188" i="9"/>
  <c r="AE188" i="9"/>
  <c r="W188" i="9"/>
  <c r="O188" i="9"/>
  <c r="G188" i="9"/>
  <c r="AM187" i="9"/>
  <c r="AE187" i="9"/>
  <c r="G187" i="9"/>
  <c r="AM186" i="9"/>
  <c r="AE186" i="9"/>
  <c r="W186" i="9"/>
  <c r="O186" i="9"/>
  <c r="G186" i="9"/>
  <c r="AM185" i="9"/>
  <c r="AE185" i="9"/>
  <c r="W185" i="9"/>
  <c r="O185" i="9"/>
  <c r="G185" i="9"/>
  <c r="AM184" i="9"/>
  <c r="AE184" i="9"/>
  <c r="W184" i="9"/>
  <c r="O184" i="9"/>
  <c r="G184" i="9"/>
  <c r="AM183" i="9"/>
  <c r="AE183" i="9"/>
  <c r="W183" i="9"/>
  <c r="O183" i="9"/>
  <c r="G183" i="9"/>
  <c r="AM182" i="9"/>
  <c r="AE182" i="9"/>
  <c r="W182" i="9"/>
  <c r="O182" i="9"/>
  <c r="G182" i="9"/>
  <c r="AM181" i="9"/>
  <c r="AE181" i="9"/>
  <c r="W181" i="9"/>
  <c r="O181" i="9"/>
  <c r="G181" i="9"/>
  <c r="AM180" i="9"/>
  <c r="AE180" i="9"/>
  <c r="W180" i="9"/>
  <c r="O180" i="9"/>
  <c r="G180" i="9"/>
  <c r="AM179" i="9"/>
  <c r="AE179" i="9"/>
  <c r="W179" i="9"/>
  <c r="O179" i="9"/>
  <c r="G179" i="9"/>
  <c r="AM178" i="9"/>
  <c r="AE178" i="9"/>
  <c r="W178" i="9"/>
  <c r="O178" i="9"/>
  <c r="G178" i="9"/>
  <c r="AM177" i="9"/>
  <c r="AE177" i="9"/>
  <c r="W177" i="9"/>
  <c r="O177" i="9"/>
  <c r="G177" i="9"/>
  <c r="AM176" i="9"/>
  <c r="AE176" i="9"/>
  <c r="W176" i="9"/>
  <c r="O176" i="9"/>
  <c r="G176" i="9"/>
  <c r="AM175" i="9"/>
  <c r="AE175" i="9"/>
  <c r="W175" i="9"/>
  <c r="O175" i="9"/>
  <c r="G175" i="9"/>
  <c r="AM174" i="9"/>
  <c r="AE174" i="9"/>
  <c r="W174" i="9"/>
  <c r="O174" i="9"/>
  <c r="G174" i="9"/>
  <c r="AM173" i="9"/>
  <c r="AE173" i="9"/>
  <c r="W173" i="9"/>
  <c r="O173" i="9"/>
  <c r="G173" i="9"/>
  <c r="AM172" i="9"/>
  <c r="AE172" i="9"/>
  <c r="W172" i="9"/>
  <c r="O172" i="9"/>
  <c r="G172" i="9"/>
  <c r="AM171" i="9"/>
  <c r="AE171" i="9"/>
  <c r="W171" i="9"/>
  <c r="O171" i="9"/>
  <c r="G171" i="9"/>
  <c r="AM170" i="9"/>
  <c r="AE170" i="9"/>
  <c r="W170" i="9"/>
  <c r="O170" i="9"/>
  <c r="G170" i="9"/>
  <c r="AM169" i="9"/>
  <c r="AE169" i="9"/>
  <c r="W169" i="9"/>
  <c r="O169" i="9"/>
  <c r="G169" i="9"/>
  <c r="AM168" i="9"/>
  <c r="AE168" i="9"/>
  <c r="W168" i="9"/>
  <c r="O168" i="9"/>
  <c r="G168" i="9"/>
  <c r="AM167" i="9"/>
  <c r="AE167" i="9"/>
  <c r="W167" i="9"/>
  <c r="O167" i="9"/>
  <c r="G167" i="9"/>
  <c r="AM166" i="9"/>
  <c r="AE166" i="9"/>
  <c r="W166" i="9"/>
  <c r="O166" i="9"/>
  <c r="G166" i="9"/>
  <c r="AM165" i="9"/>
  <c r="AE165" i="9"/>
  <c r="W165" i="9"/>
  <c r="O165" i="9"/>
  <c r="G165" i="9"/>
  <c r="AM164" i="9"/>
  <c r="AE164" i="9"/>
  <c r="W164" i="9"/>
  <c r="O164" i="9"/>
  <c r="G164" i="9"/>
  <c r="AM163" i="9"/>
  <c r="AE163" i="9"/>
  <c r="W163" i="9"/>
  <c r="O163" i="9"/>
  <c r="G163" i="9"/>
  <c r="AM162" i="9"/>
  <c r="AE162" i="9"/>
  <c r="W162" i="9"/>
  <c r="O162" i="9"/>
  <c r="G162" i="9"/>
  <c r="AM161" i="9"/>
  <c r="AE161" i="9"/>
  <c r="W161" i="9"/>
  <c r="O161" i="9"/>
  <c r="G161" i="9"/>
  <c r="AM160" i="9"/>
  <c r="AE160" i="9"/>
  <c r="W160" i="9"/>
  <c r="O160" i="9"/>
  <c r="G160" i="9"/>
  <c r="AM159" i="9"/>
  <c r="AE159" i="9"/>
  <c r="W159" i="9"/>
  <c r="O159" i="9"/>
  <c r="G159" i="9"/>
  <c r="AM158" i="9"/>
  <c r="AE158" i="9"/>
  <c r="W158" i="9"/>
  <c r="O158" i="9"/>
  <c r="G158" i="9"/>
  <c r="AM157" i="9"/>
  <c r="AE157" i="9"/>
  <c r="W157" i="9"/>
  <c r="O157" i="9"/>
  <c r="G157" i="9"/>
  <c r="AM156" i="9"/>
  <c r="AE156" i="9"/>
  <c r="W156" i="9"/>
  <c r="O156" i="9"/>
  <c r="G156" i="9"/>
  <c r="AM155" i="9"/>
  <c r="AE155" i="9"/>
  <c r="W155" i="9"/>
  <c r="O155" i="9"/>
  <c r="G155" i="9"/>
  <c r="AM154" i="9"/>
  <c r="AE154" i="9"/>
  <c r="W154" i="9"/>
  <c r="O154" i="9"/>
  <c r="G154" i="9"/>
  <c r="AM153" i="9"/>
  <c r="AE153" i="9"/>
  <c r="W153" i="9"/>
  <c r="O153" i="9"/>
  <c r="G153" i="9"/>
  <c r="AM152" i="9"/>
  <c r="AE152" i="9"/>
  <c r="W152" i="9"/>
  <c r="O152" i="9"/>
  <c r="G152" i="9"/>
  <c r="AM151" i="9"/>
  <c r="AE151" i="9"/>
  <c r="W151" i="9"/>
  <c r="O151" i="9"/>
  <c r="G151" i="9"/>
  <c r="AM150" i="9"/>
  <c r="AE150" i="9"/>
  <c r="W150" i="9"/>
  <c r="O150" i="9"/>
  <c r="G150" i="9"/>
  <c r="AM149" i="9"/>
  <c r="AE149" i="9"/>
  <c r="W149" i="9"/>
  <c r="O149" i="9"/>
  <c r="G149" i="9"/>
  <c r="AM148" i="9"/>
  <c r="AE148" i="9"/>
  <c r="W148" i="9"/>
  <c r="O148" i="9"/>
  <c r="G148" i="9"/>
  <c r="AM147" i="9"/>
  <c r="AE147" i="9"/>
  <c r="W147" i="9"/>
  <c r="O147" i="9"/>
  <c r="G147" i="9"/>
  <c r="AM146" i="9"/>
  <c r="AE146" i="9"/>
  <c r="W146" i="9"/>
  <c r="O146" i="9"/>
  <c r="G146" i="9"/>
  <c r="AM145" i="9"/>
  <c r="AE145" i="9"/>
  <c r="W145" i="9"/>
  <c r="O145" i="9"/>
  <c r="G145" i="9"/>
  <c r="AM144" i="9"/>
  <c r="AE144" i="9"/>
  <c r="W144" i="9"/>
  <c r="O144" i="9"/>
  <c r="G144" i="9"/>
  <c r="AM143" i="9"/>
  <c r="AE143" i="9"/>
  <c r="W143" i="9"/>
  <c r="O143" i="9"/>
  <c r="G143" i="9"/>
  <c r="AM142" i="9"/>
  <c r="AE142" i="9"/>
  <c r="W142" i="9"/>
  <c r="O142" i="9"/>
  <c r="G142" i="9"/>
  <c r="AM141" i="9"/>
  <c r="AE141" i="9"/>
  <c r="W141" i="9"/>
  <c r="O141" i="9"/>
  <c r="G141" i="9"/>
  <c r="AM140" i="9"/>
  <c r="AE140" i="9"/>
  <c r="W140" i="9"/>
  <c r="O140" i="9"/>
  <c r="G140" i="9"/>
  <c r="AM139" i="9"/>
  <c r="AE139" i="9"/>
  <c r="W139" i="9"/>
  <c r="O139" i="9"/>
  <c r="G139" i="9"/>
  <c r="AM138" i="9"/>
  <c r="AE138" i="9"/>
  <c r="W138" i="9"/>
  <c r="O138" i="9"/>
  <c r="G138" i="9"/>
  <c r="AM137" i="9"/>
  <c r="AE137" i="9"/>
  <c r="W137" i="9"/>
  <c r="O137" i="9"/>
  <c r="G137" i="9"/>
  <c r="AM136" i="9"/>
  <c r="AE136" i="9"/>
  <c r="W136" i="9"/>
  <c r="O136" i="9"/>
  <c r="G136" i="9"/>
  <c r="AM135" i="9"/>
  <c r="AE135" i="9"/>
  <c r="W135" i="9"/>
  <c r="O135" i="9"/>
  <c r="G135" i="9"/>
  <c r="AM134" i="9"/>
  <c r="AE134" i="9"/>
  <c r="W134" i="9"/>
  <c r="O134" i="9"/>
  <c r="G134" i="9"/>
  <c r="AM133" i="9"/>
  <c r="AE133" i="9"/>
  <c r="W133" i="9"/>
  <c r="O133" i="9"/>
  <c r="G133" i="9"/>
  <c r="AM132" i="9"/>
  <c r="AE132" i="9"/>
  <c r="W132" i="9"/>
  <c r="O132" i="9"/>
  <c r="G132" i="9"/>
  <c r="AM131" i="9"/>
  <c r="AE131" i="9"/>
  <c r="W131" i="9"/>
  <c r="O131" i="9"/>
  <c r="G131" i="9"/>
  <c r="AM130" i="9"/>
  <c r="AE130" i="9"/>
  <c r="W130" i="9"/>
  <c r="O130" i="9"/>
  <c r="G130" i="9"/>
  <c r="AE129" i="9"/>
  <c r="W129" i="9"/>
  <c r="O129" i="9"/>
  <c r="G129" i="9"/>
  <c r="AE128" i="9"/>
  <c r="W128" i="9"/>
  <c r="O128" i="9"/>
  <c r="G128" i="9"/>
  <c r="AL127" i="9"/>
  <c r="AM127" i="9" s="1"/>
  <c r="AE127" i="9"/>
  <c r="W127" i="9"/>
  <c r="O127" i="9"/>
  <c r="G127" i="9"/>
  <c r="AM126" i="9"/>
  <c r="AE126" i="9"/>
  <c r="W126" i="9"/>
  <c r="O126" i="9"/>
  <c r="G126" i="9"/>
  <c r="AM125" i="9"/>
  <c r="AE125" i="9"/>
  <c r="W125" i="9"/>
  <c r="O125" i="9"/>
  <c r="G125" i="9"/>
  <c r="AM124" i="9"/>
  <c r="AE124" i="9"/>
  <c r="W124" i="9"/>
  <c r="O124" i="9"/>
  <c r="G124" i="9"/>
  <c r="AM123" i="9"/>
  <c r="W123" i="9"/>
  <c r="O123" i="9"/>
  <c r="AM122" i="9"/>
  <c r="AE122" i="9"/>
  <c r="W122" i="9"/>
  <c r="O122" i="9"/>
  <c r="G122" i="9"/>
  <c r="AM121" i="9"/>
  <c r="AE121" i="9"/>
  <c r="G121" i="9"/>
  <c r="AM120" i="9"/>
  <c r="AE120" i="9"/>
  <c r="W120" i="9"/>
  <c r="O120" i="9"/>
  <c r="G120" i="9"/>
  <c r="AM119" i="9"/>
  <c r="AE119" i="9"/>
  <c r="W119" i="9"/>
  <c r="O119" i="9"/>
  <c r="G119" i="9"/>
  <c r="AM118" i="9"/>
  <c r="AE118" i="9"/>
  <c r="W118" i="9"/>
  <c r="O118" i="9"/>
  <c r="G118" i="9"/>
  <c r="AM117" i="9"/>
  <c r="AE117" i="9"/>
  <c r="W117" i="9"/>
  <c r="O117" i="9"/>
  <c r="G117" i="9"/>
  <c r="AM116" i="9"/>
  <c r="AE116" i="9"/>
  <c r="W116" i="9"/>
  <c r="O116" i="9"/>
  <c r="G116" i="9"/>
  <c r="AM115" i="9"/>
  <c r="AE115" i="9"/>
  <c r="W115" i="9"/>
  <c r="O115" i="9"/>
  <c r="G115" i="9"/>
  <c r="AM114" i="9"/>
  <c r="AE114" i="9"/>
  <c r="W114" i="9"/>
  <c r="O114" i="9"/>
  <c r="G114" i="9"/>
  <c r="AM113" i="9"/>
  <c r="AE113" i="9"/>
  <c r="W113" i="9"/>
  <c r="O113" i="9"/>
  <c r="G113" i="9"/>
  <c r="AM112" i="9"/>
  <c r="AE112" i="9"/>
  <c r="W112" i="9"/>
  <c r="O112" i="9"/>
  <c r="G112" i="9"/>
  <c r="AM111" i="9"/>
  <c r="AE111" i="9"/>
  <c r="W111" i="9"/>
  <c r="O111" i="9"/>
  <c r="G111" i="9"/>
  <c r="AM110" i="9"/>
  <c r="AE110" i="9"/>
  <c r="W110" i="9"/>
  <c r="O110" i="9"/>
  <c r="G110" i="9"/>
  <c r="AM109" i="9"/>
  <c r="AE109" i="9"/>
  <c r="W109" i="9"/>
  <c r="O109" i="9"/>
  <c r="G109" i="9"/>
  <c r="AM108" i="9"/>
  <c r="AE108" i="9"/>
  <c r="W108" i="9"/>
  <c r="O108" i="9"/>
  <c r="G108" i="9"/>
  <c r="AM107" i="9"/>
  <c r="AE107" i="9"/>
  <c r="W107" i="9"/>
  <c r="O107" i="9"/>
  <c r="G107" i="9"/>
  <c r="AM106" i="9"/>
  <c r="AE106" i="9"/>
  <c r="W106" i="9"/>
  <c r="O106" i="9"/>
  <c r="G106" i="9"/>
  <c r="AM105" i="9"/>
  <c r="AE105" i="9"/>
  <c r="W105" i="9"/>
  <c r="O105" i="9"/>
  <c r="G105" i="9"/>
  <c r="AM104" i="9"/>
  <c r="AE104" i="9"/>
  <c r="W104" i="9"/>
  <c r="O104" i="9"/>
  <c r="G104" i="9"/>
  <c r="AM103" i="9"/>
  <c r="W103" i="9"/>
  <c r="O103" i="9"/>
  <c r="AE102" i="9"/>
  <c r="W102" i="9"/>
  <c r="O102" i="9"/>
  <c r="G102" i="9"/>
  <c r="AM101" i="9"/>
  <c r="AE101" i="9"/>
  <c r="G101" i="9"/>
  <c r="AM100" i="9"/>
  <c r="AE100" i="9"/>
  <c r="W100" i="9"/>
  <c r="O100" i="9"/>
  <c r="G100" i="9"/>
  <c r="AM99" i="9"/>
  <c r="AE99" i="9"/>
  <c r="W99" i="9"/>
  <c r="O99" i="9"/>
  <c r="G99" i="9"/>
  <c r="AM98" i="9"/>
  <c r="AE98" i="9"/>
  <c r="W98" i="9"/>
  <c r="O98" i="9"/>
  <c r="G98" i="9"/>
  <c r="AL97" i="9"/>
  <c r="AM97" i="9" s="1"/>
  <c r="AD97" i="9"/>
  <c r="AE97" i="9" s="1"/>
  <c r="V97" i="9"/>
  <c r="W97" i="9" s="1"/>
  <c r="N97" i="9"/>
  <c r="O97" i="9" s="1"/>
  <c r="F97" i="9"/>
  <c r="G97" i="9" s="1"/>
  <c r="AL96" i="9"/>
  <c r="AM96" i="9" s="1"/>
  <c r="AD96" i="9"/>
  <c r="AE96" i="9" s="1"/>
  <c r="V96" i="9"/>
  <c r="W96" i="9" s="1"/>
  <c r="O96" i="9"/>
  <c r="G96" i="9"/>
  <c r="AM95" i="9"/>
  <c r="AE95" i="9"/>
  <c r="W95" i="9"/>
  <c r="O95" i="9"/>
  <c r="G95" i="9"/>
  <c r="AM94" i="9"/>
  <c r="AE94" i="9"/>
  <c r="W94" i="9"/>
  <c r="O94" i="9"/>
  <c r="G94" i="9"/>
  <c r="AL93" i="9"/>
  <c r="AM93" i="9" s="1"/>
  <c r="AE93" i="9"/>
  <c r="W93" i="9"/>
  <c r="O93" i="9"/>
  <c r="G93" i="9"/>
  <c r="AL92" i="9"/>
  <c r="AM92" i="9" s="1"/>
  <c r="AE92" i="9"/>
  <c r="W92" i="9"/>
  <c r="O92" i="9"/>
  <c r="G92" i="9"/>
  <c r="AL91" i="9"/>
  <c r="AM91" i="9" s="1"/>
  <c r="AD91" i="9"/>
  <c r="AE91" i="9" s="1"/>
  <c r="V91" i="9"/>
  <c r="W91" i="9" s="1"/>
  <c r="O91" i="9"/>
  <c r="G91" i="9"/>
  <c r="J81" i="9"/>
  <c r="J82" i="9" s="1"/>
  <c r="AM76" i="9"/>
  <c r="AX75" i="9"/>
  <c r="AX76" i="9" s="1"/>
  <c r="AN75" i="9"/>
  <c r="AN76" i="9" s="1"/>
  <c r="AW73" i="9"/>
  <c r="AM73" i="9"/>
  <c r="AD73" i="9"/>
  <c r="AD74" i="9" s="1"/>
  <c r="T73" i="9"/>
  <c r="T74" i="9" s="1"/>
  <c r="AW72" i="9"/>
  <c r="AM72" i="9"/>
  <c r="S72" i="9"/>
  <c r="AW71" i="9"/>
  <c r="AM71" i="9"/>
  <c r="S71" i="9"/>
  <c r="AW70" i="9"/>
  <c r="AM70" i="9"/>
  <c r="S70" i="9"/>
  <c r="AW69" i="9"/>
  <c r="AM69" i="9"/>
  <c r="S69" i="9"/>
  <c r="AW68" i="9"/>
  <c r="AM68" i="9"/>
  <c r="S68" i="9"/>
  <c r="AW67" i="9"/>
  <c r="AM67" i="9"/>
  <c r="S67" i="9"/>
  <c r="AV66" i="9"/>
  <c r="AW66" i="9" s="1"/>
  <c r="AL66" i="9"/>
  <c r="AM66" i="9" s="1"/>
  <c r="S66" i="9"/>
  <c r="AW65" i="9"/>
  <c r="AM65" i="9"/>
  <c r="S65" i="9"/>
  <c r="AW64" i="9"/>
  <c r="AM64" i="9"/>
  <c r="S64" i="9"/>
  <c r="AW63" i="9"/>
  <c r="AM63" i="9"/>
  <c r="S63" i="9"/>
  <c r="AW62" i="9"/>
  <c r="AM62" i="9"/>
  <c r="S62" i="9"/>
  <c r="AW61" i="9"/>
  <c r="AM61" i="9"/>
  <c r="S61" i="9"/>
  <c r="AW60" i="9"/>
  <c r="AM60" i="9"/>
  <c r="AW59" i="9"/>
  <c r="AM59" i="9"/>
  <c r="AW58" i="9"/>
  <c r="AM58" i="9"/>
  <c r="S58" i="9"/>
  <c r="AW57" i="9"/>
  <c r="AM57" i="9"/>
  <c r="S57" i="9"/>
  <c r="AW56" i="9"/>
  <c r="AM56" i="9"/>
  <c r="S56" i="9"/>
  <c r="AW55" i="9"/>
  <c r="AM55" i="9"/>
  <c r="S55" i="9"/>
  <c r="AW54" i="9"/>
  <c r="AM54" i="9"/>
  <c r="S54" i="9"/>
  <c r="AW53" i="9"/>
  <c r="AM53" i="9"/>
  <c r="S53" i="9"/>
  <c r="AW52" i="9"/>
  <c r="AM52" i="9"/>
  <c r="S52" i="9"/>
  <c r="AW51" i="9"/>
  <c r="AM51" i="9"/>
  <c r="S51" i="9"/>
  <c r="AW50" i="9"/>
  <c r="AM50" i="9"/>
  <c r="S50" i="9"/>
  <c r="AW49" i="9"/>
  <c r="AM49" i="9"/>
  <c r="S49" i="9"/>
  <c r="AW48" i="9"/>
  <c r="AM48" i="9"/>
  <c r="S48" i="9"/>
  <c r="AW47" i="9"/>
  <c r="AM47" i="9"/>
  <c r="S47" i="9"/>
  <c r="AW46" i="9"/>
  <c r="AM46" i="9"/>
  <c r="S46" i="9"/>
  <c r="AW45" i="9"/>
  <c r="AM45" i="9"/>
  <c r="S45" i="9"/>
  <c r="AW44" i="9"/>
  <c r="AM44" i="9"/>
  <c r="S44" i="9"/>
  <c r="AW43" i="9"/>
  <c r="AM43" i="9"/>
  <c r="S43" i="9"/>
  <c r="AW42" i="9"/>
  <c r="AM42" i="9"/>
  <c r="S42" i="9"/>
  <c r="AW41" i="9"/>
  <c r="AM41" i="9"/>
  <c r="S41" i="9"/>
  <c r="AW40" i="9"/>
  <c r="AM40" i="9"/>
  <c r="S40" i="9"/>
  <c r="AW39" i="9"/>
  <c r="AM39" i="9"/>
  <c r="S39" i="9"/>
  <c r="AW38" i="9"/>
  <c r="AM38" i="9"/>
  <c r="S38" i="9"/>
  <c r="AW37" i="9"/>
  <c r="AM37" i="9"/>
  <c r="S37" i="9"/>
  <c r="AW36" i="9"/>
  <c r="AM36" i="9"/>
  <c r="S36" i="9"/>
  <c r="AW35" i="9"/>
  <c r="AM35" i="9"/>
  <c r="S35" i="9"/>
  <c r="AW34" i="9"/>
  <c r="AM34" i="9"/>
  <c r="S34" i="9"/>
  <c r="AW33" i="9"/>
  <c r="AM33" i="9"/>
  <c r="S33" i="9"/>
  <c r="AW32" i="9"/>
  <c r="AM32" i="9"/>
  <c r="S32" i="9"/>
  <c r="G211" i="9" l="1"/>
  <c r="AM248" i="9"/>
  <c r="G103" i="9"/>
  <c r="G123" i="9"/>
  <c r="AE189" i="9"/>
  <c r="AM218" i="9"/>
  <c r="O187" i="9"/>
  <c r="AM200" i="9"/>
  <c r="O121" i="9"/>
  <c r="W187" i="9"/>
  <c r="O205" i="9"/>
  <c r="AE207" i="9"/>
  <c r="AE234" i="9"/>
  <c r="G239" i="9"/>
  <c r="AM128" i="9"/>
  <c r="AE123" i="9"/>
  <c r="O232" i="9"/>
  <c r="AM102" i="9"/>
  <c r="W232" i="9"/>
  <c r="W205" i="9"/>
  <c r="W121" i="9"/>
  <c r="O101" i="9"/>
  <c r="G192" i="9"/>
  <c r="W101" i="9"/>
  <c r="AE103" i="9"/>
  <c r="F27" i="9" l="1"/>
  <c r="F14" i="9"/>
  <c r="J47" i="15" l="1"/>
  <c r="B47" i="15"/>
  <c r="M47" i="15" s="1"/>
  <c r="N47" i="15" s="1"/>
  <c r="C42" i="15"/>
  <c r="D42" i="15"/>
  <c r="E42" i="15"/>
  <c r="F42" i="15"/>
  <c r="G42" i="15"/>
  <c r="H42" i="15"/>
  <c r="I42" i="15"/>
  <c r="J42" i="15"/>
  <c r="K42" i="15"/>
  <c r="L42" i="15"/>
  <c r="M42" i="15"/>
  <c r="B42" i="15"/>
  <c r="J35" i="15"/>
  <c r="B35" i="15"/>
  <c r="C30" i="15"/>
  <c r="D30" i="15"/>
  <c r="E30" i="15"/>
  <c r="F30" i="15"/>
  <c r="G30" i="15"/>
  <c r="H30" i="15"/>
  <c r="I30" i="15"/>
  <c r="J30" i="15"/>
  <c r="K30" i="15"/>
  <c r="L30" i="15"/>
  <c r="M30" i="15"/>
  <c r="B30" i="15"/>
  <c r="E29" i="15"/>
  <c r="F29" i="15"/>
  <c r="G29" i="15"/>
  <c r="H29" i="15"/>
  <c r="I29" i="15"/>
  <c r="J29" i="15"/>
  <c r="K29" i="15"/>
  <c r="L29" i="15"/>
  <c r="M29" i="15"/>
  <c r="M35" i="15" l="1"/>
  <c r="N35" i="15" s="1"/>
  <c r="J48" i="2"/>
  <c r="K48" i="2"/>
  <c r="L48" i="2"/>
  <c r="M48" i="2"/>
  <c r="J45" i="2"/>
  <c r="K45" i="2"/>
  <c r="L45" i="2"/>
  <c r="M45" i="2"/>
  <c r="J41" i="2"/>
  <c r="K41" i="2"/>
  <c r="L41" i="2"/>
  <c r="M41" i="2"/>
  <c r="I48" i="2"/>
  <c r="I45" i="2"/>
  <c r="I41" i="2"/>
  <c r="Q20" i="1"/>
  <c r="Q19" i="1"/>
  <c r="Q21" i="1"/>
  <c r="Q22" i="1"/>
  <c r="H14" i="5"/>
  <c r="I14" i="5"/>
  <c r="J14" i="5"/>
  <c r="K14" i="5"/>
  <c r="L14" i="5"/>
  <c r="R14" i="5"/>
  <c r="H15" i="5"/>
  <c r="I15" i="5"/>
  <c r="J15" i="5"/>
  <c r="K15" i="5"/>
  <c r="L15" i="5"/>
  <c r="R15" i="5"/>
  <c r="H16" i="5"/>
  <c r="I16" i="5"/>
  <c r="J16" i="5"/>
  <c r="K16" i="5"/>
  <c r="L16" i="5"/>
  <c r="R16" i="5"/>
  <c r="D46" i="15" l="1"/>
  <c r="H46" i="15"/>
  <c r="L46" i="15"/>
  <c r="E46" i="15"/>
  <c r="I46" i="15"/>
  <c r="M46" i="15"/>
  <c r="F46" i="15"/>
  <c r="J46" i="15"/>
  <c r="B46" i="15"/>
  <c r="C46" i="15"/>
  <c r="G46" i="15"/>
  <c r="K46" i="15"/>
  <c r="E34" i="15"/>
  <c r="I34" i="15"/>
  <c r="M34" i="15"/>
  <c r="F34" i="15"/>
  <c r="J34" i="15"/>
  <c r="B34" i="15"/>
  <c r="C34" i="15"/>
  <c r="G34" i="15"/>
  <c r="K34" i="15"/>
  <c r="D34" i="15"/>
  <c r="H34" i="15"/>
  <c r="L34" i="15"/>
  <c r="M27" i="7"/>
  <c r="M26" i="7"/>
  <c r="M25" i="7"/>
  <c r="M24" i="7"/>
  <c r="M22" i="7"/>
  <c r="M18" i="7"/>
  <c r="M17" i="7"/>
  <c r="M16" i="7"/>
  <c r="M15" i="7"/>
  <c r="M14" i="7"/>
  <c r="M13" i="7"/>
  <c r="M12" i="7"/>
  <c r="N34" i="15" l="1"/>
  <c r="N46" i="15"/>
  <c r="I47" i="2"/>
  <c r="C22" i="1"/>
  <c r="H22" i="1" s="1"/>
  <c r="C16" i="5"/>
  <c r="M16" i="5" s="1"/>
  <c r="I40" i="2"/>
  <c r="C14" i="5"/>
  <c r="M14" i="5" s="1"/>
  <c r="C20" i="1"/>
  <c r="H20" i="1" s="1"/>
  <c r="I44" i="2"/>
  <c r="C15" i="5"/>
  <c r="M15" i="5" s="1"/>
  <c r="C21" i="1"/>
  <c r="H21" i="1" s="1"/>
  <c r="H42" i="7" l="1"/>
  <c r="H41" i="7"/>
  <c r="H40" i="7"/>
  <c r="I40" i="7" s="1"/>
  <c r="L18" i="7"/>
  <c r="K18" i="7"/>
  <c r="J18" i="7"/>
  <c r="I18" i="7"/>
  <c r="L17" i="7"/>
  <c r="K17" i="7"/>
  <c r="J17" i="7"/>
  <c r="I17" i="7"/>
  <c r="L16" i="7"/>
  <c r="K16" i="7"/>
  <c r="J16" i="7"/>
  <c r="I16" i="7"/>
  <c r="D29" i="15" l="1"/>
  <c r="S16" i="5"/>
  <c r="N18" i="7"/>
  <c r="V16" i="5"/>
  <c r="Q18" i="7"/>
  <c r="T16" i="5"/>
  <c r="O18" i="7"/>
  <c r="U16" i="5"/>
  <c r="P18" i="7"/>
  <c r="T15" i="5"/>
  <c r="O17" i="7"/>
  <c r="U15" i="5"/>
  <c r="P17" i="7"/>
  <c r="V15" i="5"/>
  <c r="Q17" i="7"/>
  <c r="S15" i="5"/>
  <c r="N17" i="7"/>
  <c r="S14" i="5"/>
  <c r="N16" i="7"/>
  <c r="U14" i="5"/>
  <c r="P16" i="7"/>
  <c r="V14" i="5"/>
  <c r="Q16" i="7"/>
  <c r="T14" i="5"/>
  <c r="O16" i="7"/>
  <c r="I42" i="7"/>
  <c r="E48" i="2"/>
  <c r="H48" i="2"/>
  <c r="G48" i="2"/>
  <c r="F48" i="2"/>
  <c r="D48" i="2"/>
  <c r="P49" i="2"/>
  <c r="D47" i="2"/>
  <c r="H45" i="2"/>
  <c r="D45" i="2"/>
  <c r="G45" i="2"/>
  <c r="F45" i="2"/>
  <c r="E45" i="2"/>
  <c r="P46" i="2"/>
  <c r="D44" i="2"/>
  <c r="G41" i="2"/>
  <c r="H41" i="2"/>
  <c r="F41" i="2"/>
  <c r="E41" i="2"/>
  <c r="D41" i="2"/>
  <c r="P42" i="2"/>
  <c r="P43" i="2" s="1"/>
  <c r="J84" i="15"/>
  <c r="B84" i="15"/>
  <c r="J72" i="15"/>
  <c r="B72" i="15"/>
  <c r="J59" i="15"/>
  <c r="B59" i="15"/>
  <c r="P50" i="2" l="1"/>
  <c r="B45" i="15" s="1"/>
  <c r="G16" i="5"/>
  <c r="Q16" i="5" s="1"/>
  <c r="M47" i="2"/>
  <c r="H47" i="2" s="1"/>
  <c r="H49" i="2" s="1"/>
  <c r="G22" i="1"/>
  <c r="L22" i="1" s="1"/>
  <c r="F16" i="5"/>
  <c r="P16" i="5" s="1"/>
  <c r="F22" i="1"/>
  <c r="K22" i="1" s="1"/>
  <c r="L47" i="2"/>
  <c r="E16" i="5"/>
  <c r="O16" i="5" s="1"/>
  <c r="E22" i="1"/>
  <c r="J22" i="1" s="1"/>
  <c r="K47" i="2"/>
  <c r="D16" i="5"/>
  <c r="N16" i="5" s="1"/>
  <c r="J47" i="2"/>
  <c r="E47" i="2" s="1"/>
  <c r="E49" i="2" s="1"/>
  <c r="D22" i="1"/>
  <c r="I22" i="1" s="1"/>
  <c r="M44" i="2"/>
  <c r="H44" i="2" s="1"/>
  <c r="H46" i="2" s="1"/>
  <c r="G15" i="5"/>
  <c r="Q15" i="5" s="1"/>
  <c r="G21" i="1"/>
  <c r="L21" i="1" s="1"/>
  <c r="E15" i="5"/>
  <c r="O15" i="5" s="1"/>
  <c r="E21" i="1"/>
  <c r="J21" i="1" s="1"/>
  <c r="K44" i="2"/>
  <c r="D15" i="5"/>
  <c r="N15" i="5" s="1"/>
  <c r="J44" i="2"/>
  <c r="D21" i="1"/>
  <c r="I21" i="1" s="1"/>
  <c r="L44" i="2"/>
  <c r="G44" i="2" s="1"/>
  <c r="G46" i="2" s="1"/>
  <c r="F15" i="5"/>
  <c r="P15" i="5" s="1"/>
  <c r="F21" i="1"/>
  <c r="K21" i="1" s="1"/>
  <c r="K40" i="2"/>
  <c r="F40" i="2" s="1"/>
  <c r="F42" i="2" s="1"/>
  <c r="F43" i="2" s="1"/>
  <c r="E20" i="1"/>
  <c r="J20" i="1" s="1"/>
  <c r="E14" i="5"/>
  <c r="O14" i="5" s="1"/>
  <c r="F14" i="5"/>
  <c r="P14" i="5" s="1"/>
  <c r="F20" i="1"/>
  <c r="K20" i="1" s="1"/>
  <c r="L40" i="2"/>
  <c r="G40" i="2" s="1"/>
  <c r="G42" i="2" s="1"/>
  <c r="G43" i="2" s="1"/>
  <c r="G14" i="5"/>
  <c r="Q14" i="5" s="1"/>
  <c r="G20" i="1"/>
  <c r="L20" i="1" s="1"/>
  <c r="M40" i="2"/>
  <c r="J40" i="2"/>
  <c r="D14" i="5"/>
  <c r="N14" i="5" s="1"/>
  <c r="D20" i="1"/>
  <c r="I20" i="1" s="1"/>
  <c r="D11" i="2"/>
  <c r="B33" i="15"/>
  <c r="D46" i="2"/>
  <c r="K41" i="15"/>
  <c r="I41" i="15"/>
  <c r="F41" i="15"/>
  <c r="J41" i="15"/>
  <c r="D41" i="15"/>
  <c r="G41" i="15"/>
  <c r="H41" i="15"/>
  <c r="L41" i="15"/>
  <c r="E41" i="15"/>
  <c r="M41" i="15"/>
  <c r="M72" i="15"/>
  <c r="D49" i="2"/>
  <c r="D12" i="2"/>
  <c r="I46" i="2"/>
  <c r="I49" i="2"/>
  <c r="M59" i="15"/>
  <c r="M84" i="15"/>
  <c r="J23" i="15"/>
  <c r="B23" i="15"/>
  <c r="J11" i="15"/>
  <c r="B11" i="15"/>
  <c r="C79" i="15"/>
  <c r="D79" i="15"/>
  <c r="E79" i="15"/>
  <c r="F79" i="15"/>
  <c r="G79" i="15"/>
  <c r="H79" i="15"/>
  <c r="I79" i="15"/>
  <c r="J79" i="15"/>
  <c r="K79" i="15"/>
  <c r="L79" i="15"/>
  <c r="M79" i="15"/>
  <c r="B79" i="15"/>
  <c r="C66" i="15"/>
  <c r="D66" i="15"/>
  <c r="E66" i="15"/>
  <c r="F66" i="15"/>
  <c r="G66" i="15"/>
  <c r="H66" i="15"/>
  <c r="I66" i="15"/>
  <c r="J66" i="15"/>
  <c r="K66" i="15"/>
  <c r="L66" i="15"/>
  <c r="M66" i="15"/>
  <c r="B66" i="15"/>
  <c r="C54" i="15"/>
  <c r="D54" i="15"/>
  <c r="E54" i="15"/>
  <c r="F54" i="15"/>
  <c r="G54" i="15"/>
  <c r="H54" i="15"/>
  <c r="I54" i="15"/>
  <c r="J54" i="15"/>
  <c r="K54" i="15"/>
  <c r="L54" i="15"/>
  <c r="M54" i="15"/>
  <c r="B54" i="15"/>
  <c r="C18" i="15"/>
  <c r="D18" i="15"/>
  <c r="E18" i="15"/>
  <c r="F18" i="15"/>
  <c r="G18" i="15"/>
  <c r="H18" i="15"/>
  <c r="I18" i="15"/>
  <c r="J18" i="15"/>
  <c r="K18" i="15"/>
  <c r="L18" i="15"/>
  <c r="M18" i="15"/>
  <c r="B18" i="15"/>
  <c r="C6" i="15"/>
  <c r="D6" i="15"/>
  <c r="E6" i="15"/>
  <c r="F6" i="15"/>
  <c r="G6" i="15"/>
  <c r="H6" i="15"/>
  <c r="I6" i="15"/>
  <c r="J6" i="15"/>
  <c r="K6" i="15"/>
  <c r="L6" i="15"/>
  <c r="M6" i="15"/>
  <c r="B6" i="15"/>
  <c r="K42" i="2" l="1"/>
  <c r="K43" i="2" s="1"/>
  <c r="M49" i="2"/>
  <c r="L42" i="2"/>
  <c r="L43" i="2" s="1"/>
  <c r="M36" i="15"/>
  <c r="J49" i="2"/>
  <c r="H50" i="2"/>
  <c r="L49" i="2"/>
  <c r="G47" i="2"/>
  <c r="G49" i="2" s="1"/>
  <c r="G50" i="2" s="1"/>
  <c r="F47" i="2"/>
  <c r="F49" i="2" s="1"/>
  <c r="K49" i="2"/>
  <c r="K46" i="2"/>
  <c r="F44" i="2"/>
  <c r="F46" i="2" s="1"/>
  <c r="L46" i="2"/>
  <c r="J46" i="2"/>
  <c r="E44" i="2"/>
  <c r="E46" i="2" s="1"/>
  <c r="E50" i="2" s="1"/>
  <c r="M46" i="2"/>
  <c r="M42" i="2"/>
  <c r="M43" i="2" s="1"/>
  <c r="H40" i="2"/>
  <c r="H42" i="2" s="1"/>
  <c r="H43" i="2" s="1"/>
  <c r="E40" i="2"/>
  <c r="E42" i="2" s="1"/>
  <c r="E43" i="2" s="1"/>
  <c r="J42" i="2"/>
  <c r="J43" i="2" s="1"/>
  <c r="D50" i="2"/>
  <c r="M23" i="15"/>
  <c r="M11" i="15"/>
  <c r="I50" i="2"/>
  <c r="H48" i="7"/>
  <c r="H51" i="7"/>
  <c r="H50" i="7"/>
  <c r="J50" i="2" l="1"/>
  <c r="M50" i="2"/>
  <c r="K36" i="15"/>
  <c r="J36" i="15"/>
  <c r="E36" i="15"/>
  <c r="G36" i="15"/>
  <c r="I36" i="15"/>
  <c r="L36" i="15"/>
  <c r="D36" i="15"/>
  <c r="F36" i="15"/>
  <c r="C36" i="15"/>
  <c r="B36" i="15"/>
  <c r="F11" i="2"/>
  <c r="H36" i="15"/>
  <c r="L50" i="2"/>
  <c r="N49" i="2"/>
  <c r="N46" i="2"/>
  <c r="O46" i="2"/>
  <c r="O49" i="2"/>
  <c r="F50" i="2"/>
  <c r="K50" i="2"/>
  <c r="C22" i="15"/>
  <c r="G22" i="15"/>
  <c r="K22" i="15"/>
  <c r="I22" i="15"/>
  <c r="F22" i="15"/>
  <c r="D22" i="15"/>
  <c r="H22" i="15"/>
  <c r="L22" i="15"/>
  <c r="E22" i="15"/>
  <c r="M22" i="15"/>
  <c r="J22" i="15"/>
  <c r="B22" i="15"/>
  <c r="D58" i="15"/>
  <c r="H58" i="15"/>
  <c r="L58" i="15"/>
  <c r="E58" i="15"/>
  <c r="I58" i="15"/>
  <c r="M58" i="15"/>
  <c r="F58" i="15"/>
  <c r="J58" i="15"/>
  <c r="B58" i="15"/>
  <c r="C58" i="15"/>
  <c r="G58" i="15"/>
  <c r="K58" i="15"/>
  <c r="C10" i="15"/>
  <c r="D10" i="15"/>
  <c r="H10" i="15"/>
  <c r="L10" i="15"/>
  <c r="I10" i="15"/>
  <c r="M10" i="15"/>
  <c r="J10" i="15"/>
  <c r="B10" i="15"/>
  <c r="G10" i="15"/>
  <c r="K10" i="15"/>
  <c r="E10" i="15"/>
  <c r="F10" i="15"/>
  <c r="E78" i="15"/>
  <c r="I78" i="15"/>
  <c r="M78" i="15"/>
  <c r="F78" i="15"/>
  <c r="J78" i="15"/>
  <c r="B78" i="15"/>
  <c r="C78" i="15"/>
  <c r="G78" i="15"/>
  <c r="K78" i="15"/>
  <c r="D78" i="15"/>
  <c r="H78" i="15"/>
  <c r="L78" i="15"/>
  <c r="D83" i="15"/>
  <c r="E83" i="15"/>
  <c r="I83" i="15"/>
  <c r="M83" i="15"/>
  <c r="F83" i="15"/>
  <c r="J83" i="15"/>
  <c r="B83" i="15"/>
  <c r="C83" i="15"/>
  <c r="G83" i="15"/>
  <c r="K83" i="15"/>
  <c r="H83" i="15"/>
  <c r="L83" i="15"/>
  <c r="C71" i="15"/>
  <c r="G71" i="15"/>
  <c r="K71" i="15"/>
  <c r="D71" i="15"/>
  <c r="H71" i="15"/>
  <c r="L71" i="15"/>
  <c r="E71" i="15"/>
  <c r="I71" i="15"/>
  <c r="M71" i="15"/>
  <c r="F71" i="15"/>
  <c r="J71" i="15"/>
  <c r="B71" i="15"/>
  <c r="N23" i="15"/>
  <c r="N11" i="15"/>
  <c r="N84" i="15"/>
  <c r="O50" i="2" l="1"/>
  <c r="L45" i="15" s="1"/>
  <c r="N36" i="15"/>
  <c r="B37" i="15"/>
  <c r="Q46" i="2"/>
  <c r="Q49" i="2"/>
  <c r="N50" i="2"/>
  <c r="C45" i="15" s="1"/>
  <c r="N10" i="15"/>
  <c r="N22" i="15"/>
  <c r="N83" i="15"/>
  <c r="N72" i="15"/>
  <c r="N71" i="15"/>
  <c r="J45" i="15" l="1"/>
  <c r="M45" i="15"/>
  <c r="E45" i="15"/>
  <c r="K45" i="15"/>
  <c r="F45" i="15"/>
  <c r="C12" i="2"/>
  <c r="G45" i="15"/>
  <c r="I45" i="15"/>
  <c r="H45" i="15"/>
  <c r="Q50" i="2"/>
  <c r="B12" i="2"/>
  <c r="D45" i="15"/>
  <c r="N58" i="15"/>
  <c r="N59" i="15"/>
  <c r="N45" i="15" l="1"/>
  <c r="E12" i="2"/>
  <c r="I65" i="2" l="1"/>
  <c r="M56" i="2"/>
  <c r="J56" i="2"/>
  <c r="D56" i="2"/>
  <c r="K56" i="2"/>
  <c r="F56" i="2"/>
  <c r="J68" i="2"/>
  <c r="K68" i="2"/>
  <c r="L68" i="2"/>
  <c r="M68" i="2"/>
  <c r="I68" i="2"/>
  <c r="E56" i="2" l="1"/>
  <c r="H56" i="2"/>
  <c r="G56" i="2"/>
  <c r="L56" i="2"/>
  <c r="J62" i="2"/>
  <c r="K62" i="2"/>
  <c r="F62" i="2" s="1"/>
  <c r="L62" i="2"/>
  <c r="G62" i="2" s="1"/>
  <c r="M62" i="2"/>
  <c r="H62" i="2" s="1"/>
  <c r="I62" i="2"/>
  <c r="J58" i="2"/>
  <c r="E58" i="2" s="1"/>
  <c r="K58" i="2"/>
  <c r="L58" i="2"/>
  <c r="G58" i="2" s="1"/>
  <c r="M58" i="2"/>
  <c r="I58" i="2"/>
  <c r="J52" i="2"/>
  <c r="E52" i="2" s="1"/>
  <c r="K52" i="2"/>
  <c r="F52" i="2" s="1"/>
  <c r="L52" i="2"/>
  <c r="G52" i="2" s="1"/>
  <c r="M52" i="2"/>
  <c r="H52" i="2" s="1"/>
  <c r="I52" i="2"/>
  <c r="D69" i="2"/>
  <c r="G68" i="2"/>
  <c r="E68" i="2"/>
  <c r="H68" i="2"/>
  <c r="F68" i="2"/>
  <c r="D66" i="2"/>
  <c r="M66" i="2"/>
  <c r="G66" i="2"/>
  <c r="K66" i="2"/>
  <c r="E66" i="2"/>
  <c r="H66" i="2"/>
  <c r="D63" i="2"/>
  <c r="D59" i="2"/>
  <c r="D53" i="2"/>
  <c r="F66" i="2" l="1"/>
  <c r="H58" i="2"/>
  <c r="F58" i="2"/>
  <c r="E62" i="2"/>
  <c r="J66" i="2"/>
  <c r="L66" i="2"/>
  <c r="J69" i="13" l="1"/>
  <c r="K69" i="13" s="1"/>
  <c r="J68" i="13"/>
  <c r="K68" i="13" s="1"/>
  <c r="J67" i="13"/>
  <c r="K67" i="13" s="1"/>
  <c r="J66" i="13"/>
  <c r="K66" i="13" s="1"/>
  <c r="J65" i="13"/>
  <c r="K65" i="13" s="1"/>
  <c r="K70" i="13" l="1"/>
  <c r="I48" i="15" l="1"/>
  <c r="I49" i="15" s="1"/>
  <c r="J48" i="15"/>
  <c r="J49" i="15" s="1"/>
  <c r="D48" i="15"/>
  <c r="D49" i="15" s="1"/>
  <c r="B48" i="15"/>
  <c r="L48" i="15"/>
  <c r="L49" i="15" s="1"/>
  <c r="K48" i="15"/>
  <c r="K49" i="15" s="1"/>
  <c r="M48" i="15"/>
  <c r="M49" i="15" s="1"/>
  <c r="E48" i="15"/>
  <c r="E49" i="15" s="1"/>
  <c r="H48" i="15"/>
  <c r="H49" i="15" s="1"/>
  <c r="G48" i="15"/>
  <c r="G49" i="15" s="1"/>
  <c r="F48" i="15"/>
  <c r="F49" i="15" s="1"/>
  <c r="C48" i="15"/>
  <c r="C49" i="15" s="1"/>
  <c r="F12" i="2"/>
  <c r="I12" i="7"/>
  <c r="N12" i="7" s="1"/>
  <c r="B49" i="15" l="1"/>
  <c r="N48" i="15"/>
  <c r="N49" i="15" s="1"/>
  <c r="S16" i="13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46" i="13"/>
  <c r="S47" i="13"/>
  <c r="S48" i="13"/>
  <c r="S49" i="13"/>
  <c r="S50" i="13"/>
  <c r="S51" i="13"/>
  <c r="S52" i="13"/>
  <c r="S53" i="13"/>
  <c r="S54" i="13"/>
  <c r="S55" i="13"/>
  <c r="S56" i="13"/>
  <c r="S57" i="13"/>
  <c r="S58" i="13"/>
  <c r="S59" i="13"/>
  <c r="S60" i="13"/>
  <c r="S61" i="13"/>
  <c r="S15" i="13"/>
  <c r="J48" i="13"/>
  <c r="K48" i="13" s="1"/>
  <c r="J47" i="13"/>
  <c r="K47" i="13" s="1"/>
  <c r="J46" i="13"/>
  <c r="K46" i="13" s="1"/>
  <c r="R46" i="13" s="1"/>
  <c r="J45" i="13"/>
  <c r="K45" i="13" s="1"/>
  <c r="J44" i="13"/>
  <c r="K44" i="13" s="1"/>
  <c r="J43" i="13"/>
  <c r="K43" i="13" s="1"/>
  <c r="J42" i="13"/>
  <c r="K42" i="13" s="1"/>
  <c r="R42" i="13" s="1"/>
  <c r="J41" i="13"/>
  <c r="K41" i="13" s="1"/>
  <c r="J53" i="13"/>
  <c r="K53" i="13" s="1"/>
  <c r="R53" i="13" s="1"/>
  <c r="J52" i="13"/>
  <c r="K52" i="13" s="1"/>
  <c r="J51" i="13"/>
  <c r="K51" i="13" s="1"/>
  <c r="J50" i="13"/>
  <c r="K50" i="13" s="1"/>
  <c r="R45" i="13" l="1"/>
  <c r="P45" i="13"/>
  <c r="N45" i="13"/>
  <c r="N48" i="13"/>
  <c r="R48" i="13"/>
  <c r="P48" i="13"/>
  <c r="P43" i="13"/>
  <c r="N43" i="13"/>
  <c r="R43" i="13"/>
  <c r="R41" i="13"/>
  <c r="P41" i="13"/>
  <c r="N41" i="13"/>
  <c r="N44" i="13"/>
  <c r="R44" i="13"/>
  <c r="P44" i="13"/>
  <c r="P47" i="13"/>
  <c r="N47" i="13"/>
  <c r="R47" i="13"/>
  <c r="N42" i="13"/>
  <c r="N46" i="13"/>
  <c r="P42" i="13"/>
  <c r="P46" i="13"/>
  <c r="N51" i="13"/>
  <c r="R51" i="13"/>
  <c r="P51" i="13"/>
  <c r="R52" i="13"/>
  <c r="P52" i="13"/>
  <c r="N52" i="13"/>
  <c r="P50" i="13"/>
  <c r="N50" i="13"/>
  <c r="R50" i="13"/>
  <c r="N53" i="13"/>
  <c r="P53" i="13"/>
  <c r="Q16" i="1"/>
  <c r="R19" i="5"/>
  <c r="R20" i="5"/>
  <c r="R21" i="5"/>
  <c r="R22" i="5"/>
  <c r="R17" i="5"/>
  <c r="R11" i="5"/>
  <c r="R12" i="5"/>
  <c r="R13" i="5"/>
  <c r="R10" i="5"/>
  <c r="H19" i="5"/>
  <c r="I19" i="5"/>
  <c r="J19" i="5"/>
  <c r="K19" i="5"/>
  <c r="L19" i="5"/>
  <c r="H20" i="5"/>
  <c r="I20" i="5"/>
  <c r="J20" i="5"/>
  <c r="K20" i="5"/>
  <c r="L20" i="5"/>
  <c r="H21" i="5"/>
  <c r="H22" i="5"/>
  <c r="I22" i="5"/>
  <c r="J22" i="5"/>
  <c r="K22" i="5"/>
  <c r="L22" i="5"/>
  <c r="I17" i="5"/>
  <c r="J17" i="5"/>
  <c r="K17" i="5"/>
  <c r="L17" i="5"/>
  <c r="H17" i="5"/>
  <c r="H11" i="5"/>
  <c r="I11" i="5"/>
  <c r="J11" i="5"/>
  <c r="K11" i="5"/>
  <c r="L11" i="5"/>
  <c r="H12" i="5"/>
  <c r="I12" i="5"/>
  <c r="J12" i="5"/>
  <c r="K12" i="5"/>
  <c r="L12" i="5"/>
  <c r="H13" i="5"/>
  <c r="I13" i="5"/>
  <c r="J13" i="5"/>
  <c r="K13" i="5"/>
  <c r="L13" i="5"/>
  <c r="J10" i="5"/>
  <c r="K10" i="5"/>
  <c r="L10" i="5"/>
  <c r="W78" i="13"/>
  <c r="W70" i="13"/>
  <c r="W60" i="13"/>
  <c r="W49" i="13"/>
  <c r="W46" i="13"/>
  <c r="W41" i="13"/>
  <c r="W20" i="13"/>
  <c r="W16" i="13"/>
  <c r="J61" i="13"/>
  <c r="K61" i="13" s="1"/>
  <c r="J60" i="13"/>
  <c r="K60" i="13" s="1"/>
  <c r="J59" i="13"/>
  <c r="K59" i="13" s="1"/>
  <c r="J58" i="13"/>
  <c r="K58" i="13" s="1"/>
  <c r="J57" i="13"/>
  <c r="K57" i="13" s="1"/>
  <c r="J56" i="13"/>
  <c r="K56" i="13" s="1"/>
  <c r="J55" i="13"/>
  <c r="K55" i="13" s="1"/>
  <c r="J54" i="13"/>
  <c r="K54" i="13" s="1"/>
  <c r="J49" i="13"/>
  <c r="K49" i="13" s="1"/>
  <c r="P49" i="13" s="1"/>
  <c r="J40" i="13"/>
  <c r="K40" i="13" s="1"/>
  <c r="J39" i="13"/>
  <c r="K39" i="13" s="1"/>
  <c r="J38" i="13"/>
  <c r="K38" i="13" s="1"/>
  <c r="R38" i="13" s="1"/>
  <c r="J37" i="13"/>
  <c r="K37" i="13" s="1"/>
  <c r="J36" i="13"/>
  <c r="K36" i="13" s="1"/>
  <c r="J35" i="13"/>
  <c r="K35" i="13" s="1"/>
  <c r="J34" i="13"/>
  <c r="K34" i="13" s="1"/>
  <c r="J33" i="13"/>
  <c r="K33" i="13" s="1"/>
  <c r="J32" i="13"/>
  <c r="K32" i="13" s="1"/>
  <c r="J31" i="13"/>
  <c r="K31" i="13" s="1"/>
  <c r="J30" i="13"/>
  <c r="K30" i="13" s="1"/>
  <c r="J29" i="13"/>
  <c r="K29" i="13" s="1"/>
  <c r="J28" i="13"/>
  <c r="K28" i="13" s="1"/>
  <c r="J27" i="13"/>
  <c r="K27" i="13" s="1"/>
  <c r="J26" i="13"/>
  <c r="K26" i="13" s="1"/>
  <c r="J25" i="13"/>
  <c r="K25" i="13" s="1"/>
  <c r="J24" i="13"/>
  <c r="K24" i="13" s="1"/>
  <c r="J23" i="13"/>
  <c r="K23" i="13" s="1"/>
  <c r="J22" i="13"/>
  <c r="K22" i="13" s="1"/>
  <c r="J21" i="13"/>
  <c r="K21" i="13" s="1"/>
  <c r="J20" i="13"/>
  <c r="K20" i="13" s="1"/>
  <c r="J19" i="13"/>
  <c r="K19" i="13" s="1"/>
  <c r="J18" i="13"/>
  <c r="K18" i="13" s="1"/>
  <c r="J17" i="13"/>
  <c r="K17" i="13" s="1"/>
  <c r="J16" i="13"/>
  <c r="K16" i="13" s="1"/>
  <c r="J15" i="13"/>
  <c r="K15" i="13" s="1"/>
  <c r="E4" i="13"/>
  <c r="K62" i="13" l="1"/>
  <c r="N15" i="13"/>
  <c r="W40" i="13"/>
  <c r="P15" i="13"/>
  <c r="W15" i="13"/>
  <c r="R34" i="13"/>
  <c r="P60" i="13"/>
  <c r="P61" i="13"/>
  <c r="N57" i="13"/>
  <c r="R61" i="13"/>
  <c r="P57" i="13"/>
  <c r="P56" i="13"/>
  <c r="N56" i="13"/>
  <c r="N28" i="13"/>
  <c r="P28" i="13"/>
  <c r="R19" i="13"/>
  <c r="P22" i="13"/>
  <c r="N25" i="13"/>
  <c r="N29" i="13"/>
  <c r="N37" i="13"/>
  <c r="R22" i="13"/>
  <c r="P25" i="13"/>
  <c r="P29" i="13"/>
  <c r="R33" i="13"/>
  <c r="R37" i="13"/>
  <c r="R57" i="13"/>
  <c r="R29" i="13"/>
  <c r="R15" i="13"/>
  <c r="R17" i="13"/>
  <c r="P17" i="13"/>
  <c r="N17" i="13"/>
  <c r="N18" i="13"/>
  <c r="P18" i="13"/>
  <c r="P55" i="13"/>
  <c r="N55" i="13"/>
  <c r="R55" i="13"/>
  <c r="R16" i="13"/>
  <c r="P16" i="13"/>
  <c r="N16" i="13"/>
  <c r="R18" i="13"/>
  <c r="P21" i="13"/>
  <c r="R21" i="13"/>
  <c r="N21" i="13"/>
  <c r="N26" i="13"/>
  <c r="P26" i="13"/>
  <c r="R26" i="13"/>
  <c r="N30" i="13"/>
  <c r="R30" i="13"/>
  <c r="P30" i="13"/>
  <c r="P31" i="13"/>
  <c r="R31" i="13"/>
  <c r="N31" i="13"/>
  <c r="P39" i="13"/>
  <c r="R39" i="13"/>
  <c r="N39" i="13"/>
  <c r="R40" i="13"/>
  <c r="P40" i="13"/>
  <c r="N40" i="13"/>
  <c r="N54" i="13"/>
  <c r="P54" i="13"/>
  <c r="R32" i="13"/>
  <c r="N32" i="13"/>
  <c r="P32" i="13"/>
  <c r="R54" i="13"/>
  <c r="P59" i="13"/>
  <c r="R59" i="13"/>
  <c r="N59" i="13"/>
  <c r="P27" i="13"/>
  <c r="N27" i="13"/>
  <c r="R27" i="13"/>
  <c r="R36" i="13"/>
  <c r="P36" i="13"/>
  <c r="N36" i="13"/>
  <c r="N58" i="13"/>
  <c r="R58" i="13"/>
  <c r="P58" i="13"/>
  <c r="R20" i="13"/>
  <c r="P20" i="13"/>
  <c r="P23" i="13"/>
  <c r="R24" i="13"/>
  <c r="P35" i="13"/>
  <c r="P19" i="13"/>
  <c r="N20" i="13"/>
  <c r="N23" i="13"/>
  <c r="N24" i="13"/>
  <c r="N33" i="13"/>
  <c r="N34" i="13"/>
  <c r="N35" i="13"/>
  <c r="N38" i="13"/>
  <c r="R49" i="13"/>
  <c r="N19" i="13"/>
  <c r="N22" i="13"/>
  <c r="R23" i="13"/>
  <c r="P24" i="13"/>
  <c r="R25" i="13"/>
  <c r="P33" i="13"/>
  <c r="P34" i="13"/>
  <c r="R35" i="13"/>
  <c r="P37" i="13"/>
  <c r="P38" i="13"/>
  <c r="N49" i="13"/>
  <c r="R60" i="13"/>
  <c r="R28" i="13"/>
  <c r="R56" i="13"/>
  <c r="N60" i="13"/>
  <c r="N61" i="13"/>
  <c r="K37" i="2"/>
  <c r="F37" i="2" s="1"/>
  <c r="K34" i="2"/>
  <c r="F34" i="2" s="1"/>
  <c r="I27" i="2"/>
  <c r="I67" i="2"/>
  <c r="I69" i="2" s="1"/>
  <c r="I61" i="2"/>
  <c r="I63" i="2" s="1"/>
  <c r="I57" i="2"/>
  <c r="I59" i="2" s="1"/>
  <c r="I56" i="2"/>
  <c r="I51" i="2"/>
  <c r="I53" i="2" s="1"/>
  <c r="I64" i="2" l="1"/>
  <c r="I66" i="2" s="1"/>
  <c r="R62" i="13"/>
  <c r="Q62" i="13" s="1"/>
  <c r="P62" i="13"/>
  <c r="O62" i="13" s="1"/>
  <c r="N62" i="13"/>
  <c r="M62" i="13" s="1"/>
  <c r="C22" i="5"/>
  <c r="M22" i="5" s="1"/>
  <c r="C31" i="1"/>
  <c r="C21" i="5"/>
  <c r="M21" i="5" s="1"/>
  <c r="C30" i="1"/>
  <c r="C20" i="5"/>
  <c r="M20" i="5" s="1"/>
  <c r="C29" i="1"/>
  <c r="C19" i="5"/>
  <c r="M19" i="5" s="1"/>
  <c r="C28" i="1"/>
  <c r="W80" i="13"/>
  <c r="C17" i="5"/>
  <c r="M17" i="5" s="1"/>
  <c r="C26" i="1"/>
  <c r="D40" i="2" l="1"/>
  <c r="D42" i="2" s="1"/>
  <c r="I42" i="2"/>
  <c r="C85" i="15"/>
  <c r="G85" i="15"/>
  <c r="K85" i="15"/>
  <c r="D85" i="15"/>
  <c r="H85" i="15"/>
  <c r="L85" i="15"/>
  <c r="E85" i="15"/>
  <c r="I85" i="15"/>
  <c r="M85" i="15"/>
  <c r="F85" i="15"/>
  <c r="J85" i="15"/>
  <c r="B85" i="15"/>
  <c r="F16" i="2"/>
  <c r="AA15" i="13"/>
  <c r="Z15" i="13"/>
  <c r="AG15" i="13" s="1"/>
  <c r="AH15" i="13" s="1"/>
  <c r="AC15" i="13"/>
  <c r="AB15" i="13"/>
  <c r="AI15" i="13" s="1"/>
  <c r="AJ15" i="13" s="1"/>
  <c r="AE15" i="13"/>
  <c r="AD15" i="13"/>
  <c r="AK15" i="13" s="1"/>
  <c r="AL15" i="13" s="1"/>
  <c r="L27" i="7"/>
  <c r="Q27" i="7" s="1"/>
  <c r="K27" i="7"/>
  <c r="P27" i="7" s="1"/>
  <c r="J27" i="7"/>
  <c r="O27" i="7" s="1"/>
  <c r="I27" i="7"/>
  <c r="N27" i="7" s="1"/>
  <c r="L25" i="7"/>
  <c r="K25" i="7"/>
  <c r="J25" i="7"/>
  <c r="I25" i="7"/>
  <c r="L24" i="7"/>
  <c r="Q24" i="7" s="1"/>
  <c r="K24" i="7"/>
  <c r="P24" i="7" s="1"/>
  <c r="J24" i="7"/>
  <c r="O24" i="7" s="1"/>
  <c r="I24" i="7"/>
  <c r="N24" i="7" s="1"/>
  <c r="L22" i="7"/>
  <c r="Q22" i="7" s="1"/>
  <c r="K22" i="7"/>
  <c r="J22" i="7"/>
  <c r="I22" i="7"/>
  <c r="I26" i="2"/>
  <c r="P25" i="7" l="1"/>
  <c r="L61" i="2" s="1"/>
  <c r="Q25" i="7"/>
  <c r="M61" i="2" s="1"/>
  <c r="N25" i="7"/>
  <c r="J61" i="2" s="1"/>
  <c r="O25" i="7"/>
  <c r="K61" i="2" s="1"/>
  <c r="N22" i="7"/>
  <c r="J51" i="2" s="1"/>
  <c r="P22" i="7"/>
  <c r="L51" i="2" s="1"/>
  <c r="O22" i="7"/>
  <c r="K51" i="2" s="1"/>
  <c r="I43" i="2"/>
  <c r="O42" i="2"/>
  <c r="O43" i="2" s="1"/>
  <c r="D43" i="2"/>
  <c r="N42" i="2"/>
  <c r="AP15" i="13"/>
  <c r="N85" i="15"/>
  <c r="S19" i="5"/>
  <c r="T19" i="5"/>
  <c r="U19" i="5"/>
  <c r="V19" i="5"/>
  <c r="T22" i="5"/>
  <c r="U22" i="5"/>
  <c r="S22" i="5"/>
  <c r="V22" i="5"/>
  <c r="AR15" i="13"/>
  <c r="AN15" i="13"/>
  <c r="C13" i="5"/>
  <c r="M13" i="5" s="1"/>
  <c r="C19" i="1"/>
  <c r="C12" i="5"/>
  <c r="M12" i="5" s="1"/>
  <c r="C18" i="1"/>
  <c r="C11" i="5"/>
  <c r="M11" i="5" s="1"/>
  <c r="C17" i="1"/>
  <c r="D16" i="1"/>
  <c r="I16" i="1" s="1"/>
  <c r="S10" i="5"/>
  <c r="U20" i="5"/>
  <c r="S20" i="5"/>
  <c r="T20" i="5"/>
  <c r="V20" i="5"/>
  <c r="U17" i="5"/>
  <c r="S17" i="5"/>
  <c r="T17" i="5"/>
  <c r="V17" i="5"/>
  <c r="M51" i="2"/>
  <c r="L15" i="7"/>
  <c r="Q15" i="7" s="1"/>
  <c r="K15" i="7"/>
  <c r="P15" i="7" s="1"/>
  <c r="J15" i="7"/>
  <c r="O15" i="7" s="1"/>
  <c r="I15" i="7"/>
  <c r="N15" i="7" s="1"/>
  <c r="L14" i="7"/>
  <c r="Q14" i="7" s="1"/>
  <c r="K14" i="7"/>
  <c r="P14" i="7" s="1"/>
  <c r="J14" i="7"/>
  <c r="O14" i="7" s="1"/>
  <c r="I14" i="7"/>
  <c r="N14" i="7" s="1"/>
  <c r="L13" i="7"/>
  <c r="Q13" i="7" s="1"/>
  <c r="K13" i="7"/>
  <c r="P13" i="7" s="1"/>
  <c r="J13" i="7"/>
  <c r="O13" i="7" s="1"/>
  <c r="I13" i="7"/>
  <c r="N13" i="7" s="1"/>
  <c r="L12" i="7"/>
  <c r="Q12" i="7" s="1"/>
  <c r="K12" i="7"/>
  <c r="P12" i="7" s="1"/>
  <c r="E26" i="1" l="1"/>
  <c r="F61" i="2"/>
  <c r="F63" i="2" s="1"/>
  <c r="K63" i="2"/>
  <c r="E61" i="2"/>
  <c r="E63" i="2" s="1"/>
  <c r="J63" i="2"/>
  <c r="M63" i="2"/>
  <c r="H61" i="2"/>
  <c r="H63" i="2" s="1"/>
  <c r="L63" i="2"/>
  <c r="G61" i="2"/>
  <c r="G63" i="2" s="1"/>
  <c r="K53" i="2"/>
  <c r="F51" i="2"/>
  <c r="F53" i="2" s="1"/>
  <c r="G51" i="2"/>
  <c r="G53" i="2" s="1"/>
  <c r="L53" i="2"/>
  <c r="E51" i="2"/>
  <c r="E53" i="2" s="1"/>
  <c r="J53" i="2"/>
  <c r="C11" i="2"/>
  <c r="G33" i="15"/>
  <c r="G37" i="15" s="1"/>
  <c r="K33" i="15"/>
  <c r="K37" i="15" s="1"/>
  <c r="L33" i="15"/>
  <c r="L37" i="15" s="1"/>
  <c r="H33" i="15"/>
  <c r="H37" i="15" s="1"/>
  <c r="I33" i="15"/>
  <c r="I37" i="15" s="1"/>
  <c r="M33" i="15"/>
  <c r="M37" i="15" s="1"/>
  <c r="F33" i="15"/>
  <c r="F37" i="15" s="1"/>
  <c r="J33" i="15"/>
  <c r="J37" i="15" s="1"/>
  <c r="E33" i="15"/>
  <c r="E37" i="15" s="1"/>
  <c r="N43" i="2"/>
  <c r="Q42" i="2"/>
  <c r="Q43" i="2" s="1"/>
  <c r="G19" i="5"/>
  <c r="Q19" i="5" s="1"/>
  <c r="M57" i="2"/>
  <c r="G28" i="1"/>
  <c r="E19" i="5"/>
  <c r="O19" i="5" s="1"/>
  <c r="K57" i="2"/>
  <c r="E28" i="1"/>
  <c r="F19" i="5"/>
  <c r="P19" i="5" s="1"/>
  <c r="L57" i="2"/>
  <c r="F28" i="1"/>
  <c r="D19" i="5"/>
  <c r="N19" i="5" s="1"/>
  <c r="J57" i="2"/>
  <c r="D28" i="1"/>
  <c r="L67" i="2"/>
  <c r="F31" i="1"/>
  <c r="F22" i="5"/>
  <c r="P22" i="5" s="1"/>
  <c r="M67" i="2"/>
  <c r="G31" i="1"/>
  <c r="G22" i="5"/>
  <c r="Q22" i="5" s="1"/>
  <c r="J67" i="2"/>
  <c r="D31" i="1"/>
  <c r="D22" i="5"/>
  <c r="N22" i="5" s="1"/>
  <c r="K67" i="2"/>
  <c r="E31" i="1"/>
  <c r="E22" i="5"/>
  <c r="O22" i="5" s="1"/>
  <c r="H51" i="2"/>
  <c r="H53" i="2" s="1"/>
  <c r="M53" i="2"/>
  <c r="G20" i="5"/>
  <c r="Q20" i="5" s="1"/>
  <c r="G29" i="1"/>
  <c r="D20" i="5"/>
  <c r="N20" i="5" s="1"/>
  <c r="D29" i="1"/>
  <c r="E20" i="5"/>
  <c r="O20" i="5" s="1"/>
  <c r="E29" i="1"/>
  <c r="F20" i="5"/>
  <c r="P20" i="5" s="1"/>
  <c r="F29" i="1"/>
  <c r="G17" i="5"/>
  <c r="Q17" i="5" s="1"/>
  <c r="G26" i="1"/>
  <c r="D17" i="5"/>
  <c r="N17" i="5" s="1"/>
  <c r="D26" i="1"/>
  <c r="F17" i="5"/>
  <c r="P17" i="5" s="1"/>
  <c r="F26" i="1"/>
  <c r="S12" i="5"/>
  <c r="T12" i="5"/>
  <c r="E18" i="1"/>
  <c r="U12" i="5"/>
  <c r="V12" i="5"/>
  <c r="F16" i="1"/>
  <c r="K16" i="1" s="1"/>
  <c r="U10" i="5"/>
  <c r="G16" i="1"/>
  <c r="L16" i="1" s="1"/>
  <c r="V10" i="5"/>
  <c r="E17" i="5"/>
  <c r="O17" i="5" s="1"/>
  <c r="U13" i="5"/>
  <c r="V13" i="5"/>
  <c r="S13" i="5"/>
  <c r="T13" i="5"/>
  <c r="E19" i="1"/>
  <c r="U11" i="5"/>
  <c r="V11" i="5"/>
  <c r="S11" i="5"/>
  <c r="T11" i="5"/>
  <c r="P59" i="2"/>
  <c r="P56" i="2"/>
  <c r="P53" i="2"/>
  <c r="P36" i="2"/>
  <c r="P38" i="2" s="1"/>
  <c r="P33" i="2"/>
  <c r="P35" i="2" s="1"/>
  <c r="P26" i="2"/>
  <c r="B11" i="2" l="1"/>
  <c r="E11" i="2" s="1"/>
  <c r="D33" i="15"/>
  <c r="D37" i="15" s="1"/>
  <c r="C33" i="15"/>
  <c r="P39" i="2"/>
  <c r="B21" i="15" s="1"/>
  <c r="E57" i="2"/>
  <c r="E59" i="2" s="1"/>
  <c r="J59" i="2"/>
  <c r="H57" i="2"/>
  <c r="H59" i="2" s="1"/>
  <c r="M59" i="2"/>
  <c r="F57" i="2"/>
  <c r="F59" i="2" s="1"/>
  <c r="F60" i="2" s="1"/>
  <c r="K59" i="2"/>
  <c r="K60" i="2" s="1"/>
  <c r="G57" i="2"/>
  <c r="G59" i="2" s="1"/>
  <c r="L59" i="2"/>
  <c r="D13" i="2"/>
  <c r="H67" i="2"/>
  <c r="H69" i="2" s="1"/>
  <c r="M69" i="2"/>
  <c r="K69" i="2"/>
  <c r="K70" i="2" s="1"/>
  <c r="F67" i="2"/>
  <c r="F69" i="2" s="1"/>
  <c r="F70" i="2" s="1"/>
  <c r="E67" i="2"/>
  <c r="E69" i="2" s="1"/>
  <c r="J69" i="2"/>
  <c r="G67" i="2"/>
  <c r="G69" i="2" s="1"/>
  <c r="L69" i="2"/>
  <c r="D13" i="5"/>
  <c r="N13" i="5" s="1"/>
  <c r="D19" i="1"/>
  <c r="G13" i="5"/>
  <c r="Q13" i="5" s="1"/>
  <c r="G19" i="1"/>
  <c r="F13" i="5"/>
  <c r="P13" i="5" s="1"/>
  <c r="F19" i="1"/>
  <c r="G12" i="5"/>
  <c r="Q12" i="5" s="1"/>
  <c r="G18" i="1"/>
  <c r="F12" i="5"/>
  <c r="P12" i="5" s="1"/>
  <c r="F18" i="1"/>
  <c r="D12" i="5"/>
  <c r="N12" i="5" s="1"/>
  <c r="D18" i="1"/>
  <c r="E11" i="5"/>
  <c r="O11" i="5" s="1"/>
  <c r="E17" i="1"/>
  <c r="G11" i="5"/>
  <c r="Q11" i="5" s="1"/>
  <c r="G17" i="1"/>
  <c r="D11" i="5"/>
  <c r="N11" i="5" s="1"/>
  <c r="D17" i="1"/>
  <c r="F11" i="5"/>
  <c r="P11" i="5" s="1"/>
  <c r="F17" i="1"/>
  <c r="L26" i="2"/>
  <c r="E12" i="5"/>
  <c r="O12" i="5" s="1"/>
  <c r="K33" i="2"/>
  <c r="E13" i="5"/>
  <c r="O13" i="5" s="1"/>
  <c r="K36" i="2"/>
  <c r="P60" i="2"/>
  <c r="P29" i="2"/>
  <c r="P31" i="2" s="1"/>
  <c r="N33" i="15" l="1"/>
  <c r="N37" i="15" s="1"/>
  <c r="C37" i="15"/>
  <c r="K35" i="2"/>
  <c r="F33" i="2"/>
  <c r="F35" i="2" s="1"/>
  <c r="F36" i="2"/>
  <c r="F38" i="2" s="1"/>
  <c r="K38" i="2"/>
  <c r="P28" i="2"/>
  <c r="P32" i="2" s="1"/>
  <c r="B9" i="15" s="1"/>
  <c r="K39" i="2" l="1"/>
  <c r="F39" i="2"/>
  <c r="K30" i="2"/>
  <c r="F30" i="2" s="1"/>
  <c r="K27" i="2"/>
  <c r="F27" i="2" s="1"/>
  <c r="J12" i="7"/>
  <c r="O12" i="7" s="1"/>
  <c r="H36" i="7"/>
  <c r="T10" i="5" l="1"/>
  <c r="K26" i="2"/>
  <c r="E16" i="1" l="1"/>
  <c r="J16" i="1" s="1"/>
  <c r="E10" i="5"/>
  <c r="O10" i="5" s="1"/>
  <c r="F26" i="2"/>
  <c r="F28" i="2" s="1"/>
  <c r="K28" i="2"/>
  <c r="P69" i="2"/>
  <c r="P66" i="2"/>
  <c r="D16" i="2" s="1"/>
  <c r="P63" i="2"/>
  <c r="D15" i="2" s="1"/>
  <c r="P70" i="2" l="1"/>
  <c r="P71" i="2" s="1"/>
  <c r="K29" i="2"/>
  <c r="D10" i="2"/>
  <c r="D9" i="2"/>
  <c r="D17" i="2" l="1"/>
  <c r="F29" i="2"/>
  <c r="F31" i="2" s="1"/>
  <c r="F32" i="2" s="1"/>
  <c r="F71" i="2" s="1"/>
  <c r="K31" i="2"/>
  <c r="K32" i="2" s="1"/>
  <c r="K71" i="2" s="1"/>
  <c r="C16" i="1" l="1"/>
  <c r="H16" i="1" s="1"/>
  <c r="J37" i="2" l="1"/>
  <c r="E37" i="2" s="1"/>
  <c r="L37" i="2"/>
  <c r="M37" i="2"/>
  <c r="I37" i="2"/>
  <c r="J34" i="2"/>
  <c r="E34" i="2" s="1"/>
  <c r="L34" i="2"/>
  <c r="M34" i="2"/>
  <c r="I34" i="2"/>
  <c r="B67" i="2"/>
  <c r="B64" i="2"/>
  <c r="B61" i="2"/>
  <c r="B57" i="2"/>
  <c r="B54" i="2"/>
  <c r="B51" i="2"/>
  <c r="B47" i="2"/>
  <c r="B44" i="2"/>
  <c r="B40" i="2"/>
  <c r="B36" i="2"/>
  <c r="B33" i="2"/>
  <c r="J30" i="2"/>
  <c r="E30" i="2" s="1"/>
  <c r="L30" i="2"/>
  <c r="M30" i="2"/>
  <c r="I30" i="2"/>
  <c r="I29" i="2"/>
  <c r="D29" i="2" s="1"/>
  <c r="J27" i="2"/>
  <c r="E27" i="2" s="1"/>
  <c r="L27" i="2"/>
  <c r="G27" i="2" s="1"/>
  <c r="M27" i="2"/>
  <c r="D27" i="2"/>
  <c r="A61" i="2"/>
  <c r="A51" i="2"/>
  <c r="A44" i="2"/>
  <c r="A40" i="2"/>
  <c r="A33" i="2"/>
  <c r="B29" i="2"/>
  <c r="B26" i="2"/>
  <c r="I10" i="5"/>
  <c r="H10" i="5"/>
  <c r="B11" i="5"/>
  <c r="B12" i="5"/>
  <c r="B13" i="5"/>
  <c r="B14" i="5"/>
  <c r="B15" i="5"/>
  <c r="B16" i="5"/>
  <c r="B17" i="5"/>
  <c r="B18" i="5"/>
  <c r="B19" i="5"/>
  <c r="B20" i="5"/>
  <c r="B21" i="5"/>
  <c r="B22" i="5"/>
  <c r="A20" i="5"/>
  <c r="A17" i="5"/>
  <c r="A15" i="5"/>
  <c r="A14" i="5"/>
  <c r="A12" i="5"/>
  <c r="A12" i="2"/>
  <c r="A11" i="2"/>
  <c r="A10" i="2"/>
  <c r="B17" i="1"/>
  <c r="B18" i="1"/>
  <c r="B19" i="1"/>
  <c r="B20" i="1"/>
  <c r="B21" i="1"/>
  <c r="B22" i="1"/>
  <c r="B26" i="1"/>
  <c r="B27" i="1"/>
  <c r="B28" i="1"/>
  <c r="B29" i="1"/>
  <c r="B30" i="1"/>
  <c r="B31" i="1"/>
  <c r="B16" i="1"/>
  <c r="A29" i="1"/>
  <c r="A26" i="1"/>
  <c r="A21" i="1"/>
  <c r="A20" i="1"/>
  <c r="A18" i="1"/>
  <c r="B51" i="7"/>
  <c r="B50" i="7"/>
  <c r="H49" i="7"/>
  <c r="I51" i="7" s="1"/>
  <c r="B49" i="7"/>
  <c r="A49" i="7"/>
  <c r="B48" i="7"/>
  <c r="B47" i="7"/>
  <c r="H46" i="7"/>
  <c r="I48" i="7" s="1"/>
  <c r="B46" i="7"/>
  <c r="A46" i="7"/>
  <c r="B42" i="7"/>
  <c r="B41" i="7"/>
  <c r="A41" i="7"/>
  <c r="B40" i="7"/>
  <c r="A40" i="7"/>
  <c r="H39" i="7"/>
  <c r="B39" i="7"/>
  <c r="H38" i="7"/>
  <c r="B38" i="7"/>
  <c r="A38" i="7"/>
  <c r="L33" i="2"/>
  <c r="G33" i="2" s="1"/>
  <c r="M33" i="2"/>
  <c r="H33" i="2" s="1"/>
  <c r="M29" i="2"/>
  <c r="H29" i="2" s="1"/>
  <c r="H37" i="7"/>
  <c r="I37" i="7" s="1"/>
  <c r="A36" i="7"/>
  <c r="B37" i="7"/>
  <c r="B36" i="7"/>
  <c r="M26" i="2"/>
  <c r="H26" i="2" s="1"/>
  <c r="D26" i="2"/>
  <c r="A16" i="1"/>
  <c r="C8" i="2"/>
  <c r="B8" i="2"/>
  <c r="F65" i="15" l="1"/>
  <c r="J65" i="15"/>
  <c r="B65" i="15"/>
  <c r="G65" i="15"/>
  <c r="H65" i="15"/>
  <c r="E65" i="15"/>
  <c r="I65" i="15"/>
  <c r="M65" i="15"/>
  <c r="C65" i="15"/>
  <c r="K65" i="15"/>
  <c r="D65" i="15"/>
  <c r="L65" i="15"/>
  <c r="F53" i="15"/>
  <c r="J53" i="15"/>
  <c r="B53" i="15"/>
  <c r="D53" i="15"/>
  <c r="C53" i="15"/>
  <c r="G53" i="15"/>
  <c r="K53" i="15"/>
  <c r="L53" i="15"/>
  <c r="E53" i="15"/>
  <c r="I53" i="15"/>
  <c r="M53" i="15"/>
  <c r="H53" i="15"/>
  <c r="I39" i="7"/>
  <c r="M17" i="15" s="1"/>
  <c r="K5" i="15"/>
  <c r="F5" i="15"/>
  <c r="H5" i="15"/>
  <c r="E5" i="15"/>
  <c r="D5" i="15"/>
  <c r="L5" i="15"/>
  <c r="I5" i="15"/>
  <c r="J5" i="15"/>
  <c r="M5" i="15"/>
  <c r="G5" i="15"/>
  <c r="D28" i="2"/>
  <c r="H34" i="2"/>
  <c r="M35" i="2"/>
  <c r="G37" i="2"/>
  <c r="H27" i="2"/>
  <c r="M28" i="2"/>
  <c r="D30" i="2"/>
  <c r="I31" i="2"/>
  <c r="D34" i="2"/>
  <c r="D37" i="2"/>
  <c r="H30" i="2"/>
  <c r="M31" i="2"/>
  <c r="H37" i="2"/>
  <c r="G30" i="2"/>
  <c r="G34" i="2"/>
  <c r="L35" i="2"/>
  <c r="I28" i="2"/>
  <c r="G26" i="2"/>
  <c r="L28" i="2"/>
  <c r="I33" i="2"/>
  <c r="D33" i="2" s="1"/>
  <c r="L29" i="2"/>
  <c r="L31" i="2" s="1"/>
  <c r="L36" i="2"/>
  <c r="G36" i="2" s="1"/>
  <c r="F10" i="5"/>
  <c r="P10" i="5" s="1"/>
  <c r="M36" i="2"/>
  <c r="M38" i="2" s="1"/>
  <c r="C10" i="5"/>
  <c r="M10" i="5" s="1"/>
  <c r="G10" i="5"/>
  <c r="Q10" i="5" s="1"/>
  <c r="I36" i="2"/>
  <c r="D36" i="2" s="1"/>
  <c r="K17" i="15" l="1"/>
  <c r="L17" i="15"/>
  <c r="I17" i="15"/>
  <c r="D17" i="15"/>
  <c r="G17" i="15"/>
  <c r="H17" i="15"/>
  <c r="F17" i="15"/>
  <c r="E17" i="15"/>
  <c r="J17" i="15"/>
  <c r="I70" i="2"/>
  <c r="M70" i="2"/>
  <c r="L60" i="2"/>
  <c r="I60" i="2"/>
  <c r="M32" i="2"/>
  <c r="M39" i="2"/>
  <c r="M60" i="2"/>
  <c r="L70" i="2"/>
  <c r="L32" i="2"/>
  <c r="I32" i="2"/>
  <c r="L38" i="2"/>
  <c r="L39" i="2" s="1"/>
  <c r="I35" i="2"/>
  <c r="I38" i="2"/>
  <c r="H36" i="2"/>
  <c r="G29" i="2"/>
  <c r="N53" i="2" l="1"/>
  <c r="I39" i="2"/>
  <c r="I71" i="2" s="1"/>
  <c r="M71" i="2"/>
  <c r="L71" i="2"/>
  <c r="E73" i="15" l="1"/>
  <c r="I73" i="15"/>
  <c r="M73" i="15"/>
  <c r="G73" i="15"/>
  <c r="D73" i="15"/>
  <c r="L73" i="15"/>
  <c r="F73" i="15"/>
  <c r="J73" i="15"/>
  <c r="B73" i="15"/>
  <c r="C73" i="15"/>
  <c r="K73" i="15"/>
  <c r="H73" i="15"/>
  <c r="F15" i="2"/>
  <c r="E60" i="15"/>
  <c r="I60" i="15"/>
  <c r="M60" i="15"/>
  <c r="F60" i="15"/>
  <c r="J60" i="15"/>
  <c r="B60" i="15"/>
  <c r="C60" i="15"/>
  <c r="G60" i="15"/>
  <c r="K60" i="15"/>
  <c r="D60" i="15"/>
  <c r="H60" i="15"/>
  <c r="L60" i="15"/>
  <c r="F13" i="2"/>
  <c r="F24" i="15"/>
  <c r="J24" i="15"/>
  <c r="D24" i="15"/>
  <c r="G24" i="15"/>
  <c r="K24" i="15"/>
  <c r="C24" i="15"/>
  <c r="H24" i="15"/>
  <c r="L24" i="15"/>
  <c r="B24" i="15"/>
  <c r="E24" i="15"/>
  <c r="I24" i="15"/>
  <c r="M24" i="15"/>
  <c r="F10" i="2"/>
  <c r="J4" i="9"/>
  <c r="N73" i="15" l="1"/>
  <c r="N60" i="15"/>
  <c r="N24" i="15"/>
  <c r="B25" i="15"/>
  <c r="Q17" i="1"/>
  <c r="Q18" i="1"/>
  <c r="Q26" i="1"/>
  <c r="Q28" i="1"/>
  <c r="Q29" i="1"/>
  <c r="Q30" i="1"/>
  <c r="Q31" i="1"/>
  <c r="J31" i="1" l="1"/>
  <c r="L31" i="1"/>
  <c r="I31" i="1"/>
  <c r="K31" i="1"/>
  <c r="H31" i="1"/>
  <c r="H30" i="1"/>
  <c r="H19" i="1"/>
  <c r="J19" i="1"/>
  <c r="I19" i="1"/>
  <c r="L19" i="1"/>
  <c r="K19" i="1"/>
  <c r="H18" i="1"/>
  <c r="J18" i="1"/>
  <c r="L18" i="1"/>
  <c r="K18" i="1"/>
  <c r="I18" i="1"/>
  <c r="H26" i="1"/>
  <c r="J26" i="1"/>
  <c r="K26" i="1"/>
  <c r="I26" i="1"/>
  <c r="L26" i="1"/>
  <c r="H29" i="1"/>
  <c r="I29" i="1"/>
  <c r="J29" i="1"/>
  <c r="K29" i="1"/>
  <c r="L29" i="1"/>
  <c r="I28" i="1"/>
  <c r="L28" i="1"/>
  <c r="K28" i="1"/>
  <c r="J28" i="1"/>
  <c r="H28" i="1"/>
  <c r="H17" i="1"/>
  <c r="I17" i="1"/>
  <c r="J17" i="1"/>
  <c r="K17" i="1"/>
  <c r="L17" i="1"/>
  <c r="G4" i="5"/>
  <c r="D4" i="1"/>
  <c r="B10" i="5" l="1"/>
  <c r="A10" i="5"/>
  <c r="A26" i="2" l="1"/>
  <c r="A9" i="2"/>
  <c r="G70" i="2" l="1"/>
  <c r="H70" i="2"/>
  <c r="D70" i="2" l="1"/>
  <c r="G60" i="2" l="1"/>
  <c r="H60" i="2"/>
  <c r="D38" i="2" l="1"/>
  <c r="D35" i="2"/>
  <c r="D39" i="2" l="1"/>
  <c r="D60" i="2"/>
  <c r="G38" i="2" l="1"/>
  <c r="G35" i="2"/>
  <c r="H38" i="2"/>
  <c r="H35" i="2"/>
  <c r="H39" i="2" l="1"/>
  <c r="G39" i="2"/>
  <c r="A9" i="5" l="1"/>
  <c r="B9" i="5"/>
  <c r="G28" i="2" l="1"/>
  <c r="H28" i="2"/>
  <c r="G31" i="2"/>
  <c r="D31" i="2"/>
  <c r="H31" i="2"/>
  <c r="H32" i="2" l="1"/>
  <c r="H71" i="2" s="1"/>
  <c r="G32" i="2"/>
  <c r="G71" i="2" s="1"/>
  <c r="D32" i="2"/>
  <c r="D71" i="2" s="1"/>
  <c r="G12" i="15" l="1"/>
  <c r="K12" i="15"/>
  <c r="C12" i="15"/>
  <c r="H12" i="15"/>
  <c r="L12" i="15"/>
  <c r="B12" i="15"/>
  <c r="E12" i="15"/>
  <c r="I12" i="15"/>
  <c r="M12" i="15"/>
  <c r="F12" i="15"/>
  <c r="J12" i="15"/>
  <c r="D12" i="15"/>
  <c r="F9" i="2"/>
  <c r="J36" i="2"/>
  <c r="E36" i="2" s="1"/>
  <c r="E38" i="2" s="1"/>
  <c r="N38" i="2" s="1"/>
  <c r="O53" i="2"/>
  <c r="J33" i="2"/>
  <c r="J35" i="2" s="1"/>
  <c r="N12" i="15" l="1"/>
  <c r="B13" i="15"/>
  <c r="F17" i="2"/>
  <c r="O56" i="2"/>
  <c r="N66" i="2"/>
  <c r="B16" i="2" s="1"/>
  <c r="O66" i="2"/>
  <c r="E33" i="2"/>
  <c r="E35" i="2" s="1"/>
  <c r="O69" i="2"/>
  <c r="N69" i="2"/>
  <c r="O35" i="2"/>
  <c r="J29" i="2"/>
  <c r="J38" i="2"/>
  <c r="O38" i="2" s="1"/>
  <c r="Q38" i="2" s="1"/>
  <c r="G12" i="2" l="1"/>
  <c r="H12" i="2" s="1"/>
  <c r="I12" i="2" s="1"/>
  <c r="G11" i="2"/>
  <c r="H11" i="2" s="1"/>
  <c r="I11" i="2" s="1"/>
  <c r="G16" i="2"/>
  <c r="G10" i="2"/>
  <c r="H10" i="2" s="1"/>
  <c r="G9" i="2"/>
  <c r="G15" i="2"/>
  <c r="G13" i="2"/>
  <c r="C16" i="2"/>
  <c r="E16" i="2" s="1"/>
  <c r="E82" i="15"/>
  <c r="E86" i="15" s="1"/>
  <c r="I82" i="15"/>
  <c r="I86" i="15" s="1"/>
  <c r="M82" i="15"/>
  <c r="M86" i="15" s="1"/>
  <c r="F82" i="15"/>
  <c r="F86" i="15" s="1"/>
  <c r="J82" i="15"/>
  <c r="J86" i="15" s="1"/>
  <c r="B82" i="15"/>
  <c r="C82" i="15"/>
  <c r="C86" i="15" s="1"/>
  <c r="G82" i="15"/>
  <c r="G86" i="15" s="1"/>
  <c r="K82" i="15"/>
  <c r="K86" i="15" s="1"/>
  <c r="D82" i="15"/>
  <c r="D86" i="15" s="1"/>
  <c r="H82" i="15"/>
  <c r="H86" i="15" s="1"/>
  <c r="L82" i="15"/>
  <c r="L86" i="15" s="1"/>
  <c r="J70" i="2"/>
  <c r="N35" i="2"/>
  <c r="N39" i="2" s="1"/>
  <c r="E39" i="2"/>
  <c r="Q66" i="2"/>
  <c r="N56" i="2"/>
  <c r="J39" i="2"/>
  <c r="O39" i="2"/>
  <c r="Q69" i="2"/>
  <c r="N59" i="2"/>
  <c r="B13" i="2" s="1"/>
  <c r="J60" i="2"/>
  <c r="J31" i="2"/>
  <c r="E29" i="2"/>
  <c r="E31" i="2" s="1"/>
  <c r="E70" i="2"/>
  <c r="H9" i="2" l="1"/>
  <c r="H15" i="2"/>
  <c r="H13" i="2"/>
  <c r="N82" i="15"/>
  <c r="N86" i="15" s="1"/>
  <c r="B86" i="15"/>
  <c r="F21" i="15"/>
  <c r="F25" i="15" s="1"/>
  <c r="J21" i="15"/>
  <c r="J25" i="15" s="1"/>
  <c r="E21" i="15"/>
  <c r="E25" i="15" s="1"/>
  <c r="H21" i="15"/>
  <c r="H25" i="15" s="1"/>
  <c r="I21" i="15"/>
  <c r="I25" i="15" s="1"/>
  <c r="G21" i="15"/>
  <c r="G25" i="15" s="1"/>
  <c r="K21" i="15"/>
  <c r="K25" i="15" s="1"/>
  <c r="L21" i="15"/>
  <c r="L25" i="15" s="1"/>
  <c r="M21" i="15"/>
  <c r="M25" i="15" s="1"/>
  <c r="C21" i="15"/>
  <c r="D21" i="15"/>
  <c r="D25" i="15" s="1"/>
  <c r="G17" i="2"/>
  <c r="L13" i="2" s="1"/>
  <c r="Q56" i="2"/>
  <c r="N60" i="2"/>
  <c r="Q35" i="2"/>
  <c r="Q39" i="2" s="1"/>
  <c r="E60" i="2"/>
  <c r="O63" i="2"/>
  <c r="N31" i="2"/>
  <c r="Q53" i="2"/>
  <c r="O59" i="2"/>
  <c r="C13" i="2" s="1"/>
  <c r="E13" i="2" s="1"/>
  <c r="N63" i="2"/>
  <c r="O31" i="2"/>
  <c r="C10" i="2"/>
  <c r="I13" i="2" l="1"/>
  <c r="L16" i="2"/>
  <c r="L11" i="2"/>
  <c r="L12" i="2"/>
  <c r="L14" i="2"/>
  <c r="L10" i="2"/>
  <c r="L9" i="2"/>
  <c r="L15" i="2"/>
  <c r="C15" i="2"/>
  <c r="F70" i="15"/>
  <c r="F74" i="15" s="1"/>
  <c r="J70" i="15"/>
  <c r="J74" i="15" s="1"/>
  <c r="B70" i="15"/>
  <c r="G70" i="15"/>
  <c r="G74" i="15" s="1"/>
  <c r="K70" i="15"/>
  <c r="K74" i="15" s="1"/>
  <c r="D70" i="15"/>
  <c r="D74" i="15" s="1"/>
  <c r="L70" i="15"/>
  <c r="L74" i="15" s="1"/>
  <c r="E70" i="15"/>
  <c r="E74" i="15" s="1"/>
  <c r="I70" i="15"/>
  <c r="I74" i="15" s="1"/>
  <c r="M70" i="15"/>
  <c r="M74" i="15" s="1"/>
  <c r="C70" i="15"/>
  <c r="C74" i="15" s="1"/>
  <c r="H70" i="15"/>
  <c r="H74" i="15" s="1"/>
  <c r="C25" i="15"/>
  <c r="N21" i="15"/>
  <c r="N25" i="15" s="1"/>
  <c r="N70" i="2"/>
  <c r="B15" i="2"/>
  <c r="E15" i="2" s="1"/>
  <c r="I15" i="2" s="1"/>
  <c r="O70" i="2"/>
  <c r="O60" i="2"/>
  <c r="Q59" i="2"/>
  <c r="Q60" i="2" s="1"/>
  <c r="Q63" i="2"/>
  <c r="Q70" i="2" s="1"/>
  <c r="Q31" i="2"/>
  <c r="B10" i="2"/>
  <c r="E10" i="2" s="1"/>
  <c r="I10" i="2" s="1"/>
  <c r="B74" i="15" l="1"/>
  <c r="N70" i="15"/>
  <c r="N74" i="15" s="1"/>
  <c r="F57" i="15"/>
  <c r="F61" i="15" s="1"/>
  <c r="J57" i="15"/>
  <c r="J61" i="15" s="1"/>
  <c r="B57" i="15"/>
  <c r="D57" i="15"/>
  <c r="D61" i="15" s="1"/>
  <c r="C57" i="15"/>
  <c r="C61" i="15" s="1"/>
  <c r="G57" i="15"/>
  <c r="G61" i="15" s="1"/>
  <c r="K57" i="15"/>
  <c r="K61" i="15" s="1"/>
  <c r="L57" i="15"/>
  <c r="L61" i="15" s="1"/>
  <c r="E57" i="15"/>
  <c r="E61" i="15" s="1"/>
  <c r="I57" i="15"/>
  <c r="I61" i="15" s="1"/>
  <c r="M57" i="15"/>
  <c r="M61" i="15" s="1"/>
  <c r="H57" i="15"/>
  <c r="H61" i="15" s="1"/>
  <c r="L17" i="2"/>
  <c r="D10" i="5"/>
  <c r="N10" i="5" s="1"/>
  <c r="J26" i="2"/>
  <c r="J28" i="2" s="1"/>
  <c r="J32" i="2" s="1"/>
  <c r="J71" i="2" s="1"/>
  <c r="N57" i="15" l="1"/>
  <c r="N61" i="15" s="1"/>
  <c r="B61" i="15"/>
  <c r="E26" i="2"/>
  <c r="E28" i="2" s="1"/>
  <c r="E32" i="2" s="1"/>
  <c r="E71" i="2" s="1"/>
  <c r="O28" i="2"/>
  <c r="O32" i="2" l="1"/>
  <c r="N28" i="2"/>
  <c r="N32" i="2" s="1"/>
  <c r="N71" i="2" l="1"/>
  <c r="D9" i="15"/>
  <c r="D13" i="15" s="1"/>
  <c r="C9" i="15"/>
  <c r="O71" i="2"/>
  <c r="I9" i="15"/>
  <c r="M9" i="15"/>
  <c r="M13" i="15" s="1"/>
  <c r="K9" i="15"/>
  <c r="K13" i="15" s="1"/>
  <c r="H9" i="15"/>
  <c r="H13" i="15" s="1"/>
  <c r="F9" i="15"/>
  <c r="F13" i="15" s="1"/>
  <c r="J9" i="15"/>
  <c r="J13" i="15" s="1"/>
  <c r="E9" i="15"/>
  <c r="E13" i="15" s="1"/>
  <c r="G9" i="15"/>
  <c r="G13" i="15" s="1"/>
  <c r="L9" i="15"/>
  <c r="L13" i="15" s="1"/>
  <c r="C9" i="2"/>
  <c r="C17" i="2" s="1"/>
  <c r="Q28" i="2"/>
  <c r="Q32" i="2" s="1"/>
  <c r="Q71" i="2" s="1"/>
  <c r="B9" i="2"/>
  <c r="B17" i="2" s="1"/>
  <c r="C13" i="15" l="1"/>
  <c r="N9" i="15"/>
  <c r="N13" i="15" s="1"/>
  <c r="E9" i="2"/>
  <c r="E17" i="2" s="1"/>
  <c r="I9" i="2" l="1"/>
  <c r="H16" i="2" l="1"/>
  <c r="I16" i="2" s="1"/>
  <c r="I17" i="2" l="1"/>
  <c r="H17" i="2"/>
</calcChain>
</file>

<file path=xl/sharedStrings.xml><?xml version="1.0" encoding="utf-8"?>
<sst xmlns="http://schemas.openxmlformats.org/spreadsheetml/2006/main" count="4815" uniqueCount="863">
  <si>
    <t>REPARTICION:</t>
  </si>
  <si>
    <t xml:space="preserve">TOTAL </t>
  </si>
  <si>
    <t>Cálculo Ingreso</t>
  </si>
  <si>
    <t>Ocupación / Cargo</t>
  </si>
  <si>
    <t>Reajuste</t>
  </si>
  <si>
    <t>Prestación</t>
  </si>
  <si>
    <t>Total</t>
  </si>
  <si>
    <t>Meta Ocupación</t>
  </si>
  <si>
    <t>Total Prestaciones</t>
  </si>
  <si>
    <t>Ingreso anual</t>
  </si>
  <si>
    <t>Ingreso total anual</t>
  </si>
  <si>
    <t>COSTOS DE OPERACIÓN</t>
  </si>
  <si>
    <t>REMUNERACIONES DIRECTAS</t>
  </si>
  <si>
    <t>SUPLENCIAS Y REEMPLAZOS</t>
  </si>
  <si>
    <t>PERSONAL A TRATO Y TEMPORAL</t>
  </si>
  <si>
    <t>OTRAS REMUNERACIONES</t>
  </si>
  <si>
    <t>GASTO DE OPERACIÓN</t>
  </si>
  <si>
    <t>ALIMENTOS Y BEBIDAS</t>
  </si>
  <si>
    <t>TEXTILES Y ACABADOS TEXTILES</t>
  </si>
  <si>
    <t>COMBUSTIBLE LUBRIC P.VEHICULOS</t>
  </si>
  <si>
    <t>PARA CALEFACCION</t>
  </si>
  <si>
    <t>PRODUCTOS QUIMICOS</t>
  </si>
  <si>
    <t>MAT.P/MATEN.Y REPARACION</t>
  </si>
  <si>
    <t>EQUIPOS MENORES</t>
  </si>
  <si>
    <t>ELECTRICIDAD</t>
  </si>
  <si>
    <t>AGUA</t>
  </si>
  <si>
    <t>GAS</t>
  </si>
  <si>
    <t>TELEFONIA FIJA</t>
  </si>
  <si>
    <t>TELEFONIA CELULAR</t>
  </si>
  <si>
    <t>ACCESO A INTERNET</t>
  </si>
  <si>
    <t>SERVICIOS DE ASEO</t>
  </si>
  <si>
    <t>PASAJES, FLETES Y BODEGAJE</t>
  </si>
  <si>
    <t>SERVICIOS INFORMATICOS</t>
  </si>
  <si>
    <t>MAQUINAS Y EQUIPOS DE OFICINA</t>
  </si>
  <si>
    <t>GASTOS DE ADMINISTRACIÓN Y VENTAS</t>
  </si>
  <si>
    <t>GASTO EN PERSONAL</t>
  </si>
  <si>
    <t>% tiempo</t>
  </si>
  <si>
    <t>$ Costo</t>
  </si>
  <si>
    <t>VIATICOS PERSONAL COD.TRABAJO</t>
  </si>
  <si>
    <t>VESTUARIO ACC.Y PRENDAS DIVERS</t>
  </si>
  <si>
    <t>CALZADO</t>
  </si>
  <si>
    <t>CURSOS DE CAPACITACION</t>
  </si>
  <si>
    <t>CONSUMOS BÁSICOS</t>
  </si>
  <si>
    <t>ENLACES DE TELECOMUNICACIONES</t>
  </si>
  <si>
    <t>OTROS SERVICIOS BASICOS</t>
  </si>
  <si>
    <t>BIENES DE CONSUMO</t>
  </si>
  <si>
    <t>COMB.LUBR.DIRECTOS-INDIRECTOS</t>
  </si>
  <si>
    <t>MATERIALES DE OFICINA</t>
  </si>
  <si>
    <t>PROD.QUIMIC,FARMACEUTICOS IND.</t>
  </si>
  <si>
    <t>FERT.INSECT.FUNG.Y OTROS</t>
  </si>
  <si>
    <t>MAT.Y UTILES DE ASEO</t>
  </si>
  <si>
    <t>MENAJE OFICINA CASINO Y OTROS</t>
  </si>
  <si>
    <t>MOBILIARIO Y OTROS</t>
  </si>
  <si>
    <t>COSTO SERVICIO DESAYUNO</t>
  </si>
  <si>
    <t>COSTOS DE TEXT. VEST,O PRENDAS</t>
  </si>
  <si>
    <t>SERVICIOS GENERALES</t>
  </si>
  <si>
    <t>SERVICIO DE PUBLICIDAD</t>
  </si>
  <si>
    <t>SERVICIO DE IMPRESION</t>
  </si>
  <si>
    <t>SERVICIOS DE VIGILANCIA</t>
  </si>
  <si>
    <t>OTROS SERVICIOS GENERALES</t>
  </si>
  <si>
    <t>ARRIENDO DE TERRENOS</t>
  </si>
  <si>
    <t>ARRIENDO DE MOBILIARIO Y OTROS</t>
  </si>
  <si>
    <t>ARRIENDO DE MAQUINAS Y EQUIPOS</t>
  </si>
  <si>
    <t>OTROS ARRIENDOS</t>
  </si>
  <si>
    <t>SEGURO INMUEBLES</t>
  </si>
  <si>
    <t>MANTENCIÓN Y REPARACIÓN</t>
  </si>
  <si>
    <t>OTROS GASTOS</t>
  </si>
  <si>
    <t>Costo Unitario Promedio</t>
  </si>
  <si>
    <t>Cantidad</t>
  </si>
  <si>
    <t>ASISTENCIA RECREATIVA</t>
  </si>
  <si>
    <t>ASISTENCIA EDUCACIONAL</t>
  </si>
  <si>
    <t>ASISTENCIA COMERCIAL</t>
  </si>
  <si>
    <t>Institución</t>
  </si>
  <si>
    <t>(Nombre Institución Pública / Privada)</t>
  </si>
  <si>
    <t>Nombre</t>
  </si>
  <si>
    <t>Apellido</t>
  </si>
  <si>
    <t>Número de Cuenta</t>
  </si>
  <si>
    <t>ítem de Gasto (según Plan de Cuenta Institucional)</t>
  </si>
  <si>
    <t>Costos Fijos</t>
  </si>
  <si>
    <t>Costos Variables</t>
  </si>
  <si>
    <t>Costos Directos</t>
  </si>
  <si>
    <t>Costos Indirectos</t>
  </si>
  <si>
    <t>Centro de Costo</t>
  </si>
  <si>
    <t>Ingresos Totales</t>
  </si>
  <si>
    <t>ÍNDICE DE TABLAS</t>
  </si>
  <si>
    <t>Mensualidad</t>
  </si>
  <si>
    <t>Personal Servicio Activo Armada y otras FFAA</t>
  </si>
  <si>
    <t>En retiro</t>
  </si>
  <si>
    <t>Casos Especiales</t>
  </si>
  <si>
    <t>Ingreso por Matrícula</t>
  </si>
  <si>
    <t>Ingreso por Mensualidad</t>
  </si>
  <si>
    <t>Departamento de Informática</t>
  </si>
  <si>
    <t>Departamento de RR.HH.</t>
  </si>
  <si>
    <t>Departamento de Finanzas y Abastecimiento</t>
  </si>
  <si>
    <t>TOTAL GENERAL</t>
  </si>
  <si>
    <t>REMUNERACIONES TOTALES CÓDIGO DEL TRABAJO</t>
  </si>
  <si>
    <t>OTROS MATERIALES DE USO CONSUMO</t>
  </si>
  <si>
    <t>OTROS GASTOS IMPREVISTOS</t>
  </si>
  <si>
    <t>GASTOS MENORES (FOFI)</t>
  </si>
  <si>
    <t>MANT.Y REPAR. MOBILIARIO Y OTROS</t>
  </si>
  <si>
    <t>MANT.Y REPAR. DE EQUIPOS OFICINA</t>
  </si>
  <si>
    <t>MANT.Y REPAR. OTRAS MAQ. Y EQUIP.</t>
  </si>
  <si>
    <t>MANT.Y REPAR. EQUIPOS INFORMATICOS</t>
  </si>
  <si>
    <t>OTROS MANTEN. Y REPAR. MENORES</t>
  </si>
  <si>
    <t>SERVICIO DE MANTENCION JARDINES</t>
  </si>
  <si>
    <t>COSTO DIRECTO TOTAL</t>
  </si>
  <si>
    <t>Total Anual</t>
  </si>
  <si>
    <t>Costos Totales</t>
  </si>
  <si>
    <t>Reajuste propuesto</t>
  </si>
  <si>
    <t>TOTAL GENERAL COSTOS DIRECTOS</t>
  </si>
  <si>
    <t>COMPARACIÓN 1</t>
  </si>
  <si>
    <t>COMPARACIÓN 2</t>
  </si>
  <si>
    <t>% Distribución Costo Indirecto</t>
  </si>
  <si>
    <t>Excedentes</t>
  </si>
  <si>
    <t>Centro de Beneficio</t>
  </si>
  <si>
    <t>Costo Total Remuneraciones por Centro de Beneficio</t>
  </si>
  <si>
    <t>Total Bonos anual</t>
  </si>
  <si>
    <t>Total Aguinaldos anual</t>
  </si>
  <si>
    <t>Unidades de Apoyo Administrativo</t>
  </si>
  <si>
    <t>ADM. CENTRAL</t>
  </si>
  <si>
    <t>Otros</t>
  </si>
  <si>
    <t>APOYO ADM.</t>
  </si>
  <si>
    <t>Asistencia Educacional</t>
  </si>
  <si>
    <t xml:space="preserve">En esta hoja deberá incorporar toda la información, tablas y cálculos complementarios que permitan explicar y justificar sus proyecciones de ingresos y egresos, de acuerdo a los datos incorporados en las hojas anteriores.
</t>
  </si>
  <si>
    <t>Reajuste en pesos ($)</t>
  </si>
  <si>
    <t>Reajuste en porcentaje (%)</t>
  </si>
  <si>
    <t>Ingreso por Escuela de Verano</t>
  </si>
  <si>
    <t>Media jornada</t>
  </si>
  <si>
    <t>Jornada completa</t>
  </si>
  <si>
    <t>Jardín Infantil ABC</t>
  </si>
  <si>
    <t>Jardín Infantil XYZ</t>
  </si>
  <si>
    <r>
      <t xml:space="preserve">Con el objeto de medir comparativamente el bienestar otorgado al personal de la Armada, es necesario recabar antecedentes comparativos que permitan cuantificar las alternativas de precios que ofrece el mercado </t>
    </r>
    <r>
      <rPr>
        <b/>
        <u/>
        <sz val="10"/>
        <rFont val="Arial"/>
        <family val="2"/>
      </rPr>
      <t>dentro de la misma comuna en la que se encuentran los Jardines Infantiles (J.I.) y Salas Cunas (S.C.)</t>
    </r>
    <r>
      <rPr>
        <sz val="10"/>
        <rFont val="Arial"/>
        <family val="2"/>
      </rPr>
      <t xml:space="preserve"> de su Repartición. Este cuadro comparativo debe ser completado con, </t>
    </r>
    <r>
      <rPr>
        <b/>
        <u/>
        <sz val="10"/>
        <rFont val="Arial"/>
        <family val="2"/>
      </rPr>
      <t>A LO MENOS</t>
    </r>
    <r>
      <rPr>
        <sz val="10"/>
        <rFont val="Arial"/>
        <family val="2"/>
      </rPr>
      <t xml:space="preserve">, dos instituciones públicas o privadas </t>
    </r>
    <r>
      <rPr>
        <b/>
        <u/>
        <sz val="10"/>
        <rFont val="Arial"/>
        <family val="2"/>
      </rPr>
      <t>puedan considerarse como las principales competencias directas</t>
    </r>
    <r>
      <rPr>
        <sz val="10"/>
        <rFont val="Arial"/>
        <family val="2"/>
      </rPr>
      <t xml:space="preserve"> y que otorguen </t>
    </r>
    <r>
      <rPr>
        <b/>
        <u/>
        <sz val="10"/>
        <rFont val="Arial"/>
        <family val="2"/>
      </rPr>
      <t>prestaciones de calidad igual o similar</t>
    </r>
    <r>
      <rPr>
        <sz val="10"/>
        <rFont val="Arial"/>
        <family val="2"/>
      </rPr>
      <t xml:space="preserve"> a las brindadas por las instalaciones de este Departamento/Delegación.</t>
    </r>
  </si>
  <si>
    <t>Precio promedio mercado (ppm)</t>
  </si>
  <si>
    <t>SERVICIO DE SUSCRIPCION</t>
  </si>
  <si>
    <t>EQUIPOS COMPUTACIONALES</t>
  </si>
  <si>
    <t>Total Meta Ocupación</t>
  </si>
  <si>
    <t>Diurna</t>
  </si>
  <si>
    <t>Media Jornada</t>
  </si>
  <si>
    <t>Sala Cuna Privada 1</t>
  </si>
  <si>
    <t>Sala Cuna Privada 2</t>
  </si>
  <si>
    <t>Jardines Infantiles</t>
  </si>
  <si>
    <t>Salas Cunas</t>
  </si>
  <si>
    <t>PDI</t>
  </si>
  <si>
    <t>GENDARMERIA</t>
  </si>
  <si>
    <t>ÁREA APOYO A. EDUCACIONAL</t>
  </si>
  <si>
    <t>Jardín Infantil Lobito Marino</t>
  </si>
  <si>
    <t>Jardín Infantil Los Delfines</t>
  </si>
  <si>
    <t>Jardín Infantil Pecesitos de Colores</t>
  </si>
  <si>
    <t>Jardín Infantil Caracolito de Mar</t>
  </si>
  <si>
    <t>Sala Cuna Caracolito de Mar</t>
  </si>
  <si>
    <t>Nocturna</t>
  </si>
  <si>
    <t>Sala Cuna Caracolito de Mar Diurna</t>
  </si>
  <si>
    <t>Sala Cuna Caracolito de Mar Nocturna</t>
  </si>
  <si>
    <t>Sala Cuna Mar Azul Diurna</t>
  </si>
  <si>
    <t>Sala Cuna Mar Azul Nocturna</t>
  </si>
  <si>
    <t>ADMINISTRACIÓN CENTRAL</t>
  </si>
  <si>
    <t>COSTO  TOTAL</t>
  </si>
  <si>
    <t>% Respecto a Precio Promedio Mercado</t>
  </si>
  <si>
    <t>Depto. / Del.</t>
  </si>
  <si>
    <t>Tiempo Total</t>
  </si>
  <si>
    <t>$ Costo Total</t>
  </si>
  <si>
    <t>$Costo Total</t>
  </si>
  <si>
    <t>TABLA 1: RESUMEN DE INGRESOS Y EGRESOS DE CENTROS DE BENEFICIOS</t>
  </si>
  <si>
    <t>TABLA 2: DETALLE DE INGRESOS POR PRESTACIÓN Y SEGMENTO</t>
  </si>
  <si>
    <t>TABLA 3: REAJUSTE DE TARIFAS POR PRESTACIÓN Y SEGMENTO</t>
  </si>
  <si>
    <t>TABLA 4: METAS DE OCUPACIÓN POR PRESTACIÓN Y SEGMENTO</t>
  </si>
  <si>
    <t>Depto./ Del.</t>
  </si>
  <si>
    <t>TABLA 5: COSTOS DIRECTOS DE CENTROS DE BENEFICIOS</t>
  </si>
  <si>
    <t>TABLA 6: REMUNERACIONES DEL PERSONAL LEY 18.712 ADMINISTRACION CENTRAL Y APOYO ADMINISTRATIVO ASISTENCIA EDUCACIONAL</t>
  </si>
  <si>
    <t>TABLA 7: DISTRIBUCION COSTOS REMUNERACIONES ADMINISTRACION CENTRAL Y APOYO ADMINISTRATIVO A. EDUCACIONAL</t>
  </si>
  <si>
    <t>TABLA 8: COSTOS DE OPERACION ADMINISTRACIÓN CENTRAL Y  APOYO ADMINISTRATIVO ASISTENCIA EDUCACIONAL</t>
  </si>
  <si>
    <t>TABLA 9: RESUMEN DISTRIBUCION COSTOS REMUNERACIONES ADMINISTRACION CENTRAL Y APOYO ADMINISTRATIVO A. EDUCACIONAL</t>
  </si>
  <si>
    <t>TABLA 10: RESUMEN DISTRIBUCION COSTOS OPERACIÓN ADMINISTRACION CENTRAL  Y APOYO ADMINISTRATIVO A. EDUCACIONAL</t>
  </si>
  <si>
    <t>TABLA 11: FINANCIAMIENTO ADM. CENTRAL  Y APOYO ADMINISTRATIVO 
(REMUNERACIONES + COSTO OPERACIÓN)</t>
  </si>
  <si>
    <t>TABLA 12: RESUMEN DE TARIFADO</t>
  </si>
  <si>
    <t>TABLA 13: REMUNERACIONES DEL PERSONAL LEY 18.712 DE CENTROS DE BENEFICIOS</t>
  </si>
  <si>
    <t>TABLA 14: COMPARACIÓN TARIFAS CON PRECIOS DE MERCADO</t>
  </si>
  <si>
    <t>A) Resumen Ingresos y Egresos</t>
  </si>
  <si>
    <t>B) Reajuste Tarifas y Ocupación</t>
  </si>
  <si>
    <t>C) Costos Directos</t>
  </si>
  <si>
    <t>D) Costos Indirectos</t>
  </si>
  <si>
    <t>E) Resumen Tarifado</t>
  </si>
  <si>
    <t>F) Remuneraciones</t>
  </si>
  <si>
    <t>G) Comparación Mercado</t>
  </si>
  <si>
    <t>H) Detalle Datos</t>
  </si>
  <si>
    <t>SERVICIOS DE VIGILANCIA /SEGURIDAD</t>
  </si>
  <si>
    <t>SUPLENCIAS Y REEMPLAZOS (EC  oPAC)</t>
  </si>
  <si>
    <t xml:space="preserve"> INDEMNIZACIÓN CÓDIGO DEL TRABAJO</t>
  </si>
  <si>
    <t>OTRAS REMUNERACIONES (ALUMNOS EN PRACTICA)</t>
  </si>
  <si>
    <t>ALIMENTOS Y BEBIDAS (PERSONAL)</t>
  </si>
  <si>
    <t>ALIMENTOS Y BEBIDAS (NIÑOS)</t>
  </si>
  <si>
    <t>ALIMENTOS Y BEBIDAS (ALUMNOS EN PRÁCTICA)</t>
  </si>
  <si>
    <t>TEXTILES Y ACABADOS TEXTILES (CORTINAJE ROLLER, SACOS DE DORMIR, COBERTORES, ETC.)</t>
  </si>
  <si>
    <t>PARA CALEFACCION (CALDERAS, ESTUFAS, ETC)</t>
  </si>
  <si>
    <t>TEXTOS Y OTROS MAT.ENSEÑANZA</t>
  </si>
  <si>
    <t>EQUIPOS MENORES (EQUIPAMIENTO)</t>
  </si>
  <si>
    <t>SERVICIO DE SUSCRIPCION (MATERIAL DE APOYO)</t>
  </si>
  <si>
    <t>GASTOS MENORES (FOFI) DIRECTIVA DGFA N°02-DC/0201/22 FECHA ENERO 2009</t>
  </si>
  <si>
    <t>MAQUINAS Y EQUIPOS DE OFICINA (ADQUISICION)</t>
  </si>
  <si>
    <t>VESTUARIO ACC.Y PRENDAS DIVERSAS</t>
  </si>
  <si>
    <t>CALZADO E PERSONAL DE COCINA</t>
  </si>
  <si>
    <t>COM.DE SERVICIO EN EL PAIS (VIATICO - 2 REUNIONES ANUALES DIRECTORA)</t>
  </si>
  <si>
    <t>EQUIPOS COMPUTACIONALES (CAMARAS DE VIGILANCIA)</t>
  </si>
  <si>
    <t>OTROS SERVICIOS GENERALES (FUMIGACIÓN)</t>
  </si>
  <si>
    <t>OTROS ARRIENDOS (BUSES)</t>
  </si>
  <si>
    <t>SEGURO PARVULOS</t>
  </si>
  <si>
    <t>OTROS SERVICIOS GENERALES (LAVANDERIIA)</t>
  </si>
  <si>
    <t>MANT.Y REPAR. OTRAS MAQ. Y EQUIP. (COCINA)</t>
  </si>
  <si>
    <t>OTROS MANTEN. Y REPAR. MENORES (GASFITERIA Y ELECTRICIDAD)</t>
  </si>
  <si>
    <t>TOTAL</t>
  </si>
  <si>
    <t>JI (40%)</t>
  </si>
  <si>
    <t xml:space="preserve"> COSTOS DIRECTOS COMUNES  "CARACOLITO DE MAR"</t>
  </si>
  <si>
    <t>SCD (70%)</t>
  </si>
  <si>
    <t>SCN (30%)</t>
  </si>
  <si>
    <t>A) RESUMEN DE INGRESOS Y EGRESOS</t>
  </si>
  <si>
    <t>B) REAJUSTE DE TARIFAS Y METAS DE OCUPACIÓN POR CENTRO DE BENEFICIO</t>
  </si>
  <si>
    <t>D) COSTOS INDIRECTOS ASISTENCIA EDUCACIONAL</t>
  </si>
  <si>
    <t>E) RESUMEN DE TARIFADO</t>
  </si>
  <si>
    <t>F) REMUNERACIONES DEL PERSONAL CÓDIGO DEL TRABAJO</t>
  </si>
  <si>
    <t>G) COMPARACIÓN TARIFAS CON PRECIOS DE MERCADO</t>
  </si>
  <si>
    <t>H) DETALLE DE DATOS COMPLEMENTARIOS</t>
  </si>
  <si>
    <t>ANEXO A</t>
  </si>
  <si>
    <t>ANEXO B</t>
  </si>
  <si>
    <t>ANEXO C</t>
  </si>
  <si>
    <t>ANEXO D</t>
  </si>
  <si>
    <t>ANEXO E</t>
  </si>
  <si>
    <t>ANEXO F</t>
  </si>
  <si>
    <t>ANEXO G</t>
  </si>
  <si>
    <t>C) ESTIMACION DE COSTOS DIRECTOS</t>
  </si>
  <si>
    <t>Sala Cuna Mar Azul</t>
  </si>
  <si>
    <t>PRODUCTOS QUIMICOS (EXTINTOR)</t>
  </si>
  <si>
    <t>PROD.QUIMIC,FARMACEUTICOS IND. (BOTIQUIN)</t>
  </si>
  <si>
    <t>OTROS MANTEN. Y REP.MENORES</t>
  </si>
  <si>
    <t>CUOTA DE PADRES</t>
  </si>
  <si>
    <t>AFL</t>
  </si>
  <si>
    <t>PAF</t>
  </si>
  <si>
    <t>Gasto Total Empresa</t>
  </si>
  <si>
    <t xml:space="preserve"> COSTOS DIRECTOS COMUNES  "MAR AZUL"</t>
  </si>
  <si>
    <t>SUPLENCIAS Y REEMPLAZOS (EC o PAC)</t>
  </si>
  <si>
    <t>TABLA N°15: PROYECCIÓN MENSUAL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</si>
  <si>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</si>
  <si>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</si>
  <si>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</si>
  <si>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</si>
  <si>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</si>
  <si>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</si>
  <si>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</si>
  <si>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</si>
  <si>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</si>
  <si>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</si>
  <si>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</si>
  <si>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</si>
  <si>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MATRICULA</t>
  </si>
  <si>
    <t>PERSONAL</t>
  </si>
  <si>
    <t>ACUMULADO A DICIEMBRE</t>
  </si>
  <si>
    <t>INGRESOS DE OPERACION</t>
  </si>
  <si>
    <t>REMUNERACIONES COD.DEL TRABAJO</t>
  </si>
  <si>
    <t>BONOS CÓDIGO DEL TRABAJO</t>
  </si>
  <si>
    <t>COSTOS  DE OPERACION</t>
  </si>
  <si>
    <t>RESULTADO OPERACIONAL</t>
  </si>
  <si>
    <t>BIENVALP</t>
  </si>
  <si>
    <t>Jardin Infantil Lobito Marino</t>
  </si>
  <si>
    <t>Jardin Infantil Los Delfines</t>
  </si>
  <si>
    <t>Sala Cuna Mar Azul (Diurna)</t>
  </si>
  <si>
    <t>Sala Cuna Mar Azul (Nocturna)</t>
  </si>
  <si>
    <t>I) Proyección Mensual</t>
  </si>
  <si>
    <t>Sala Cuna Caracolito de Mar (Diurna)</t>
  </si>
  <si>
    <t>NN</t>
  </si>
  <si>
    <t>Mensualidad 2024</t>
  </si>
  <si>
    <t>Gasto Total Empresa
2024</t>
  </si>
  <si>
    <t>SCD (60%)</t>
  </si>
  <si>
    <t>SCN (0%)</t>
  </si>
  <si>
    <t>INSTRUCCIONES</t>
  </si>
  <si>
    <t>Tarifa 2025</t>
  </si>
  <si>
    <t>Matrícula 2025</t>
  </si>
  <si>
    <t>Mensualidad 2025</t>
  </si>
  <si>
    <t>Propuesta Mensualidad 2025</t>
  </si>
  <si>
    <t>Meta Ocupación niños 2025</t>
  </si>
  <si>
    <t>REMUNERACIONES 2024</t>
  </si>
  <si>
    <t>Costo Total anual por Servidor 2024</t>
  </si>
  <si>
    <t>Costo Total por Servidor Reajustado 2025</t>
  </si>
  <si>
    <t>COSTO INDIRECTO ESTIMADO 2025</t>
  </si>
  <si>
    <t>Gasto Total Empresa
2025</t>
  </si>
  <si>
    <t>COSTO DIRECTO ESTIMADO 2025</t>
  </si>
  <si>
    <t>FF.PP PAULINA</t>
  </si>
  <si>
    <t>SOLARI</t>
  </si>
  <si>
    <t>ED. PARV</t>
  </si>
  <si>
    <t>FF.PP JOSSEFA</t>
  </si>
  <si>
    <t>URIZAR</t>
  </si>
  <si>
    <t xml:space="preserve">FF.PP DENIS </t>
  </si>
  <si>
    <t>GUTIERREZ</t>
  </si>
  <si>
    <t>TEC. PARV</t>
  </si>
  <si>
    <t>FF. PP SARA</t>
  </si>
  <si>
    <t>HUERTA</t>
  </si>
  <si>
    <t>FF.PP CARLA</t>
  </si>
  <si>
    <t>OLIVARES</t>
  </si>
  <si>
    <t>JI LOBITO MARINO</t>
  </si>
  <si>
    <t>FF.PP JACQUELINE</t>
  </si>
  <si>
    <t>VARAS</t>
  </si>
  <si>
    <t>FF.PP JOSEFINA</t>
  </si>
  <si>
    <t>CORREA</t>
  </si>
  <si>
    <t>APOYO TEC. PARV</t>
  </si>
  <si>
    <t>FFPP KARINA</t>
  </si>
  <si>
    <t>MATELUNA</t>
  </si>
  <si>
    <t>MANIP. ALIM</t>
  </si>
  <si>
    <t>FF.PP CAROLINA</t>
  </si>
  <si>
    <t>ACEVEDO</t>
  </si>
  <si>
    <t>FF.PP ANDREA</t>
  </si>
  <si>
    <t>OSSES</t>
  </si>
  <si>
    <t>AUX. ASEO</t>
  </si>
  <si>
    <t>FF.PP ANITA</t>
  </si>
  <si>
    <t>DIAZ</t>
  </si>
  <si>
    <t>FF.PP MARCELA</t>
  </si>
  <si>
    <t>ELIZ</t>
  </si>
  <si>
    <t>FF.PP NINOSKA</t>
  </si>
  <si>
    <t>SILVA</t>
  </si>
  <si>
    <t>RIOS</t>
  </si>
  <si>
    <t>FF.PP CLAUDIA</t>
  </si>
  <si>
    <t>COFRE</t>
  </si>
  <si>
    <t>FF.PP MAGALI</t>
  </si>
  <si>
    <t>GONZALES</t>
  </si>
  <si>
    <t xml:space="preserve">FF.PP JOCELYN </t>
  </si>
  <si>
    <t>FF,PP M. JESUS</t>
  </si>
  <si>
    <t>VALENZUELA</t>
  </si>
  <si>
    <t>FF.PP INES</t>
  </si>
  <si>
    <t>ROMERO</t>
  </si>
  <si>
    <t>FF.PP SILVIA</t>
  </si>
  <si>
    <t>TAPIA</t>
  </si>
  <si>
    <t>POR CONTRATAR</t>
  </si>
  <si>
    <t>FF.PP MARIA</t>
  </si>
  <si>
    <t>WESTPHAL</t>
  </si>
  <si>
    <t>EC ZAPATA</t>
  </si>
  <si>
    <t>EC TORREGROSA</t>
  </si>
  <si>
    <t>EC ASTUDILLO</t>
  </si>
  <si>
    <t>TT JIMENEZ</t>
  </si>
  <si>
    <t>TT MENA</t>
  </si>
  <si>
    <t>TT MOLINA</t>
  </si>
  <si>
    <t>DIRECTORA</t>
  </si>
  <si>
    <t>TT ANGULO</t>
  </si>
  <si>
    <t>TT MUÑOZ</t>
  </si>
  <si>
    <t>FF.PP LISETT</t>
  </si>
  <si>
    <t>SC CARACOLITO</t>
  </si>
  <si>
    <t>JI CARACOLITO</t>
  </si>
  <si>
    <t>JI PECECITOS</t>
  </si>
  <si>
    <t>JI LOS DELFINES</t>
  </si>
  <si>
    <t>FF.PP PATRICIA</t>
  </si>
  <si>
    <t>SOTO</t>
  </si>
  <si>
    <t>FF.PP AVELINA</t>
  </si>
  <si>
    <t>MUÑOZ</t>
  </si>
  <si>
    <t>FF.PP GUILLERMINA</t>
  </si>
  <si>
    <t>OYARZO</t>
  </si>
  <si>
    <t>FF.PP ROMINA</t>
  </si>
  <si>
    <t>ALTAMIRANO</t>
  </si>
  <si>
    <t>FF.PP SOLANGE</t>
  </si>
  <si>
    <t>ESPINOZA</t>
  </si>
  <si>
    <t>FF.PP DEINA</t>
  </si>
  <si>
    <t>ARAVENA</t>
  </si>
  <si>
    <t xml:space="preserve">FF.PP MIRIAM </t>
  </si>
  <si>
    <t>BUSTOS</t>
  </si>
  <si>
    <t>LAGOS</t>
  </si>
  <si>
    <t>FF.PP RUTH</t>
  </si>
  <si>
    <t>FF.PP ANGELA</t>
  </si>
  <si>
    <t>GALLEGUILLOS</t>
  </si>
  <si>
    <t>FF.PP M. ESTHER</t>
  </si>
  <si>
    <t>AMPUERO</t>
  </si>
  <si>
    <t>FF.PP JOSELYN</t>
  </si>
  <si>
    <t>ALVARADO</t>
  </si>
  <si>
    <t>FF.PP JESSICA</t>
  </si>
  <si>
    <t>SEPULVEDA</t>
  </si>
  <si>
    <t>FF.PP GINA</t>
  </si>
  <si>
    <t>BASUALTO</t>
  </si>
  <si>
    <t>FF.PP JAVIERA</t>
  </si>
  <si>
    <t>ANTILLANCA</t>
  </si>
  <si>
    <t>SC MAR AZUL</t>
  </si>
  <si>
    <t>VERA</t>
  </si>
  <si>
    <t>MARTINEZ</t>
  </si>
  <si>
    <t>FF.PP ANA MA.</t>
  </si>
  <si>
    <t>IBARRA</t>
  </si>
  <si>
    <t xml:space="preserve">FF.PP ISABEL </t>
  </si>
  <si>
    <t>PEREIRA</t>
  </si>
  <si>
    <t>FF.PP CAROLINE</t>
  </si>
  <si>
    <t>FF.PP LESLY</t>
  </si>
  <si>
    <t>PEÑA</t>
  </si>
  <si>
    <t>FF.PP CAMILA</t>
  </si>
  <si>
    <t>FF.PP VALERIA</t>
  </si>
  <si>
    <t>RODRIGUEZ</t>
  </si>
  <si>
    <t>FF.PP BEATRIZ</t>
  </si>
  <si>
    <t>BAEZA</t>
  </si>
  <si>
    <t>FF.PP FRANCHESKA</t>
  </si>
  <si>
    <t>BARRERA</t>
  </si>
  <si>
    <t>CABEZAS</t>
  </si>
  <si>
    <t xml:space="preserve">FF.PP CENIA </t>
  </si>
  <si>
    <t>FF.PP PAOLA</t>
  </si>
  <si>
    <t>FF.PP MAGDALENA</t>
  </si>
  <si>
    <t>JEREZ</t>
  </si>
  <si>
    <t>FF.PP FABIOLA</t>
  </si>
  <si>
    <t>VIDAL</t>
  </si>
  <si>
    <t>FF.PP OLGA</t>
  </si>
  <si>
    <t>COLLAO</t>
  </si>
  <si>
    <t>IBACACHE</t>
  </si>
  <si>
    <t>ALBAYAY</t>
  </si>
  <si>
    <t>Objetivo: Ofrecer instancias de análisis y reflexión sobre diferentes tipos de materiales educativos que apoyen y dinamicen el proceso de aprendizaje, favoreciendo el intercambio y la construcción conjunta de saberes. Contar con capacitación para aplicar diferentes estrategias pedagógicas relacionadas con los procesos de aprendizaje a la luz de las nuevas Bases Curriculares de la Educación Parvularia.</t>
  </si>
  <si>
    <t xml:space="preserve">Creación de plataforma E-erling con capsulas y charlas de temas educativos, autocuidado y trabajo colaborativo. </t>
  </si>
  <si>
    <t>AREA TECNICO PEDAGOGICA</t>
  </si>
  <si>
    <t xml:space="preserve">Capacitación interna o externa al JI / SC </t>
  </si>
  <si>
    <t>Responsable</t>
  </si>
  <si>
    <t>Recursos</t>
  </si>
  <si>
    <t>Fecha y Tiempo de realización</t>
  </si>
  <si>
    <t>Fuente de extracción de la información</t>
  </si>
  <si>
    <t>(curso, taller, seminario, charla, entre otros)</t>
  </si>
  <si>
    <t>(Humanos, materiales y/o financieros)</t>
  </si>
  <si>
    <t>Creación de Materiales Educativos en Educación Parvularia</t>
  </si>
  <si>
    <t>EDUCREA</t>
  </si>
  <si>
    <t>Abril</t>
  </si>
  <si>
    <t>EDUCREA.CL</t>
  </si>
  <si>
    <t xml:space="preserve"> 12 hrs cronológicas</t>
  </si>
  <si>
    <t>Estrategias Didácticas de Apoyo al Rol de las Asistentes de Párvulos.</t>
  </si>
  <si>
    <t xml:space="preserve">Agosto </t>
  </si>
  <si>
    <t>12 hrs. cronológicas</t>
  </si>
  <si>
    <t>Objetivo: Desarrollar conocimiento, capacidades y habilidades para liderar una gestión de excelencia centrada en las competencias pedagogica, administrativas y financieras.</t>
  </si>
  <si>
    <t>AREA GESTION CURRICULAR</t>
  </si>
  <si>
    <t>Capacitación interna o externa al JI / SC</t>
  </si>
  <si>
    <t>CACEM</t>
  </si>
  <si>
    <t>ONLINE</t>
  </si>
  <si>
    <t>90  hrs cronologicas</t>
  </si>
  <si>
    <t>Septiembre</t>
  </si>
  <si>
    <t>cotización</t>
  </si>
  <si>
    <t>40 hrs cronológicas</t>
  </si>
  <si>
    <t>Valor curso p/p $ 70.000</t>
  </si>
  <si>
    <t>Valor curso p/p $70.000</t>
  </si>
  <si>
    <t>Valor curso p/p $ 350.000</t>
  </si>
  <si>
    <t>Diplomado o Curso Coordinador y Encargado convivencia escolar</t>
  </si>
  <si>
    <t>Diplomado o Curso Directoras Jardines Infantiles</t>
  </si>
  <si>
    <r>
      <t xml:space="preserve"> </t>
    </r>
    <r>
      <rPr>
        <sz val="6"/>
        <color rgb="FF000000"/>
        <rFont val="Calibri"/>
        <family val="2"/>
        <charset val="1"/>
      </rPr>
      <t>(curso, taller, seminario, charla, entre otros)</t>
    </r>
  </si>
  <si>
    <t>LOBITO MARINO</t>
  </si>
  <si>
    <t xml:space="preserve">NIVEL </t>
  </si>
  <si>
    <t xml:space="preserve">MANTENIMIENTO </t>
  </si>
  <si>
    <t>DESCRIPCIÓN DEL TRABAJO</t>
  </si>
  <si>
    <t>FRECUENCIA</t>
  </si>
  <si>
    <t>CANTIDAD</t>
  </si>
  <si>
    <t>UNIDAD</t>
  </si>
  <si>
    <t xml:space="preserve"> VALOR $ </t>
  </si>
  <si>
    <t xml:space="preserve"> VALOR ANUAL </t>
  </si>
  <si>
    <t>LOS DELFINES</t>
  </si>
  <si>
    <t>VALOR $</t>
  </si>
  <si>
    <t>VALOR ANUAL</t>
  </si>
  <si>
    <t>CARACOLITO</t>
  </si>
  <si>
    <t>MAR AZUL</t>
  </si>
  <si>
    <t>PECECITOS</t>
  </si>
  <si>
    <t xml:space="preserve">MANTENIMIENTO 1er NIVEL </t>
  </si>
  <si>
    <t>MANTENCIÓN Y REPARACIONES EN TECHUMBRE</t>
  </si>
  <si>
    <t>LIMPIEZA DE CANALES DE AGUA LLUVIAS Y RESUMIDEROS</t>
  </si>
  <si>
    <t>ANUAL</t>
  </si>
  <si>
    <t xml:space="preserve"> ML </t>
  </si>
  <si>
    <t>ML</t>
  </si>
  <si>
    <t>MANTENCION DE ARTEFACTOS SANITARIOS Y LAVAPLATOS</t>
  </si>
  <si>
    <t>FUNCIONAMIENTO  Y FITTINGS WC</t>
  </si>
  <si>
    <t xml:space="preserve"> UN </t>
  </si>
  <si>
    <t>UN</t>
  </si>
  <si>
    <t xml:space="preserve">FUNCIONAMIENTO Y FITTINGS LAVAMANOS, TINETAS, LAVAPLATO Y LAVAFONDO </t>
  </si>
  <si>
    <t>SELLOS DE SILICONAS</t>
  </si>
  <si>
    <t xml:space="preserve"> GL </t>
  </si>
  <si>
    <t>GL</t>
  </si>
  <si>
    <t>REPARACIONES Y MANTENCIÓN DE ARTEFACTOS DE COCINA</t>
  </si>
  <si>
    <t>CALEFONT</t>
  </si>
  <si>
    <t>ARTEFACTO COCINA Y FOGON</t>
  </si>
  <si>
    <t xml:space="preserve"> un </t>
  </si>
  <si>
    <t>MANTENCIÓN ELÉCTRICA</t>
  </si>
  <si>
    <t>LUMINARIAS Y ENCHUFE</t>
  </si>
  <si>
    <t>MANTENIMIENTO 2do NIVEL</t>
  </si>
  <si>
    <t>MANTENCIÓN EXTERIOR</t>
  </si>
  <si>
    <t>MANTENCION PATIO GOMA CAUCHO</t>
  </si>
  <si>
    <t>5 AÑOS</t>
  </si>
  <si>
    <t xml:space="preserve"> m2 </t>
  </si>
  <si>
    <t xml:space="preserve">PATIO DE JUEGO </t>
  </si>
  <si>
    <t>PATIO DE JUEGO (PASTO SINTETICO)</t>
  </si>
  <si>
    <t>VEREDAS Y PAVIMENTOS</t>
  </si>
  <si>
    <t>m2</t>
  </si>
  <si>
    <t>REJAS Y PROTECCIONES</t>
  </si>
  <si>
    <t>ml</t>
  </si>
  <si>
    <t xml:space="preserve"> ml </t>
  </si>
  <si>
    <t>PATIO TECHADO TIPO VELA</t>
  </si>
  <si>
    <t xml:space="preserve">TECHUMBRE EN PATIO </t>
  </si>
  <si>
    <t>TECHUMBRE EDIFICACIÓN</t>
  </si>
  <si>
    <t>CANALES Y HOJALATERÍA</t>
  </si>
  <si>
    <t>MANTENCIÓN PINTURA INTERIOR CIELOS Y MUROS</t>
  </si>
  <si>
    <t xml:space="preserve">SALA DE ACTIVIDADES </t>
  </si>
  <si>
    <t>2 AÑOS</t>
  </si>
  <si>
    <t>3 AÑOS</t>
  </si>
  <si>
    <t xml:space="preserve">SALA DE HÁBITOS HIGIÉNICOS </t>
  </si>
  <si>
    <t>OFICINAS, COMEDORES, PASILLOS Y ETC.</t>
  </si>
  <si>
    <t>BAÑOS PERSONAL</t>
  </si>
  <si>
    <t>MANTENCION PINTURA EXTERIOR</t>
  </si>
  <si>
    <t>FACHADAS</t>
  </si>
  <si>
    <t>REJA PERIMETRAL</t>
  </si>
  <si>
    <t>CAMBIO DE SIFONES Y DESAGUES</t>
  </si>
  <si>
    <t>CAMBIO DE GRIFERÍA LAVAMANOS, TINETA Y LAVAPLATOS</t>
  </si>
  <si>
    <t>MARCO Y VENTANAS</t>
  </si>
  <si>
    <t xml:space="preserve"> gl </t>
  </si>
  <si>
    <t>MANTENCIÓN MOBILIARIO</t>
  </si>
  <si>
    <t xml:space="preserve">MUEBLES DE COCINA  </t>
  </si>
  <si>
    <t>MANTENCIÓN REVESTIMIENTOS PISO Y MURO</t>
  </si>
  <si>
    <t>CERÁMICOS DE PISO Y MURO</t>
  </si>
  <si>
    <t>10 AÑOS</t>
  </si>
  <si>
    <t>MANTENCIÓN PUERTA Y VENTANA</t>
  </si>
  <si>
    <t>PUERTAS, CERRADURAS Y BISAGRAS</t>
  </si>
  <si>
    <t>FUNCIONAMIENTO DE VENTANAS</t>
  </si>
  <si>
    <t>CIRCUITOS TABLERO Y TIERRA</t>
  </si>
  <si>
    <t>MANTENCIÓN SANITARIA</t>
  </si>
  <si>
    <t>REVISIÓN DE AGUA POTABLE</t>
  </si>
  <si>
    <t>PISO FLOTANTE</t>
  </si>
  <si>
    <t>REVISIÓN DE ALCANTARILLADO</t>
  </si>
  <si>
    <t>MANTENCIÓN CLIMA Y EXTRACCION</t>
  </si>
  <si>
    <t>MANENCION CALEFACTORES</t>
  </si>
  <si>
    <t>MANTENCION CAMPANA COCINA</t>
  </si>
  <si>
    <t>un</t>
  </si>
  <si>
    <t xml:space="preserve">MANTENCION INSTALACIONES DE EMERGENCIA </t>
  </si>
  <si>
    <t xml:space="preserve">MANTENCION RED HUMEDA (gabinetes, extintores, señaletica) </t>
  </si>
  <si>
    <t xml:space="preserve">MANTENCION DE BOMBAS </t>
  </si>
  <si>
    <t xml:space="preserve">MANTENCION JARDINES </t>
  </si>
  <si>
    <t xml:space="preserve">PODA Y TALA </t>
  </si>
  <si>
    <t xml:space="preserve">MANTENCION SENSORES DE HUMO </t>
  </si>
  <si>
    <t xml:space="preserve">MANTENIMIENTO 3ER NIVEL </t>
  </si>
  <si>
    <t>REPOSICIONES</t>
  </si>
  <si>
    <t>CAMBIO DE TECHUMBRE</t>
  </si>
  <si>
    <t>REPOSICION  DE VENTANAS</t>
  </si>
  <si>
    <t>CAMBIO DE PUERTAS Y CERRADURAS</t>
  </si>
  <si>
    <t>uni</t>
  </si>
  <si>
    <t xml:space="preserve"> uni </t>
  </si>
  <si>
    <t>REPOSICION DE CALEFACTORES</t>
  </si>
  <si>
    <t>8 AÑOS</t>
  </si>
  <si>
    <t>MANTENCION GENERADOR</t>
  </si>
  <si>
    <t>REPOSICION LAVAMANOS Y WC</t>
  </si>
  <si>
    <t>REPOSICION COCINA</t>
  </si>
  <si>
    <t xml:space="preserve">REPOSICION CAMPANA </t>
  </si>
  <si>
    <t xml:space="preserve">REPOSICION FOGON </t>
  </si>
  <si>
    <t>UF</t>
  </si>
  <si>
    <t>REPOSICION LAVAMANOS Y WC Lavandinos</t>
  </si>
  <si>
    <t>REPOSICION PISO GOMA CAUCHO</t>
  </si>
  <si>
    <t xml:space="preserve"> M2 </t>
  </si>
  <si>
    <t>PLAN EQUIPAMIENTO Y RENOVACIÓN</t>
  </si>
  <si>
    <t>JI PECECITOS DE COLORES</t>
  </si>
  <si>
    <t>JI/SC CARACOLITO DE MAR</t>
  </si>
  <si>
    <t xml:space="preserve">            SC MAR AZUL</t>
  </si>
  <si>
    <t>ITEM</t>
  </si>
  <si>
    <t>DESCRIPCIÓN</t>
  </si>
  <si>
    <t>EETT</t>
  </si>
  <si>
    <t>VALOR</t>
  </si>
  <si>
    <t>TECNOLOGIA</t>
  </si>
  <si>
    <t>COMPUTADOR</t>
  </si>
  <si>
    <t>Dell®
All-in-One
All in One Inspiron AIO 5410 23.8" FullHD Intel i7-1255U 16GB 1TB HDD + 256GB SSD GeForce MX550 2GB Windows 11la</t>
  </si>
  <si>
    <t>6 AÑOS</t>
  </si>
  <si>
    <t>HERRAMIENTAS DE TRABAJO</t>
  </si>
  <si>
    <t>LENOVO IDEA CENTRE AIO 5I 7MAGEN 24 INTEL</t>
  </si>
  <si>
    <t>NOTEBOOK</t>
  </si>
  <si>
    <t xml:space="preserve">
Dell®
Notebook Inspiron 16 i5-1235U 16" FHD 16GB 512GB SSD Windows 11</t>
  </si>
  <si>
    <t>NOTEBOOK HP</t>
  </si>
  <si>
    <t>DATA</t>
  </si>
  <si>
    <t>ViewSonic®
Proyector 3600 lúmenes SVGA HDMI PA503</t>
  </si>
  <si>
    <t xml:space="preserve">DATA PROYECTOR EPSON  </t>
  </si>
  <si>
    <t>EPSON POWERLITE E20,3LCD,XGA</t>
  </si>
  <si>
    <t>PROYECTOR EPSON CO-W01</t>
  </si>
  <si>
    <t>PARLANTES COMPUTADOR</t>
  </si>
  <si>
    <t xml:space="preserve">Parlante Portátil Booster  </t>
  </si>
  <si>
    <t>PARLANTE</t>
  </si>
  <si>
    <t>PARLANTES</t>
  </si>
  <si>
    <t xml:space="preserve">PARLANTES BLUETOOTH </t>
  </si>
  <si>
    <t>SONY EXTRA BASS XB13 SRS-XB13</t>
  </si>
  <si>
    <t>SPB12B MASTER G</t>
  </si>
  <si>
    <t>Sound Tower MX-T40</t>
  </si>
  <si>
    <t>TELON</t>
  </si>
  <si>
    <t>TELON PARA PROYECTOR</t>
  </si>
  <si>
    <t>CON TRIPODE  DE 60 PULGADAS</t>
  </si>
  <si>
    <t xml:space="preserve"> Projector Roller PYLE  150X200cm</t>
  </si>
  <si>
    <t xml:space="preserve">Telón para Proyectores 4:3 de 72" C/Trípode </t>
  </si>
  <si>
    <t>IMPRESORA</t>
  </si>
  <si>
    <t>IMPRESORAS</t>
  </si>
  <si>
    <t>EPSON ECOTANK L3250</t>
  </si>
  <si>
    <t>MEMORIA DISCO DURO</t>
  </si>
  <si>
    <t>DISCO DURO TOSHIBA 2TB CANVIO READY</t>
  </si>
  <si>
    <t>Kingston®
Memorias Flash
Memoria 64GB SDXC (300MB/s) A2 UHS-II U3 V90 Canvas React Plus</t>
  </si>
  <si>
    <t>TELEFONO</t>
  </si>
  <si>
    <t>INALAMBRICO</t>
  </si>
  <si>
    <t>TELÉFONO</t>
  </si>
  <si>
    <t>MOTOROLA M 700 SEÑAL HD</t>
  </si>
  <si>
    <t xml:space="preserve">Teléfono Inalámbrico Manos Libres Uniden AT3102BK Negro </t>
  </si>
  <si>
    <t>CALEFACTOR ELÉCTRICO</t>
  </si>
  <si>
    <t xml:space="preserve">TERMOLAMINADORA </t>
  </si>
  <si>
    <t xml:space="preserve">PAPEL A3/DOBLE CARTA/OFICIO </t>
  </si>
  <si>
    <t xml:space="preserve">CALEFACTOR ELÉCTRICO </t>
  </si>
  <si>
    <t>TERMOVENTILADOR 2000W TH-FH30</t>
  </si>
  <si>
    <t>Panel calefactor eléctrico Bosch HC 4000-2000W blanco</t>
  </si>
  <si>
    <t>PANTALLA INTERACTIVA</t>
  </si>
  <si>
    <t>CALEFACTOR A GAS</t>
  </si>
  <si>
    <t>TERMOLAMINADORA</t>
  </si>
  <si>
    <t>TERM 3 EN 1 ESHOPANGIE</t>
  </si>
  <si>
    <t>4 AÑOS</t>
  </si>
  <si>
    <t>MICRÓFONO</t>
  </si>
  <si>
    <t>Micrófono inalambrico portátil</t>
  </si>
  <si>
    <t>TERMOVENTILADOR ELECTRICO</t>
  </si>
  <si>
    <t>SOMELA VFH300 SOMELA</t>
  </si>
  <si>
    <t xml:space="preserve">	
Pantalla Interactiva Samsung 55" Serie WMR 4K</t>
  </si>
  <si>
    <t>MOBILIARIO</t>
  </si>
  <si>
    <t>CUNAS ALTAS</t>
  </si>
  <si>
    <t>NORMATIVA JUNJI</t>
  </si>
  <si>
    <t>CUNAS BAJAS</t>
  </si>
  <si>
    <t>MESAS LACTANTES</t>
  </si>
  <si>
    <t>SILLAS LACTANTES</t>
  </si>
  <si>
    <t>SILLAS BACENICAS</t>
  </si>
  <si>
    <t>SILLAS NIDO</t>
  </si>
  <si>
    <t>SILLAS COMER</t>
  </si>
  <si>
    <t>MUEBLES ORGANIZACIÓN</t>
  </si>
  <si>
    <t>JUNJI N° 5</t>
  </si>
  <si>
    <t>BANCA SALA EXPANSIÓN JUNJI</t>
  </si>
  <si>
    <t>JUNJI N° 6</t>
  </si>
  <si>
    <t>MUEBLES ORGANIZACIÓN JUGUETES</t>
  </si>
  <si>
    <t>MUEBLE BIBLOTECA</t>
  </si>
  <si>
    <t>SILLAS PREESCOLARES</t>
  </si>
  <si>
    <t>MESAS PRESCOLARES</t>
  </si>
  <si>
    <t>SILLAS BAJAS ADULTOS</t>
  </si>
  <si>
    <t>LOCKER 9 ESPACIOS</t>
  </si>
  <si>
    <t>CAMAS APILABLES</t>
  </si>
  <si>
    <t>SILLAS OFICINA ADULTO</t>
  </si>
  <si>
    <t>PERCHEROS</t>
  </si>
  <si>
    <t>REPISA RADIO</t>
  </si>
  <si>
    <t>6AÑOS</t>
  </si>
  <si>
    <t>COCHES EVACUACIÓN</t>
  </si>
  <si>
    <t>LOCKERS X 10</t>
  </si>
  <si>
    <t>LOCKERS X 04</t>
  </si>
  <si>
    <t>MATERIAL DIDACTIVO MOTRICIDAD FINA</t>
  </si>
  <si>
    <t>TUBOS CONECTORES</t>
  </si>
  <si>
    <t>MOTRICIDAD FINA</t>
  </si>
  <si>
    <t>FIGURAS MULTICONECTADAS</t>
  </si>
  <si>
    <t>SILLAS PARA OFICINA</t>
  </si>
  <si>
    <t>TORNILLOS Y TUERCAS</t>
  </si>
  <si>
    <t xml:space="preserve">SILLONES </t>
  </si>
  <si>
    <t>ENGRANAJES CONECTABLES</t>
  </si>
  <si>
    <t>SOFÁ( 2 CUERPOS)</t>
  </si>
  <si>
    <t>BLOQUES CONECTABLES GIGANTES</t>
  </si>
  <si>
    <t>SALA ESCRITORIO CON RUEDAS</t>
  </si>
  <si>
    <t>BOTONES GEOMETRICOS PARA HILAR</t>
  </si>
  <si>
    <t>LOCKERS METALICO 5 CUERPOS, 5 PTAS,  L500-1</t>
  </si>
  <si>
    <t>MEGA BLOQUES</t>
  </si>
  <si>
    <t>ESTRELLAS CONECTABLES</t>
  </si>
  <si>
    <t>MATERIAL DIDACTICO MOTRICIDAD FINA</t>
  </si>
  <si>
    <t>BLOQUES DE MADERA</t>
  </si>
  <si>
    <t>SET DE CONSTRUCCIÓN</t>
  </si>
  <si>
    <t>ARMA CARITAS Y EMOCIONES</t>
  </si>
  <si>
    <t>CONVERSACIÓN</t>
  </si>
  <si>
    <t>JUEGO PUZZLE EMOCIONES</t>
  </si>
  <si>
    <t>LAMINAS PRIMERA PALABRAS VOCABULARIO COMPRENSIVO</t>
  </si>
  <si>
    <t>LENGUAJE</t>
  </si>
  <si>
    <t>LAMINAS PRIMERA PALABRAS VOCABULARIO EXPRESIVO</t>
  </si>
  <si>
    <t>MEMORICE PLUS FONEMAS</t>
  </si>
  <si>
    <t>CUERPOS GEOMETRICOS</t>
  </si>
  <si>
    <t>PENS. MATEMATICO</t>
  </si>
  <si>
    <t>TANGRAMAS</t>
  </si>
  <si>
    <t>FRACCIONES CUADRADAS</t>
  </si>
  <si>
    <t>FICHAS BICOLOR</t>
  </si>
  <si>
    <t>CARTILLAS SECUENCIA</t>
  </si>
  <si>
    <t>BALANZA</t>
  </si>
  <si>
    <t>CIENCIAS</t>
  </si>
  <si>
    <t>GOTARIOS JUMBO</t>
  </si>
  <si>
    <t>PROBETAS GRADUADAS</t>
  </si>
  <si>
    <t>LUPA GIGANTE</t>
  </si>
  <si>
    <t>MICROSCOPIO</t>
  </si>
  <si>
    <t>MEMORICE OLORES</t>
  </si>
  <si>
    <t>LAMINAS CUERPO HUMANO</t>
  </si>
  <si>
    <t>ANIMALES SALVAJES</t>
  </si>
  <si>
    <t>RELACIÓN CON EL ENTORNO</t>
  </si>
  <si>
    <t>ANIMALES GRANJA</t>
  </si>
  <si>
    <t>SET JARDINERIA</t>
  </si>
  <si>
    <t>PALAS Y RASTRILLOS</t>
  </si>
  <si>
    <t>TITERES PARA DEDOS</t>
  </si>
  <si>
    <t>EXPRESIÓN Y ARTE</t>
  </si>
  <si>
    <t>TITERES FAMILIA</t>
  </si>
  <si>
    <t>PUNZÓN</t>
  </si>
  <si>
    <t>TRIANGULO MUSICAL</t>
  </si>
  <si>
    <t>INSTRUMENTOS MUSICALES</t>
  </si>
  <si>
    <t>CLAVES</t>
  </si>
  <si>
    <t>PULSERA CASCABEL</t>
  </si>
  <si>
    <t>CAMPANAS MUSICALES</t>
  </si>
  <si>
    <t>PANDEROS</t>
  </si>
  <si>
    <t>SET OLLAS</t>
  </si>
  <si>
    <t>JUEGO DE ROLES</t>
  </si>
  <si>
    <t>SET PICNIC</t>
  </si>
  <si>
    <t>SET COCINA</t>
  </si>
  <si>
    <t>PUESTO DE MERCADO</t>
  </si>
  <si>
    <t>CUNA PARA MUÑECAS</t>
  </si>
  <si>
    <t>COCHE PARA MUÑECAS</t>
  </si>
  <si>
    <t>SET HERRAMIENTAS MADERA</t>
  </si>
  <si>
    <t>SEÑALES DE TRANSITO</t>
  </si>
  <si>
    <t>SONAJERO DE MANO LEON</t>
  </si>
  <si>
    <t>ESTIMULACIÓN TEMPRANA</t>
  </si>
  <si>
    <t>CUBO INTERACTIVO</t>
  </si>
  <si>
    <t>CUBO ENCAJE</t>
  </si>
  <si>
    <t>PELOTA INTERACTIVA</t>
  </si>
  <si>
    <t>PELOTAS CON TEXTURAS</t>
  </si>
  <si>
    <t>CUBOS</t>
  </si>
  <si>
    <t>BLOQUES LOGICOS</t>
  </si>
  <si>
    <t>TABLERO DESCUBRIMEINTO VISUAL</t>
  </si>
  <si>
    <t>ANDADOR ACTIVIDADES</t>
  </si>
  <si>
    <t>CAMINO EQUILIBRIO</t>
  </si>
  <si>
    <t>MOTRICIDAD GRUESA</t>
  </si>
  <si>
    <t>BASES EQUILIBRIO</t>
  </si>
  <si>
    <t>CIRCUITO EQUILIBRIO</t>
  </si>
  <si>
    <t>ZANCOS SENSORIALES</t>
  </si>
  <si>
    <t>AROS PARA SALTAR</t>
  </si>
  <si>
    <t>PARACAIDAS CON MANILLAS</t>
  </si>
  <si>
    <t>TABLERO DESCUBRIMIENTO VISUAL</t>
  </si>
  <si>
    <t>TUNEL</t>
  </si>
  <si>
    <t>COJIN CON AIRE</t>
  </si>
  <si>
    <t>TATAMI 1x1 MT</t>
  </si>
  <si>
    <t>BALON TERAPIA  SENSORIAL GRANDE</t>
  </si>
  <si>
    <t>ELECTRODOMESTICOS</t>
  </si>
  <si>
    <t>REFRIGERADOR</t>
  </si>
  <si>
    <t>CONSERVACION ALIMENTOS</t>
  </si>
  <si>
    <t>CAMA CIRCULAR INGROUND</t>
  </si>
  <si>
    <t>Favorit Inground Gris | Circular | Cama elástica | BERG |330 cm</t>
  </si>
  <si>
    <t>LICUADORA INDUSTRIAL</t>
  </si>
  <si>
    <t>PREPARACIÓN ALIMENTOS</t>
  </si>
  <si>
    <t>COLUMPIO SENSORIAL DOBLE TELA</t>
  </si>
  <si>
    <t>COCINA INDUSTRIAL</t>
  </si>
  <si>
    <t>MANTENEDORES</t>
  </si>
  <si>
    <t>CONGELADORES</t>
  </si>
  <si>
    <t>TERMO HERVIDOR 20 LTS</t>
  </si>
  <si>
    <t>GUITARRA</t>
  </si>
  <si>
    <t>HERVIDOR</t>
  </si>
  <si>
    <t>PALOS DE AGUA PLASTICO</t>
  </si>
  <si>
    <t>MICROONDAS</t>
  </si>
  <si>
    <t>COCINA MALETA CON ESCRITORIO</t>
  </si>
  <si>
    <t>FRIGOBAR</t>
  </si>
  <si>
    <t>CUBOS BLANDITOS BEBE 10 PIEZAS</t>
  </si>
  <si>
    <t>CAMPANA COCINA ( EXTRACTOR)</t>
  </si>
  <si>
    <t>SET DE MOTRICIDAD 43 PIEZAS</t>
  </si>
  <si>
    <t>JUGUERA</t>
  </si>
  <si>
    <t>SET DE CUBOS DE TEXTURAS</t>
  </si>
  <si>
    <t>CALIENTA MAMADERAS</t>
  </si>
  <si>
    <t>BATIDORA MANUAL</t>
  </si>
  <si>
    <t>JUGUERA MOULINEX PERFECTMIX</t>
  </si>
  <si>
    <t>BATIDORA DE PEDESTAL</t>
  </si>
  <si>
    <t>COCINA DE 4 PLATOS</t>
  </si>
  <si>
    <t>LÁMPARAS DE EMERGENCIA</t>
  </si>
  <si>
    <t>EMERGENCIAS</t>
  </si>
  <si>
    <t>BATIDORA DE PEDESTAL 5 LITROS</t>
  </si>
  <si>
    <t>ASPIRADORA</t>
  </si>
  <si>
    <t>LIMPIEZA ESPACIOS EDUC Y OTROS</t>
  </si>
  <si>
    <t>LÁMPARAS DE EMERGENCIA LED BLANCA</t>
  </si>
  <si>
    <t>MENAJE COCINA Y OTROS</t>
  </si>
  <si>
    <t>OLLAS ACERO INOXIDABLES</t>
  </si>
  <si>
    <t>ASPIRADORA MARCA THOMAS</t>
  </si>
  <si>
    <t>SARTENES</t>
  </si>
  <si>
    <t>ENCIMERA 2 PLATOS</t>
  </si>
  <si>
    <t>CUCHARAS NIÑOS</t>
  </si>
  <si>
    <t>HABITOS NIÑOS</t>
  </si>
  <si>
    <t>CUCHARAS CHUPETE</t>
  </si>
  <si>
    <t>CUCHARAS SOPERA</t>
  </si>
  <si>
    <t>CUCHARAS NIÑOS PLÁSTICAS</t>
  </si>
  <si>
    <t>CUCHARON 750 ML</t>
  </si>
  <si>
    <t>CUCHARAS CHUPETE (MALLA)</t>
  </si>
  <si>
    <t>CUCHARAS</t>
  </si>
  <si>
    <t>TENEDORES</t>
  </si>
  <si>
    <t>CUCHILLOS</t>
  </si>
  <si>
    <t>CUCHARAS (DE TE)</t>
  </si>
  <si>
    <t>BANDEJAS NIÑOS</t>
  </si>
  <si>
    <t>BANDEJAS</t>
  </si>
  <si>
    <t>COLCHONETAS MUDADOR</t>
  </si>
  <si>
    <t>BOWL</t>
  </si>
  <si>
    <t>TETERAS</t>
  </si>
  <si>
    <t>ESPATULAS</t>
  </si>
  <si>
    <t>PLATO  BAJO</t>
  </si>
  <si>
    <t>PLATO HONDO</t>
  </si>
  <si>
    <t>PLATO PAN</t>
  </si>
  <si>
    <t>CUCHARONES ( 3 MEDIDAS)</t>
  </si>
  <si>
    <t>CONTENEDORES PLASTICOS (BASURERO CON RUEDAS)</t>
  </si>
  <si>
    <t>TOLDO VELA SOMBRA MALLA ANTI UV CUADRADO</t>
  </si>
  <si>
    <t>SEGURIDAD</t>
  </si>
  <si>
    <t>ENCIMERA</t>
  </si>
  <si>
    <t>CITOFONO</t>
  </si>
  <si>
    <t>TIMBRE</t>
  </si>
  <si>
    <t>VASOS</t>
  </si>
  <si>
    <t>PAPELEROS CON PEDESTAL</t>
  </si>
  <si>
    <t>POCILLOS</t>
  </si>
  <si>
    <t>CAJAS ORGANIZACIÓN</t>
  </si>
  <si>
    <t xml:space="preserve">PREPARACIÓN MATERIAL </t>
  </si>
  <si>
    <t>GUILLOTINA CORTA PAPEL</t>
  </si>
  <si>
    <t>UTENSILIOS (ESPUMADOR, COLADOR, BATIDOR, MANUAL, ETC)</t>
  </si>
  <si>
    <t xml:space="preserve">LIMPIAPIES EXTRA GRANDE </t>
  </si>
  <si>
    <t>TERMO TIPO CALDERA</t>
  </si>
  <si>
    <t>ALMACENAMIENTOS ALIMENTOS</t>
  </si>
  <si>
    <t>PLANES MANTENCIÓN 2025</t>
  </si>
  <si>
    <t>MANTENCION CALEFACTORES</t>
  </si>
  <si>
    <t>PLAN CAPACITACION 2025</t>
  </si>
  <si>
    <t>PROPUESTA 2025</t>
  </si>
  <si>
    <t>UF ANUAL 2025</t>
  </si>
  <si>
    <t>CONSTANZA JAVIERA</t>
  </si>
  <si>
    <t>MONCADA SOTO</t>
  </si>
  <si>
    <t>ENCARGADA A.F.</t>
  </si>
  <si>
    <t>EDITH SORAYA</t>
  </si>
  <si>
    <t>MARAMBIO KERR</t>
  </si>
  <si>
    <t>TESORERA</t>
  </si>
  <si>
    <t>JUAN MANUEL</t>
  </si>
  <si>
    <t>DIAZ FREDES</t>
  </si>
  <si>
    <t>CONTADOR GENERAL</t>
  </si>
  <si>
    <t>PIAGGIO MORLA</t>
  </si>
  <si>
    <t>JEFE DE ADQUISICIONES</t>
  </si>
  <si>
    <t>LUIS ARTURO</t>
  </si>
  <si>
    <t>SILVA CARDENAS</t>
  </si>
  <si>
    <t>ENC COMPRAS AREA ADQUISICIONES</t>
  </si>
  <si>
    <t>HECTOR RICARDO</t>
  </si>
  <si>
    <t>DELGADO DELGADO</t>
  </si>
  <si>
    <t>OP RRHH</t>
  </si>
  <si>
    <t xml:space="preserve">XIMENA </t>
  </si>
  <si>
    <t>ROA</t>
  </si>
  <si>
    <t>REEMPLAZO</t>
  </si>
  <si>
    <t>CESAR RODRIGO</t>
  </si>
  <si>
    <t>CORNEJO MAGAÑA</t>
  </si>
  <si>
    <t>ENCARGADO INFORMATICA</t>
  </si>
  <si>
    <t>SILVA HOTT</t>
  </si>
  <si>
    <t>CATALINA ANGELICA</t>
  </si>
  <si>
    <t>PERIODISTA</t>
  </si>
  <si>
    <t>PROMOCION Y DIFUSION</t>
  </si>
  <si>
    <t>FAUNDEZ BAESLER</t>
  </si>
  <si>
    <t>CAMILA</t>
  </si>
  <si>
    <t>EJEC. MOD. ATENCION CLIENTE</t>
  </si>
  <si>
    <t>cccccccc</t>
  </si>
  <si>
    <t>MARJORIE ANDREA</t>
  </si>
  <si>
    <t>POBLETE GUERRA</t>
  </si>
  <si>
    <t>OP CONTABLE A. EDUCACIONAL</t>
  </si>
  <si>
    <t>JESSICA</t>
  </si>
  <si>
    <t>LEIVA MEZA</t>
  </si>
  <si>
    <t>SECRETARIA</t>
  </si>
  <si>
    <t>FF.PP IGNACIA (EC)</t>
  </si>
  <si>
    <t xml:space="preserve">FF.PP NN REEMPLAZO </t>
  </si>
  <si>
    <t>F. LANDEROS PAC</t>
  </si>
  <si>
    <t>NN (POR MARIA PAZ)</t>
  </si>
  <si>
    <t>Ma paz Lorenzo</t>
  </si>
  <si>
    <t>Francisca Ortuzar</t>
  </si>
  <si>
    <t>Ma Gabriela Herrera</t>
  </si>
  <si>
    <t>Ana ma Astudillo</t>
  </si>
  <si>
    <t>Andrea Zapata</t>
  </si>
  <si>
    <t>Ma Virginia</t>
  </si>
  <si>
    <t>Fran del Real</t>
  </si>
  <si>
    <t>Dany saravia</t>
  </si>
  <si>
    <t>Carla Bosque</t>
  </si>
  <si>
    <t>Loreto aravena</t>
  </si>
  <si>
    <t>ximena lorca</t>
  </si>
  <si>
    <t>silvana palomino</t>
  </si>
  <si>
    <t>ximena muñoz</t>
  </si>
  <si>
    <t>paula torregrosa</t>
  </si>
  <si>
    <t>patricia leon</t>
  </si>
  <si>
    <t>4 tec</t>
  </si>
  <si>
    <t>7 tec</t>
  </si>
  <si>
    <t>6tec</t>
  </si>
  <si>
    <t>2 aux aseo</t>
  </si>
  <si>
    <t>1 educ.</t>
  </si>
  <si>
    <t>8 tec</t>
  </si>
  <si>
    <t>1 aux. aseo</t>
  </si>
  <si>
    <t>1 aux.aseo</t>
  </si>
  <si>
    <t>15 tec</t>
  </si>
  <si>
    <t>2 aux.aseo</t>
  </si>
  <si>
    <t>1° MARZO EC</t>
  </si>
  <si>
    <t>pac 1°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</si>
</sst>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8">
    <numFmt numFmtId="6" formatCode="&quot;$&quot;#,##0;[Red]&quot;$&quot;\-#,##0"/>
    <numFmt numFmtId="42" formatCode="_ &quot;$&quot;* #,##0_ ;_ &quot;$&quot;* \-#,##0_ ;_ &quot;$&quot;* &quot;-&quot;_ ;_ @_ "/>
    <numFmt numFmtId="41" formatCode="_ * #,##0_ ;_ * \-#,##0_ ;_ * &quot;-&quot;_ ;_ @_ "/>
    <numFmt numFmtId="164" formatCode="_-&quot;$&quot;\ * #,##0_-;\-&quot;$&quot;\ * #,##0_-;_-&quot;$&quot;\ * &quot;-&quot;_-;_-@_-"/>
    <numFmt numFmtId="165" formatCode="_-* #,##0.00_-;\-* #,##0.00_-;_-* &quot;-&quot;??_-;_-@_-"/>
    <numFmt numFmtId="166" formatCode="_-\$* #,##0.00_-;&quot;-$&quot;* #,##0.00_-;_-\$* \-??_-;_-@_-"/>
    <numFmt numFmtId="167" formatCode="\$#,##0_);&quot;($&quot;#,##0\)"/>
    <numFmt numFmtId="168" formatCode="_-&quot;$ &quot;* #,##0_-;&quot;-$ &quot;* #,##0_-;_-&quot;$ &quot;* \-_-;_-@_-"/>
    <numFmt numFmtId="169" formatCode="0\ %"/>
    <numFmt numFmtId="170" formatCode="0.0%"/>
    <numFmt numFmtId="171" formatCode="#,##0_ ;[Red]\-#,##0\ "/>
    <numFmt numFmtId="172" formatCode="_-* #,##0.00_-;\-* #,##0.00_-;_-* \-??_-;_-@_-"/>
    <numFmt numFmtId="173" formatCode="_-\ * #,##0_-;&quot;$ &quot;* #,##0_-;_-\ * \-_-;_-@_-"/>
    <numFmt numFmtId="174" formatCode="_-* #,##0.0_-;\-* #,##0.0_-;_-* \-??_-;_-@_-"/>
    <numFmt numFmtId="175" formatCode="_(* #,##0_);_(* \(#,##0\);_(* \-_);_(@_)"/>
    <numFmt numFmtId="176" formatCode="_-* #,##0_-;\-* #,##0_-;_-* \-??_-;_-@_-"/>
    <numFmt numFmtId="177" formatCode="&quot;$&quot;\ #,##0"/>
    <numFmt numFmtId="178" formatCode="_-&quot;$&quot;* #,##0_-;\-&quot;$&quot;* #,##0_-;_-&quot;$&quot;* &quot;-&quot;??_-;_-@_-"/>
    <numFmt numFmtId="179" formatCode="#,##0_ ;\-#,##0\ "/>
    <numFmt numFmtId="180" formatCode="0.00\ %"/>
    <numFmt numFmtId="181" formatCode="_-\$* #,##0_-;&quot;-$&quot;* #,##0_-;_-\$* \-??_-;_-@_-"/>
    <numFmt numFmtId="182" formatCode="_-[$$-340A]\ * #,##0_-;\-[$$-340A]\ * #,##0_-;_-[$$-340A]\ * &quot;-&quot;??_-;_-@_-"/>
    <numFmt numFmtId="183" formatCode="_-* #,##0.00\ &quot;€&quot;_-;\-* #,##0.00\ &quot;€&quot;_-;_-* &quot;-&quot;??\ &quot;€&quot;_-;_-@_-"/>
    <numFmt numFmtId="184" formatCode="_-[$€]* #,##0.00_-;\-[$€]* #,##0.00_-;_-[$€]* &quot;-&quot;??_-;_-@_-"/>
    <numFmt numFmtId="185" formatCode="_-[$€-2]\ * #,##0.00_-;\-[$€-2]\ * #,##0.00_-;_-[$€-2]\ * &quot;-&quot;??_-"/>
    <numFmt numFmtId="186" formatCode="_-[$€]* #,##0.00_-;\-[$€]* #,##0.00_-;_-[$€]* \-??_-;_-@_-"/>
    <numFmt numFmtId="187" formatCode="_-[$€-2]\ * #,##0.00_-;\-[$€-2]\ * #,##0.00_-;_-[$€-2]\ * \-??_-"/>
    <numFmt numFmtId="188" formatCode="_-* #,##0.00&quot; €&quot;_-;\-* #,##0.00&quot; €&quot;_-;_-* \-??&quot; €&quot;_-;_-@_-"/>
    <numFmt numFmtId="189" formatCode="_-&quot;$&quot;\ * #,##0_-;\-&quot;$&quot;\ * #,##0_-;_-&quot;$&quot;\ * &quot;-&quot;??_-;_-@_-"/>
    <numFmt numFmtId="190" formatCode="_ [$$-340A]* #,##0_ ;_ [$$-340A]* \-#,##0_ ;_ [$$-340A]* &quot;-&quot;??_ ;_ @_ "/>
    <numFmt numFmtId="191" formatCode="_ \$* #,##0_ ;_ \$* \-#,##0_ ;_ \$* \-_ ;_ @_ "/>
    <numFmt numFmtId="192" formatCode="0&quot; AÑOS&quot;"/>
    <numFmt numFmtId="193" formatCode="_-&quot;$ &quot;* #,##0_-;&quot;-$ &quot;* #,##0_-;_-&quot;$ &quot;* \-??_-;_-@_-"/>
    <numFmt numFmtId="194" formatCode="0.0"/>
    <numFmt numFmtId="195" formatCode="_ * #,##0.0_ ;_ * \-#,##0.0_ ;_ * &quot;-&quot;?_ ;_ @_ "/>
    <numFmt numFmtId="196" formatCode="_-[$$-340A]\ * #,##0_-;\-[$$-340A]\ * #,##0_-;_-[$$-340A]\ * \-??_-;_-@_-"/>
    <numFmt numFmtId="197" formatCode="\$#,##0;[Red]&quot;$-&quot;#,##0"/>
    <numFmt numFmtId="198" formatCode="_ [$$-340A]* #,##0_ ;_ [$$-340A]* \-#,##0_ ;_ [$$-340A]* \-??_ ;_ @_ "/>
  </numFmts>
  <fonts count="6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10"/>
      <color indexed="4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u/>
      <sz val="12"/>
      <color rgb="FF0000CC"/>
      <name val="Arial"/>
      <family val="2"/>
    </font>
    <font>
      <b/>
      <sz val="16"/>
      <name val="Arial"/>
      <family val="2"/>
    </font>
    <font>
      <b/>
      <sz val="10"/>
      <color rgb="FF00009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0"/>
      <name val="Arial Narrow"/>
      <family val="2"/>
    </font>
    <font>
      <sz val="11"/>
      <color indexed="8"/>
      <name val="Calibri"/>
      <family val="2"/>
    </font>
    <font>
      <sz val="10"/>
      <name val="Verdana"/>
      <family val="2"/>
    </font>
    <font>
      <b/>
      <sz val="10"/>
      <color theme="1"/>
      <name val="Arial Narrow"/>
      <family val="2"/>
    </font>
    <font>
      <u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Arial"/>
      <family val="2"/>
    </font>
    <font>
      <b/>
      <sz val="6"/>
      <name val="Arial"/>
      <family val="2"/>
      <charset val="1"/>
    </font>
    <font>
      <sz val="6"/>
      <name val="Arial"/>
      <family val="2"/>
    </font>
    <font>
      <b/>
      <sz val="6"/>
      <name val="Arial"/>
      <family val="2"/>
    </font>
    <font>
      <b/>
      <sz val="6"/>
      <name val="Calibri"/>
      <family val="2"/>
      <charset val="1"/>
    </font>
    <font>
      <b/>
      <sz val="6"/>
      <color rgb="FF000000"/>
      <name val="Calibri"/>
      <family val="2"/>
      <charset val="1"/>
    </font>
    <font>
      <sz val="6"/>
      <color rgb="FF000000"/>
      <name val="Calibri"/>
      <family val="2"/>
      <charset val="1"/>
    </font>
    <font>
      <sz val="6"/>
      <name val="Times New Roman"/>
      <family val="1"/>
      <charset val="1"/>
    </font>
    <font>
      <sz val="6"/>
      <name val="Calibri"/>
      <family val="2"/>
      <charset val="1"/>
    </font>
    <font>
      <i/>
      <sz val="11"/>
      <color rgb="FF7F7F7F"/>
      <name val="Calibri"/>
      <family val="2"/>
      <scheme val="minor"/>
    </font>
    <font>
      <b/>
      <sz val="8"/>
      <name val="Arial"/>
      <family val="2"/>
    </font>
    <font>
      <b/>
      <sz val="8"/>
      <color rgb="FF000000"/>
      <name val="Calibri"/>
      <family val="2"/>
      <charset val="1"/>
    </font>
    <font>
      <sz val="8"/>
      <name val="Calibri"/>
      <family val="2"/>
      <charset val="1"/>
    </font>
    <font>
      <sz val="8"/>
      <color rgb="FF000000"/>
      <name val="Calibri"/>
      <family val="2"/>
      <charset val="1"/>
    </font>
    <font>
      <sz val="8"/>
      <color rgb="FF000000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Calibri"/>
      <family val="2"/>
      <charset val="1"/>
    </font>
    <font>
      <b/>
      <sz val="10"/>
      <color rgb="FF00000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000000"/>
      <name val="Calibri"/>
      <family val="2"/>
    </font>
  </fonts>
  <fills count="109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gray125"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4"/>
      </patternFill>
    </fill>
    <fill>
      <patternFill patternType="solid">
        <fgColor theme="5" tint="0.39997558519241921"/>
        <bgColor indexed="24"/>
      </patternFill>
    </fill>
    <fill>
      <patternFill patternType="gray125">
        <fgColor auto="1"/>
        <bgColor theme="5" tint="0.79998168889431442"/>
      </patternFill>
    </fill>
    <fill>
      <patternFill patternType="solid">
        <fgColor theme="5" tint="0.39997558519241921"/>
        <bgColor indexed="40"/>
      </patternFill>
    </fill>
    <fill>
      <patternFill patternType="gray125">
        <fgColor auto="1"/>
        <bgColor theme="5" tint="0.39997558519241921"/>
      </patternFill>
    </fill>
    <fill>
      <patternFill patternType="solid">
        <fgColor rgb="FFC00000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24"/>
      </patternFill>
    </fill>
    <fill>
      <patternFill patternType="solid">
        <fgColor theme="3" tint="0.39997558519241921"/>
        <bgColor indexed="44"/>
      </patternFill>
    </fill>
    <fill>
      <patternFill patternType="gray125">
        <fgColor auto="1"/>
        <bgColor theme="3" tint="0.39997558519241921"/>
      </patternFill>
    </fill>
    <fill>
      <patternFill patternType="solid">
        <fgColor theme="3" tint="-0.249977111117893"/>
        <bgColor indexed="24"/>
      </patternFill>
    </fill>
    <fill>
      <patternFill patternType="solid">
        <fgColor theme="3" tint="0.39997558519241921"/>
        <bgColor indexed="26"/>
      </patternFill>
    </fill>
    <fill>
      <patternFill patternType="solid">
        <fgColor theme="3" tint="-0.24997711111789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9D8FF"/>
        <bgColor indexed="24"/>
      </patternFill>
    </fill>
    <fill>
      <patternFill patternType="solid">
        <fgColor theme="4" tint="0.59999389629810485"/>
        <bgColor indexed="24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5" tint="0.79998168889431442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4"/>
      </patternFill>
    </fill>
    <fill>
      <patternFill patternType="gray125">
        <bgColor theme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auto="1"/>
      </patternFill>
    </fill>
    <fill>
      <patternFill patternType="gray125">
        <fgColor auto="1"/>
      </patternFill>
    </fill>
    <fill>
      <patternFill patternType="gray125">
        <bgColor rgb="FFFFFF00"/>
      </patternFill>
    </fill>
    <fill>
      <patternFill patternType="solid">
        <fgColor theme="5" tint="0.39994506668294322"/>
        <bgColor auto="1"/>
      </patternFill>
    </fill>
    <fill>
      <patternFill patternType="gray125">
        <bgColor theme="5" tint="0.79992065187536243"/>
      </patternFill>
    </fill>
    <fill>
      <patternFill patternType="gray125">
        <bgColor theme="5" tint="0.39994506668294322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79995117038483843"/>
        <bgColor auto="1"/>
      </patternFill>
    </fill>
    <fill>
      <patternFill patternType="lightGray">
        <bgColor theme="3" tint="0.79995117038483843"/>
      </patternFill>
    </fill>
    <fill>
      <patternFill patternType="lightGray">
        <bgColor theme="0" tint="-0.14999847407452621"/>
      </patternFill>
    </fill>
    <fill>
      <patternFill patternType="lightGray">
        <bgColor rgb="FFFFFF00"/>
      </patternFill>
    </fill>
    <fill>
      <patternFill patternType="lightGray">
        <bgColor theme="3" tint="0.79998168889431442"/>
      </patternFill>
    </fill>
    <fill>
      <patternFill patternType="lightGray">
        <bgColor theme="0" tint="-0.249977111117893"/>
      </patternFill>
    </fill>
    <fill>
      <patternFill patternType="lightGray">
        <fgColor indexed="24"/>
        <bgColor theme="0" tint="-0.249977111117893"/>
      </patternFill>
    </fill>
    <fill>
      <patternFill patternType="lightGray">
        <fgColor indexed="44"/>
        <bgColor theme="0" tint="-0.249977111117893"/>
      </patternFill>
    </fill>
    <fill>
      <patternFill patternType="gray125">
        <bgColor theme="3" tint="0.79995117038483843"/>
      </patternFill>
    </fill>
    <fill>
      <patternFill patternType="gray125">
        <bgColor theme="4" tint="0.59999389629810485"/>
      </patternFill>
    </fill>
    <fill>
      <patternFill patternType="gray125">
        <bgColor theme="3" tint="0.79998168889431442"/>
      </patternFill>
    </fill>
    <fill>
      <patternFill patternType="gray125">
        <fgColor indexed="40"/>
        <bgColor theme="5" tint="0.39997558519241921"/>
      </patternFill>
    </fill>
    <fill>
      <patternFill patternType="gray125">
        <fgColor indexed="24"/>
        <bgColor theme="5" tint="0.79998168889431442"/>
      </patternFill>
    </fill>
    <fill>
      <patternFill patternType="gray125">
        <bgColor theme="3" tint="0.59999389629810485"/>
      </patternFill>
    </fill>
    <fill>
      <patternFill patternType="gray125">
        <bgColor theme="9"/>
      </patternFill>
    </fill>
    <fill>
      <patternFill patternType="gray125">
        <fgColor indexed="44"/>
        <bgColor theme="3" tint="0.39997558519241921"/>
      </patternFill>
    </fill>
    <fill>
      <patternFill patternType="gray125">
        <bgColor theme="0" tint="-0.249977111117893"/>
      </patternFill>
    </fill>
    <fill>
      <patternFill patternType="gray125">
        <fgColor indexed="24"/>
        <bgColor theme="0" tint="-0.249977111117893"/>
      </patternFill>
    </fill>
    <fill>
      <patternFill patternType="gray125">
        <fgColor indexed="44"/>
        <bgColor theme="0" tint="-0.249977111117893"/>
      </patternFill>
    </fill>
    <fill>
      <patternFill patternType="gray125">
        <fgColor auto="1"/>
        <bgColor theme="5" tint="0.39994506668294322"/>
      </patternFill>
    </fill>
    <fill>
      <patternFill patternType="gray125">
        <fgColor auto="1"/>
        <bgColor theme="3" tint="0.79995117038483843"/>
      </patternFill>
    </fill>
    <fill>
      <patternFill patternType="solid">
        <fgColor indexed="31"/>
        <bgColor indexed="27"/>
      </patternFill>
    </fill>
    <fill>
      <patternFill patternType="solid">
        <fgColor indexed="43"/>
        <bgColor indexed="47"/>
      </patternFill>
    </fill>
    <fill>
      <patternFill patternType="solid">
        <fgColor indexed="42"/>
        <bgColor indexed="41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3" tint="0.39997558519241921"/>
        <bgColor auto="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4506668294322"/>
        <bgColor indexed="64"/>
      </patternFill>
    </fill>
    <fill>
      <patternFill patternType="gray125">
        <bgColor theme="5" tint="0.79998168889431442"/>
      </patternFill>
    </fill>
    <fill>
      <patternFill patternType="gray125">
        <fgColor indexed="24"/>
        <bgColor theme="4" tint="0.59999389629810485"/>
      </patternFill>
    </fill>
    <fill>
      <patternFill patternType="gray125">
        <bgColor theme="0" tint="-0.14999847407452621"/>
      </patternFill>
    </fill>
    <fill>
      <patternFill patternType="gray125">
        <bgColor theme="0" tint="-0.14996795556505021"/>
      </patternFill>
    </fill>
    <fill>
      <patternFill patternType="solid">
        <fgColor indexed="6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8D08D"/>
        <bgColor rgb="FFB8C1C4"/>
      </patternFill>
    </fill>
    <fill>
      <patternFill patternType="solid">
        <fgColor rgb="FFFFFFFF"/>
        <bgColor rgb="FFFFFFF2"/>
      </patternFill>
    </fill>
    <fill>
      <patternFill patternType="solid">
        <fgColor rgb="FFFFD966"/>
        <bgColor rgb="FFDFDF00"/>
      </patternFill>
    </fill>
    <fill>
      <patternFill patternType="solid">
        <fgColor rgb="FFB9CDE5"/>
        <bgColor rgb="FFB5C6E8"/>
      </patternFill>
    </fill>
    <fill>
      <patternFill patternType="solid">
        <fgColor rgb="FFC6D9F1"/>
        <bgColor rgb="FFB9CDE5"/>
      </patternFill>
    </fill>
    <fill>
      <patternFill patternType="solid">
        <fgColor rgb="FFFFC000"/>
        <bgColor rgb="FFDFDF00"/>
      </patternFill>
    </fill>
    <fill>
      <patternFill patternType="solid">
        <fgColor theme="0"/>
        <bgColor rgb="FFDFDF00"/>
      </patternFill>
    </fill>
    <fill>
      <patternFill patternType="solid">
        <fgColor theme="0"/>
        <bgColor rgb="FFB8C1C4"/>
      </patternFill>
    </fill>
    <fill>
      <patternFill patternType="solid">
        <fgColor rgb="FFD9D9D9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CCFFFF"/>
      </patternFill>
    </fill>
    <fill>
      <patternFill patternType="solid">
        <fgColor rgb="FFFFFF00"/>
        <bgColor rgb="FFCCFFFF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rgb="FFDFDF00"/>
      </patternFill>
    </fill>
  </fills>
  <borders count="36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auto="1"/>
      </right>
      <top style="medium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99">
    <xf numFmtId="0" fontId="0" fillId="0" borderId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2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7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2" fontId="15" fillId="0" borderId="0"/>
    <xf numFmtId="166" fontId="15" fillId="0" borderId="0"/>
    <xf numFmtId="0" fontId="9" fillId="8" borderId="0" applyNumberFormat="0" applyBorder="0" applyAlignment="0" applyProtection="0"/>
    <xf numFmtId="0" fontId="6" fillId="8" borderId="1" applyNumberFormat="0" applyAlignment="0" applyProtection="0"/>
    <xf numFmtId="169" fontId="1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84" fontId="34" fillId="0" borderId="0" applyFont="0" applyFill="0" applyBorder="0" applyAlignment="0" applyProtection="0"/>
    <xf numFmtId="185" fontId="35" fillId="0" borderId="0" applyFont="0" applyFill="0" applyBorder="0" applyAlignment="0" applyProtection="0"/>
    <xf numFmtId="185" fontId="35" fillId="0" borderId="0" applyFont="0" applyFill="0" applyBorder="0" applyAlignment="0" applyProtection="0"/>
    <xf numFmtId="172" fontId="15" fillId="0" borderId="0" applyFill="0" applyBorder="0" applyAlignment="0" applyProtection="0"/>
    <xf numFmtId="166" fontId="15" fillId="0" borderId="0" applyFill="0" applyBorder="0" applyAlignment="0" applyProtection="0"/>
    <xf numFmtId="18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9" fontId="15" fillId="0" borderId="0" applyFill="0" applyBorder="0" applyAlignment="0" applyProtection="0"/>
    <xf numFmtId="42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6" fillId="8" borderId="272" applyNumberFormat="0" applyAlignment="0" applyProtection="0"/>
    <xf numFmtId="0" fontId="6" fillId="8" borderId="262" applyNumberFormat="0" applyAlignment="0" applyProtection="0"/>
    <xf numFmtId="164" fontId="15" fillId="0" borderId="0" applyFont="0" applyFill="0" applyBorder="0" applyAlignment="0" applyProtection="0"/>
    <xf numFmtId="0" fontId="6" fillId="8" borderId="274" applyNumberFormat="0" applyAlignment="0" applyProtection="0"/>
    <xf numFmtId="0" fontId="6" fillId="8" borderId="265" applyNumberFormat="0" applyAlignment="0" applyProtection="0"/>
    <xf numFmtId="0" fontId="6" fillId="8" borderId="269" applyNumberFormat="0" applyAlignment="0" applyProtection="0"/>
    <xf numFmtId="0" fontId="6" fillId="8" borderId="269" applyNumberFormat="0" applyAlignment="0" applyProtection="0"/>
    <xf numFmtId="42" fontId="15" fillId="0" borderId="0" applyFont="0" applyFill="0" applyBorder="0" applyAlignment="0" applyProtection="0"/>
    <xf numFmtId="0" fontId="6" fillId="8" borderId="263" applyNumberFormat="0" applyAlignment="0" applyProtection="0"/>
    <xf numFmtId="0" fontId="6" fillId="8" borderId="263" applyNumberFormat="0" applyAlignment="0" applyProtection="0"/>
    <xf numFmtId="0" fontId="6" fillId="8" borderId="263" applyNumberFormat="0" applyAlignment="0" applyProtection="0"/>
    <xf numFmtId="0" fontId="6" fillId="8" borderId="263" applyNumberFormat="0" applyAlignment="0" applyProtection="0"/>
    <xf numFmtId="0" fontId="6" fillId="8" borderId="263" applyNumberFormat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2" fillId="79" borderId="0" applyNumberFormat="0" applyBorder="0" applyAlignment="0" applyProtection="0"/>
    <xf numFmtId="0" fontId="12" fillId="0" borderId="0" applyNumberFormat="0" applyFill="0" applyBorder="0" applyAlignment="0" applyProtection="0"/>
    <xf numFmtId="0" fontId="10" fillId="80" borderId="0" applyNumberFormat="0" applyBorder="0" applyAlignment="0" applyProtection="0"/>
    <xf numFmtId="0" fontId="11" fillId="6" borderId="0" applyNumberFormat="0" applyBorder="0" applyAlignment="0" applyProtection="0"/>
    <xf numFmtId="186" fontId="15" fillId="0" borderId="0" applyFill="0" applyBorder="0" applyAlignment="0" applyProtection="0"/>
    <xf numFmtId="187" fontId="15" fillId="0" borderId="0" applyFill="0" applyBorder="0" applyAlignment="0" applyProtection="0"/>
    <xf numFmtId="187" fontId="15" fillId="0" borderId="0" applyFill="0" applyBorder="0" applyAlignment="0" applyProtection="0"/>
    <xf numFmtId="0" fontId="7" fillId="0" borderId="0" applyNumberFormat="0" applyFill="0" applyBorder="0" applyAlignment="0" applyProtection="0"/>
    <xf numFmtId="0" fontId="8" fillId="8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88" fontId="15" fillId="0" borderId="0" applyFill="0" applyBorder="0" applyAlignment="0" applyProtection="0"/>
    <xf numFmtId="0" fontId="6" fillId="8" borderId="264" applyNumberFormat="0" applyAlignment="0" applyProtection="0"/>
    <xf numFmtId="169" fontId="15" fillId="0" borderId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41" fontId="15" fillId="0" borderId="0" applyFont="0" applyFill="0" applyBorder="0" applyAlignment="0" applyProtection="0"/>
    <xf numFmtId="0" fontId="6" fillId="8" borderId="266" applyNumberFormat="0" applyAlignment="0" applyProtection="0"/>
    <xf numFmtId="0" fontId="6" fillId="8" borderId="266" applyNumberFormat="0" applyAlignment="0" applyProtection="0"/>
    <xf numFmtId="0" fontId="6" fillId="8" borderId="266" applyNumberFormat="0" applyAlignment="0" applyProtection="0"/>
    <xf numFmtId="0" fontId="6" fillId="8" borderId="266" applyNumberFormat="0" applyAlignment="0" applyProtection="0"/>
    <xf numFmtId="0" fontId="6" fillId="8" borderId="266" applyNumberFormat="0" applyAlignment="0" applyProtection="0"/>
    <xf numFmtId="0" fontId="6" fillId="8" borderId="269" applyNumberFormat="0" applyAlignment="0" applyProtection="0"/>
    <xf numFmtId="0" fontId="6" fillId="8" borderId="269" applyNumberFormat="0" applyAlignment="0" applyProtection="0"/>
    <xf numFmtId="0" fontId="6" fillId="8" borderId="269" applyNumberFormat="0" applyAlignment="0" applyProtection="0"/>
    <xf numFmtId="0" fontId="6" fillId="8" borderId="268" applyNumberFormat="0" applyAlignment="0" applyProtection="0"/>
    <xf numFmtId="0" fontId="6" fillId="8" borderId="267" applyNumberFormat="0" applyAlignment="0" applyProtection="0"/>
    <xf numFmtId="0" fontId="6" fillId="8" borderId="271" applyNumberFormat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8" borderId="325" applyNumberFormat="0" applyAlignment="0" applyProtection="0"/>
    <xf numFmtId="0" fontId="6" fillId="8" borderId="328" applyNumberFormat="0" applyAlignment="0" applyProtection="0"/>
    <xf numFmtId="0" fontId="6" fillId="8" borderId="329" applyNumberFormat="0" applyAlignment="0" applyProtection="0"/>
    <xf numFmtId="0" fontId="6" fillId="8" borderId="335" applyNumberFormat="0" applyAlignment="0" applyProtection="0"/>
    <xf numFmtId="0" fontId="6" fillId="8" borderId="320" applyNumberFormat="0" applyAlignment="0" applyProtection="0"/>
    <xf numFmtId="0" fontId="6" fillId="8" borderId="321" applyNumberFormat="0" applyAlignment="0" applyProtection="0"/>
    <xf numFmtId="0" fontId="6" fillId="8" borderId="321" applyNumberFormat="0" applyAlignment="0" applyProtection="0"/>
    <xf numFmtId="0" fontId="6" fillId="8" borderId="321" applyNumberFormat="0" applyAlignment="0" applyProtection="0"/>
    <xf numFmtId="0" fontId="6" fillId="8" borderId="321" applyNumberFormat="0" applyAlignment="0" applyProtection="0"/>
    <xf numFmtId="0" fontId="6" fillId="8" borderId="321" applyNumberFormat="0" applyAlignment="0" applyProtection="0"/>
    <xf numFmtId="0" fontId="6" fillId="8" borderId="321" applyNumberFormat="0" applyAlignment="0" applyProtection="0"/>
    <xf numFmtId="0" fontId="6" fillId="8" borderId="321" applyNumberFormat="0" applyAlignment="0" applyProtection="0"/>
    <xf numFmtId="0" fontId="6" fillId="8" borderId="321" applyNumberFormat="0" applyAlignment="0" applyProtection="0"/>
    <xf numFmtId="0" fontId="6" fillId="8" borderId="321" applyNumberFormat="0" applyAlignment="0" applyProtection="0"/>
    <xf numFmtId="0" fontId="6" fillId="8" borderId="321" applyNumberFormat="0" applyAlignment="0" applyProtection="0"/>
    <xf numFmtId="0" fontId="6" fillId="8" borderId="321" applyNumberFormat="0" applyAlignment="0" applyProtection="0"/>
    <xf numFmtId="0" fontId="6" fillId="8" borderId="329" applyNumberFormat="0" applyAlignment="0" applyProtection="0"/>
    <xf numFmtId="0" fontId="6" fillId="8" borderId="321" applyNumberFormat="0" applyAlignment="0" applyProtection="0"/>
    <xf numFmtId="0" fontId="6" fillId="8" borderId="321" applyNumberFormat="0" applyAlignment="0" applyProtection="0"/>
    <xf numFmtId="0" fontId="6" fillId="8" borderId="321" applyNumberFormat="0" applyAlignment="0" applyProtection="0"/>
    <xf numFmtId="0" fontId="6" fillId="8" borderId="321" applyNumberFormat="0" applyAlignment="0" applyProtection="0"/>
    <xf numFmtId="0" fontId="6" fillId="8" borderId="321" applyNumberFormat="0" applyAlignment="0" applyProtection="0"/>
    <xf numFmtId="0" fontId="6" fillId="8" borderId="321" applyNumberFormat="0" applyAlignment="0" applyProtection="0"/>
    <xf numFmtId="0" fontId="6" fillId="8" borderId="321" applyNumberFormat="0" applyAlignment="0" applyProtection="0"/>
    <xf numFmtId="0" fontId="6" fillId="8" borderId="321" applyNumberFormat="0" applyAlignment="0" applyProtection="0"/>
    <xf numFmtId="0" fontId="6" fillId="8" borderId="321" applyNumberFormat="0" applyAlignment="0" applyProtection="0"/>
    <xf numFmtId="0" fontId="6" fillId="8" borderId="321" applyNumberFormat="0" applyAlignment="0" applyProtection="0"/>
    <xf numFmtId="0" fontId="6" fillId="8" borderId="321" applyNumberFormat="0" applyAlignment="0" applyProtection="0"/>
    <xf numFmtId="0" fontId="6" fillId="8" borderId="321" applyNumberFormat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8" borderId="325" applyNumberFormat="0" applyAlignment="0" applyProtection="0"/>
    <xf numFmtId="0" fontId="6" fillId="8" borderId="325" applyNumberFormat="0" applyAlignment="0" applyProtection="0"/>
    <xf numFmtId="0" fontId="6" fillId="8" borderId="328" applyNumberFormat="0" applyAlignment="0" applyProtection="0"/>
    <xf numFmtId="0" fontId="6" fillId="8" borderId="328" applyNumberFormat="0" applyAlignment="0" applyProtection="0"/>
    <xf numFmtId="0" fontId="6" fillId="8" borderId="329" applyNumberFormat="0" applyAlignment="0" applyProtection="0"/>
    <xf numFmtId="0" fontId="6" fillId="8" borderId="326" applyNumberFormat="0" applyAlignment="0" applyProtection="0"/>
    <xf numFmtId="0" fontId="6" fillId="8" borderId="326" applyNumberFormat="0" applyAlignment="0" applyProtection="0"/>
    <xf numFmtId="0" fontId="6" fillId="8" borderId="322" applyNumberFormat="0" applyAlignment="0" applyProtection="0"/>
    <xf numFmtId="0" fontId="6" fillId="8" borderId="328" applyNumberFormat="0" applyAlignment="0" applyProtection="0"/>
    <xf numFmtId="0" fontId="6" fillId="8" borderId="328" applyNumberFormat="0" applyAlignment="0" applyProtection="0"/>
    <xf numFmtId="0" fontId="6" fillId="8" borderId="331" applyNumberFormat="0" applyAlignment="0" applyProtection="0"/>
    <xf numFmtId="0" fontId="6" fillId="8" borderId="325" applyNumberFormat="0" applyAlignment="0" applyProtection="0"/>
    <xf numFmtId="0" fontId="6" fillId="8" borderId="325" applyNumberFormat="0" applyAlignment="0" applyProtection="0"/>
    <xf numFmtId="0" fontId="6" fillId="8" borderId="333" applyNumberFormat="0" applyAlignment="0" applyProtection="0"/>
    <xf numFmtId="0" fontId="6" fillId="8" borderId="328" applyNumberFormat="0" applyAlignment="0" applyProtection="0"/>
    <xf numFmtId="0" fontId="6" fillId="8" borderId="326" applyNumberFormat="0" applyAlignment="0" applyProtection="0"/>
    <xf numFmtId="0" fontId="6" fillId="8" borderId="326" applyNumberFormat="0" applyAlignment="0" applyProtection="0"/>
    <xf numFmtId="0" fontId="6" fillId="8" borderId="329" applyNumberFormat="0" applyAlignment="0" applyProtection="0"/>
    <xf numFmtId="0" fontId="6" fillId="8" borderId="328" applyNumberFormat="0" applyAlignment="0" applyProtection="0"/>
    <xf numFmtId="0" fontId="6" fillId="8" borderId="328" applyNumberFormat="0" applyAlignment="0" applyProtection="0"/>
    <xf numFmtId="0" fontId="6" fillId="8" borderId="326" applyNumberFormat="0" applyAlignment="0" applyProtection="0"/>
    <xf numFmtId="0" fontId="6" fillId="8" borderId="323" applyNumberFormat="0" applyAlignment="0" applyProtection="0"/>
    <xf numFmtId="0" fontId="6" fillId="8" borderId="323" applyNumberFormat="0" applyAlignment="0" applyProtection="0"/>
    <xf numFmtId="0" fontId="6" fillId="8" borderId="329" applyNumberFormat="0" applyAlignment="0" applyProtection="0"/>
    <xf numFmtId="0" fontId="6" fillId="8" borderId="323" applyNumberFormat="0" applyAlignment="0" applyProtection="0"/>
    <xf numFmtId="0" fontId="6" fillId="8" borderId="323" applyNumberFormat="0" applyAlignment="0" applyProtection="0"/>
    <xf numFmtId="0" fontId="6" fillId="8" borderId="323" applyNumberFormat="0" applyAlignment="0" applyProtection="0"/>
    <xf numFmtId="0" fontId="6" fillId="8" borderId="323" applyNumberFormat="0" applyAlignment="0" applyProtection="0"/>
    <xf numFmtId="0" fontId="6" fillId="8" borderId="324" applyNumberFormat="0" applyAlignment="0" applyProtection="0"/>
    <xf numFmtId="0" fontId="6" fillId="8" borderId="323" applyNumberFormat="0" applyAlignment="0" applyProtection="0"/>
    <xf numFmtId="0" fontId="6" fillId="8" borderId="323" applyNumberFormat="0" applyAlignment="0" applyProtection="0"/>
    <xf numFmtId="0" fontId="6" fillId="8" borderId="323" applyNumberFormat="0" applyAlignment="0" applyProtection="0"/>
    <xf numFmtId="0" fontId="6" fillId="8" borderId="323" applyNumberFormat="0" applyAlignment="0" applyProtection="0"/>
    <xf numFmtId="0" fontId="6" fillId="8" borderId="323" applyNumberFormat="0" applyAlignment="0" applyProtection="0"/>
    <xf numFmtId="0" fontId="6" fillId="8" borderId="333" applyNumberFormat="0" applyAlignment="0" applyProtection="0"/>
    <xf numFmtId="0" fontId="6" fillId="8" borderId="331" applyNumberFormat="0" applyAlignment="0" applyProtection="0"/>
    <xf numFmtId="0" fontId="6" fillId="8" borderId="328" applyNumberFormat="0" applyAlignment="0" applyProtection="0"/>
    <xf numFmtId="0" fontId="6" fillId="8" borderId="325" applyNumberFormat="0" applyAlignment="0" applyProtection="0"/>
    <xf numFmtId="0" fontId="6" fillId="8" borderId="325" applyNumberFormat="0" applyAlignment="0" applyProtection="0"/>
    <xf numFmtId="0" fontId="6" fillId="8" borderId="325" applyNumberFormat="0" applyAlignment="0" applyProtection="0"/>
    <xf numFmtId="0" fontId="6" fillId="8" borderId="331" applyNumberFormat="0" applyAlignment="0" applyProtection="0"/>
    <xf numFmtId="0" fontId="6" fillId="8" borderId="325" applyNumberFormat="0" applyAlignment="0" applyProtection="0"/>
    <xf numFmtId="0" fontId="6" fillId="8" borderId="325" applyNumberFormat="0" applyAlignment="0" applyProtection="0"/>
    <xf numFmtId="0" fontId="6" fillId="8" borderId="325" applyNumberFormat="0" applyAlignment="0" applyProtection="0"/>
    <xf numFmtId="0" fontId="6" fillId="8" borderId="331" applyNumberFormat="0" applyAlignment="0" applyProtection="0"/>
    <xf numFmtId="0" fontId="6" fillId="8" borderId="335" applyNumberFormat="0" applyAlignment="0" applyProtection="0"/>
    <xf numFmtId="0" fontId="6" fillId="8" borderId="331" applyNumberFormat="0" applyAlignment="0" applyProtection="0"/>
    <xf numFmtId="0" fontId="6" fillId="8" borderId="326" applyNumberFormat="0" applyAlignment="0" applyProtection="0"/>
    <xf numFmtId="0" fontId="6" fillId="8" borderId="323" applyNumberFormat="0" applyAlignment="0" applyProtection="0"/>
    <xf numFmtId="0" fontId="6" fillId="8" borderId="328" applyNumberFormat="0" applyAlignment="0" applyProtection="0"/>
    <xf numFmtId="0" fontId="6" fillId="8" borderId="331" applyNumberFormat="0" applyAlignment="0" applyProtection="0"/>
    <xf numFmtId="0" fontId="6" fillId="8" borderId="323" applyNumberFormat="0" applyAlignment="0" applyProtection="0"/>
    <xf numFmtId="0" fontId="6" fillId="8" borderId="323" applyNumberFormat="0" applyAlignment="0" applyProtection="0"/>
    <xf numFmtId="0" fontId="6" fillId="8" borderId="323" applyNumberFormat="0" applyAlignment="0" applyProtection="0"/>
    <xf numFmtId="0" fontId="6" fillId="8" borderId="323" applyNumberFormat="0" applyAlignment="0" applyProtection="0"/>
    <xf numFmtId="0" fontId="6" fillId="8" borderId="323" applyNumberFormat="0" applyAlignment="0" applyProtection="0"/>
    <xf numFmtId="0" fontId="6" fillId="8" borderId="323" applyNumberFormat="0" applyAlignment="0" applyProtection="0"/>
    <xf numFmtId="0" fontId="6" fillId="8" borderId="323" applyNumberFormat="0" applyAlignment="0" applyProtection="0"/>
    <xf numFmtId="0" fontId="6" fillId="8" borderId="323" applyNumberFormat="0" applyAlignment="0" applyProtection="0"/>
    <xf numFmtId="0" fontId="6" fillId="8" borderId="323" applyNumberFormat="0" applyAlignment="0" applyProtection="0"/>
    <xf numFmtId="0" fontId="6" fillId="8" borderId="323" applyNumberFormat="0" applyAlignment="0" applyProtection="0"/>
    <xf numFmtId="0" fontId="6" fillId="8" borderId="323" applyNumberFormat="0" applyAlignment="0" applyProtection="0"/>
    <xf numFmtId="0" fontId="6" fillId="8" borderId="329" applyNumberFormat="0" applyAlignment="0" applyProtection="0"/>
    <xf numFmtId="0" fontId="6" fillId="8" borderId="326" applyNumberFormat="0" applyAlignment="0" applyProtection="0"/>
    <xf numFmtId="0" fontId="6" fillId="8" borderId="326" applyNumberFormat="0" applyAlignment="0" applyProtection="0"/>
    <xf numFmtId="0" fontId="6" fillId="8" borderId="326" applyNumberFormat="0" applyAlignment="0" applyProtection="0"/>
    <xf numFmtId="0" fontId="6" fillId="8" borderId="326" applyNumberFormat="0" applyAlignment="0" applyProtection="0"/>
    <xf numFmtId="0" fontId="6" fillId="8" borderId="326" applyNumberFormat="0" applyAlignment="0" applyProtection="0"/>
    <xf numFmtId="0" fontId="6" fillId="8" borderId="329" applyNumberFormat="0" applyAlignment="0" applyProtection="0"/>
    <xf numFmtId="0" fontId="6" fillId="8" borderId="329" applyNumberFormat="0" applyAlignment="0" applyProtection="0"/>
    <xf numFmtId="0" fontId="6" fillId="8" borderId="331" applyNumberFormat="0" applyAlignment="0" applyProtection="0"/>
    <xf numFmtId="0" fontId="6" fillId="8" borderId="333" applyNumberFormat="0" applyAlignment="0" applyProtection="0"/>
    <xf numFmtId="0" fontId="6" fillId="8" borderId="325" applyNumberFormat="0" applyAlignment="0" applyProtection="0"/>
    <xf numFmtId="0" fontId="6" fillId="8" borderId="333" applyNumberFormat="0" applyAlignment="0" applyProtection="0"/>
    <xf numFmtId="0" fontId="6" fillId="8" borderId="329" applyNumberFormat="0" applyAlignment="0" applyProtection="0"/>
    <xf numFmtId="0" fontId="6" fillId="8" borderId="327" applyNumberFormat="0" applyAlignment="0" applyProtection="0"/>
    <xf numFmtId="0" fontId="6" fillId="8" borderId="325" applyNumberFormat="0" applyAlignment="0" applyProtection="0"/>
    <xf numFmtId="0" fontId="6" fillId="8" borderId="325" applyNumberFormat="0" applyAlignment="0" applyProtection="0"/>
    <xf numFmtId="0" fontId="6" fillId="8" borderId="325" applyNumberFormat="0" applyAlignment="0" applyProtection="0"/>
    <xf numFmtId="0" fontId="6" fillId="8" borderId="325" applyNumberFormat="0" applyAlignment="0" applyProtection="0"/>
    <xf numFmtId="0" fontId="6" fillId="8" borderId="325" applyNumberFormat="0" applyAlignment="0" applyProtection="0"/>
    <xf numFmtId="0" fontId="6" fillId="8" borderId="325" applyNumberFormat="0" applyAlignment="0" applyProtection="0"/>
    <xf numFmtId="0" fontId="6" fillId="8" borderId="325" applyNumberFormat="0" applyAlignment="0" applyProtection="0"/>
    <xf numFmtId="0" fontId="6" fillId="8" borderId="325" applyNumberFormat="0" applyAlignment="0" applyProtection="0"/>
    <xf numFmtId="0" fontId="6" fillId="8" borderId="325" applyNumberFormat="0" applyAlignment="0" applyProtection="0"/>
    <xf numFmtId="0" fontId="6" fillId="8" borderId="325" applyNumberFormat="0" applyAlignment="0" applyProtection="0"/>
    <xf numFmtId="0" fontId="6" fillId="8" borderId="325" applyNumberFormat="0" applyAlignment="0" applyProtection="0"/>
    <xf numFmtId="0" fontId="6" fillId="8" borderId="335" applyNumberFormat="0" applyAlignment="0" applyProtection="0"/>
    <xf numFmtId="0" fontId="6" fillId="8" borderId="328" applyNumberFormat="0" applyAlignment="0" applyProtection="0"/>
    <xf numFmtId="0" fontId="6" fillId="8" borderId="329" applyNumberFormat="0" applyAlignment="0" applyProtection="0"/>
    <xf numFmtId="0" fontId="6" fillId="8" borderId="335" applyNumberFormat="0" applyAlignment="0" applyProtection="0"/>
    <xf numFmtId="0" fontId="6" fillId="8" borderId="331" applyNumberFormat="0" applyAlignment="0" applyProtection="0"/>
    <xf numFmtId="0" fontId="6" fillId="8" borderId="333" applyNumberFormat="0" applyAlignment="0" applyProtection="0"/>
    <xf numFmtId="0" fontId="6" fillId="8" borderId="326" applyNumberFormat="0" applyAlignment="0" applyProtection="0"/>
    <xf numFmtId="0" fontId="6" fillId="8" borderId="329" applyNumberFormat="0" applyAlignment="0" applyProtection="0"/>
    <xf numFmtId="0" fontId="6" fillId="8" borderId="333" applyNumberFormat="0" applyAlignment="0" applyProtection="0"/>
    <xf numFmtId="0" fontId="6" fillId="8" borderId="331" applyNumberFormat="0" applyAlignment="0" applyProtection="0"/>
    <xf numFmtId="0" fontId="6" fillId="8" borderId="335" applyNumberFormat="0" applyAlignment="0" applyProtection="0"/>
    <xf numFmtId="0" fontId="6" fillId="8" borderId="326" applyNumberFormat="0" applyAlignment="0" applyProtection="0"/>
    <xf numFmtId="0" fontId="6" fillId="8" borderId="326" applyNumberFormat="0" applyAlignment="0" applyProtection="0"/>
    <xf numFmtId="0" fontId="6" fillId="8" borderId="326" applyNumberFormat="0" applyAlignment="0" applyProtection="0"/>
    <xf numFmtId="0" fontId="6" fillId="8" borderId="326" applyNumberFormat="0" applyAlignment="0" applyProtection="0"/>
    <xf numFmtId="0" fontId="6" fillId="8" borderId="326" applyNumberFormat="0" applyAlignment="0" applyProtection="0"/>
    <xf numFmtId="0" fontId="6" fillId="8" borderId="326" applyNumberFormat="0" applyAlignment="0" applyProtection="0"/>
    <xf numFmtId="0" fontId="6" fillId="8" borderId="326" applyNumberFormat="0" applyAlignment="0" applyProtection="0"/>
    <xf numFmtId="0" fontId="6" fillId="8" borderId="326" applyNumberFormat="0" applyAlignment="0" applyProtection="0"/>
    <xf numFmtId="0" fontId="6" fillId="8" borderId="326" applyNumberFormat="0" applyAlignment="0" applyProtection="0"/>
    <xf numFmtId="0" fontId="6" fillId="8" borderId="326" applyNumberFormat="0" applyAlignment="0" applyProtection="0"/>
    <xf numFmtId="0" fontId="6" fillId="8" borderId="326" applyNumberFormat="0" applyAlignment="0" applyProtection="0"/>
    <xf numFmtId="0" fontId="6" fillId="8" borderId="331" applyNumberFormat="0" applyAlignment="0" applyProtection="0"/>
    <xf numFmtId="0" fontId="6" fillId="8" borderId="333" applyNumberFormat="0" applyAlignment="0" applyProtection="0"/>
    <xf numFmtId="0" fontId="6" fillId="8" borderId="333" applyNumberFormat="0" applyAlignment="0" applyProtection="0"/>
    <xf numFmtId="0" fontId="6" fillId="8" borderId="328" applyNumberFormat="0" applyAlignment="0" applyProtection="0"/>
    <xf numFmtId="0" fontId="6" fillId="8" borderId="333" applyNumberFormat="0" applyAlignment="0" applyProtection="0"/>
    <xf numFmtId="0" fontId="6" fillId="8" borderId="333" applyNumberFormat="0" applyAlignment="0" applyProtection="0"/>
    <xf numFmtId="0" fontId="6" fillId="8" borderId="330" applyNumberFormat="0" applyAlignment="0" applyProtection="0"/>
    <xf numFmtId="0" fontId="6" fillId="8" borderId="328" applyNumberFormat="0" applyAlignment="0" applyProtection="0"/>
    <xf numFmtId="0" fontId="6" fillId="8" borderId="328" applyNumberFormat="0" applyAlignment="0" applyProtection="0"/>
    <xf numFmtId="0" fontId="6" fillId="8" borderId="328" applyNumberFormat="0" applyAlignment="0" applyProtection="0"/>
    <xf numFmtId="0" fontId="6" fillId="8" borderId="328" applyNumberFormat="0" applyAlignment="0" applyProtection="0"/>
    <xf numFmtId="0" fontId="6" fillId="8" borderId="328" applyNumberFormat="0" applyAlignment="0" applyProtection="0"/>
    <xf numFmtId="0" fontId="6" fillId="8" borderId="328" applyNumberFormat="0" applyAlignment="0" applyProtection="0"/>
    <xf numFmtId="0" fontId="6" fillId="8" borderId="328" applyNumberFormat="0" applyAlignment="0" applyProtection="0"/>
    <xf numFmtId="0" fontId="6" fillId="8" borderId="328" applyNumberFormat="0" applyAlignment="0" applyProtection="0"/>
    <xf numFmtId="0" fontId="6" fillId="8" borderId="328" applyNumberFormat="0" applyAlignment="0" applyProtection="0"/>
    <xf numFmtId="0" fontId="6" fillId="8" borderId="328" applyNumberFormat="0" applyAlignment="0" applyProtection="0"/>
    <xf numFmtId="0" fontId="6" fillId="8" borderId="328" applyNumberFormat="0" applyAlignment="0" applyProtection="0"/>
    <xf numFmtId="0" fontId="6" fillId="8" borderId="332" applyNumberFormat="0" applyAlignment="0" applyProtection="0"/>
    <xf numFmtId="0" fontId="6" fillId="8" borderId="331" applyNumberFormat="0" applyAlignment="0" applyProtection="0"/>
    <xf numFmtId="0" fontId="6" fillId="8" borderId="329" applyNumberFormat="0" applyAlignment="0" applyProtection="0"/>
    <xf numFmtId="0" fontId="6" fillId="8" borderId="334" applyNumberFormat="0" applyAlignment="0" applyProtection="0"/>
    <xf numFmtId="0" fontId="6" fillId="8" borderId="333" applyNumberFormat="0" applyAlignment="0" applyProtection="0"/>
    <xf numFmtId="0" fontId="6" fillId="8" borderId="335" applyNumberFormat="0" applyAlignment="0" applyProtection="0"/>
    <xf numFmtId="0" fontId="6" fillId="8" borderId="329" applyNumberFormat="0" applyAlignment="0" applyProtection="0"/>
    <xf numFmtId="0" fontId="6" fillId="8" borderId="329" applyNumberFormat="0" applyAlignment="0" applyProtection="0"/>
    <xf numFmtId="0" fontId="6" fillId="8" borderId="329" applyNumberFormat="0" applyAlignment="0" applyProtection="0"/>
    <xf numFmtId="0" fontId="6" fillId="8" borderId="329" applyNumberFormat="0" applyAlignment="0" applyProtection="0"/>
    <xf numFmtId="0" fontId="6" fillId="8" borderId="329" applyNumberFormat="0" applyAlignment="0" applyProtection="0"/>
    <xf numFmtId="0" fontId="6" fillId="8" borderId="329" applyNumberFormat="0" applyAlignment="0" applyProtection="0"/>
    <xf numFmtId="0" fontId="6" fillId="8" borderId="329" applyNumberFormat="0" applyAlignment="0" applyProtection="0"/>
    <xf numFmtId="0" fontId="6" fillId="8" borderId="329" applyNumberFormat="0" applyAlignment="0" applyProtection="0"/>
    <xf numFmtId="0" fontId="6" fillId="8" borderId="329" applyNumberFormat="0" applyAlignment="0" applyProtection="0"/>
    <xf numFmtId="0" fontId="6" fillId="8" borderId="329" applyNumberFormat="0" applyAlignment="0" applyProtection="0"/>
    <xf numFmtId="0" fontId="6" fillId="8" borderId="329" applyNumberFormat="0" applyAlignment="0" applyProtection="0"/>
    <xf numFmtId="0" fontId="6" fillId="8" borderId="335" applyNumberFormat="0" applyAlignment="0" applyProtection="0"/>
    <xf numFmtId="0" fontId="6" fillId="8" borderId="331" applyNumberFormat="0" applyAlignment="0" applyProtection="0"/>
    <xf numFmtId="0" fontId="6" fillId="8" borderId="335" applyNumberFormat="0" applyAlignment="0" applyProtection="0"/>
    <xf numFmtId="0" fontId="6" fillId="8" borderId="331" applyNumberFormat="0" applyAlignment="0" applyProtection="0"/>
    <xf numFmtId="0" fontId="6" fillId="8" borderId="331" applyNumberFormat="0" applyAlignment="0" applyProtection="0"/>
    <xf numFmtId="0" fontId="6" fillId="8" borderId="331" applyNumberFormat="0" applyAlignment="0" applyProtection="0"/>
    <xf numFmtId="0" fontId="6" fillId="8" borderId="331" applyNumberFormat="0" applyAlignment="0" applyProtection="0"/>
    <xf numFmtId="0" fontId="6" fillId="8" borderId="331" applyNumberFormat="0" applyAlignment="0" applyProtection="0"/>
    <xf numFmtId="0" fontId="6" fillId="8" borderId="331" applyNumberFormat="0" applyAlignment="0" applyProtection="0"/>
    <xf numFmtId="0" fontId="6" fillId="8" borderId="331" applyNumberFormat="0" applyAlignment="0" applyProtection="0"/>
    <xf numFmtId="0" fontId="6" fillId="8" borderId="331" applyNumberFormat="0" applyAlignment="0" applyProtection="0"/>
    <xf numFmtId="0" fontId="6" fillId="8" borderId="331" applyNumberFormat="0" applyAlignment="0" applyProtection="0"/>
    <xf numFmtId="0" fontId="6" fillId="8" borderId="331" applyNumberFormat="0" applyAlignment="0" applyProtection="0"/>
    <xf numFmtId="0" fontId="6" fillId="8" borderId="331" applyNumberFormat="0" applyAlignment="0" applyProtection="0"/>
    <xf numFmtId="0" fontId="6" fillId="8" borderId="335" applyNumberFormat="0" applyAlignment="0" applyProtection="0"/>
    <xf numFmtId="0" fontId="6" fillId="8" borderId="335" applyNumberFormat="0" applyAlignment="0" applyProtection="0"/>
    <xf numFmtId="0" fontId="6" fillId="8" borderId="335" applyNumberFormat="0" applyAlignment="0" applyProtection="0"/>
    <xf numFmtId="0" fontId="6" fillId="8" borderId="336" applyNumberFormat="0" applyAlignment="0" applyProtection="0"/>
    <xf numFmtId="0" fontId="6" fillId="8" borderId="333" applyNumberFormat="0" applyAlignment="0" applyProtection="0"/>
    <xf numFmtId="0" fontId="6" fillId="8" borderId="333" applyNumberFormat="0" applyAlignment="0" applyProtection="0"/>
    <xf numFmtId="0" fontId="6" fillId="8" borderId="333" applyNumberFormat="0" applyAlignment="0" applyProtection="0"/>
    <xf numFmtId="0" fontId="6" fillId="8" borderId="333" applyNumberFormat="0" applyAlignment="0" applyProtection="0"/>
    <xf numFmtId="0" fontId="6" fillId="8" borderId="333" applyNumberFormat="0" applyAlignment="0" applyProtection="0"/>
    <xf numFmtId="0" fontId="6" fillId="8" borderId="333" applyNumberFormat="0" applyAlignment="0" applyProtection="0"/>
    <xf numFmtId="0" fontId="6" fillId="8" borderId="333" applyNumberFormat="0" applyAlignment="0" applyProtection="0"/>
    <xf numFmtId="0" fontId="6" fillId="8" borderId="333" applyNumberFormat="0" applyAlignment="0" applyProtection="0"/>
    <xf numFmtId="0" fontId="6" fillId="8" borderId="333" applyNumberFormat="0" applyAlignment="0" applyProtection="0"/>
    <xf numFmtId="0" fontId="6" fillId="8" borderId="333" applyNumberFormat="0" applyAlignment="0" applyProtection="0"/>
    <xf numFmtId="0" fontId="6" fillId="8" borderId="333" applyNumberFormat="0" applyAlignment="0" applyProtection="0"/>
    <xf numFmtId="0" fontId="6" fillId="8" borderId="333" applyNumberFormat="0" applyAlignment="0" applyProtection="0"/>
    <xf numFmtId="0" fontId="6" fillId="8" borderId="335" applyNumberFormat="0" applyAlignment="0" applyProtection="0"/>
    <xf numFmtId="0" fontId="6" fillId="8" borderId="335" applyNumberFormat="0" applyAlignment="0" applyProtection="0"/>
    <xf numFmtId="0" fontId="6" fillId="8" borderId="335" applyNumberFormat="0" applyAlignment="0" applyProtection="0"/>
    <xf numFmtId="0" fontId="6" fillId="8" borderId="335" applyNumberFormat="0" applyAlignment="0" applyProtection="0"/>
    <xf numFmtId="0" fontId="6" fillId="8" borderId="335" applyNumberFormat="0" applyAlignment="0" applyProtection="0"/>
    <xf numFmtId="0" fontId="6" fillId="8" borderId="335" applyNumberFormat="0" applyAlignment="0" applyProtection="0"/>
    <xf numFmtId="0" fontId="6" fillId="8" borderId="335" applyNumberFormat="0" applyAlignment="0" applyProtection="0"/>
    <xf numFmtId="0" fontId="6" fillId="8" borderId="335" applyNumberFormat="0" applyAlignment="0" applyProtection="0"/>
    <xf numFmtId="0" fontId="6" fillId="8" borderId="335" applyNumberFormat="0" applyAlignment="0" applyProtection="0"/>
    <xf numFmtId="0" fontId="6" fillId="8" borderId="335" applyNumberFormat="0" applyAlignment="0" applyProtection="0"/>
    <xf numFmtId="0" fontId="6" fillId="8" borderId="335" applyNumberFormat="0" applyAlignment="0" applyProtection="0"/>
    <xf numFmtId="0" fontId="6" fillId="8" borderId="335" applyNumberFormat="0" applyAlignment="0" applyProtection="0"/>
    <xf numFmtId="0" fontId="49" fillId="0" borderId="0" applyNumberFormat="0" applyFill="0" applyBorder="0" applyAlignment="0" applyProtection="0"/>
  </cellStyleXfs>
  <cellXfs count="1529">
    <xf numFmtId="0" fontId="0" fillId="0" borderId="0" xfId="0"/>
    <xf numFmtId="169" fontId="0" fillId="0" borderId="0" xfId="16" applyFont="1"/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4" fillId="15" borderId="5" xfId="0" applyFont="1" applyFill="1" applyBorder="1" applyAlignment="1">
      <alignment horizontal="center" vertical="center" wrapText="1"/>
    </xf>
    <xf numFmtId="0" fontId="14" fillId="15" borderId="3" xfId="0" applyFont="1" applyFill="1" applyBorder="1" applyAlignment="1">
      <alignment horizontal="center" vertical="center" wrapText="1"/>
    </xf>
    <xf numFmtId="0" fontId="14" fillId="15" borderId="5" xfId="0" applyFont="1" applyFill="1" applyBorder="1" applyAlignment="1">
      <alignment horizontal="center" vertical="center"/>
    </xf>
    <xf numFmtId="0" fontId="14" fillId="9" borderId="0" xfId="0" applyFont="1" applyFill="1" applyAlignment="1">
      <alignment horizontal="left" vertical="center"/>
    </xf>
    <xf numFmtId="168" fontId="14" fillId="9" borderId="0" xfId="13" applyNumberFormat="1" applyFont="1" applyFill="1" applyAlignment="1">
      <alignment vertical="center"/>
    </xf>
    <xf numFmtId="166" fontId="14" fillId="0" borderId="0" xfId="13" applyFont="1" applyAlignment="1">
      <alignment vertical="center"/>
    </xf>
    <xf numFmtId="171" fontId="14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168" fontId="14" fillId="0" borderId="0" xfId="0" applyNumberFormat="1" applyFont="1" applyAlignment="1">
      <alignment horizontal="center" vertical="center" wrapText="1"/>
    </xf>
    <xf numFmtId="168" fontId="0" fillId="0" borderId="0" xfId="13" applyNumberFormat="1" applyFont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166" fontId="0" fillId="0" borderId="0" xfId="13" applyFont="1" applyAlignment="1">
      <alignment vertical="center"/>
    </xf>
    <xf numFmtId="169" fontId="17" fillId="0" borderId="0" xfId="16" applyFont="1" applyAlignment="1">
      <alignment vertical="center"/>
    </xf>
    <xf numFmtId="174" fontId="0" fillId="0" borderId="0" xfId="12" applyNumberFormat="1" applyFont="1" applyAlignment="1">
      <alignment vertical="center"/>
    </xf>
    <xf numFmtId="0" fontId="0" fillId="11" borderId="0" xfId="0" applyFill="1" applyAlignment="1">
      <alignment horizontal="left" vertical="center"/>
    </xf>
    <xf numFmtId="177" fontId="0" fillId="11" borderId="0" xfId="0" applyNumberFormat="1" applyFill="1" applyAlignment="1">
      <alignment horizontal="right" vertical="center"/>
    </xf>
    <xf numFmtId="0" fontId="0" fillId="11" borderId="0" xfId="0" applyFill="1"/>
    <xf numFmtId="17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11" borderId="0" xfId="0" applyFill="1" applyAlignment="1">
      <alignment vertical="center"/>
    </xf>
    <xf numFmtId="177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center" vertical="center"/>
    </xf>
    <xf numFmtId="177" fontId="14" fillId="0" borderId="0" xfId="0" applyNumberFormat="1" applyFont="1"/>
    <xf numFmtId="177" fontId="14" fillId="11" borderId="0" xfId="0" applyNumberFormat="1" applyFont="1" applyFill="1" applyAlignment="1">
      <alignment horizontal="right" vertical="center"/>
    </xf>
    <xf numFmtId="9" fontId="0" fillId="11" borderId="0" xfId="0" applyNumberFormat="1" applyFill="1" applyAlignment="1">
      <alignment horizontal="center" vertical="center"/>
    </xf>
    <xf numFmtId="177" fontId="0" fillId="0" borderId="0" xfId="0" applyNumberFormat="1"/>
    <xf numFmtId="177" fontId="0" fillId="11" borderId="0" xfId="0" applyNumberFormat="1" applyFill="1"/>
    <xf numFmtId="0" fontId="0" fillId="11" borderId="0" xfId="0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19" fillId="25" borderId="9" xfId="0" applyFont="1" applyFill="1" applyBorder="1" applyAlignment="1">
      <alignment horizontal="center" vertical="center" wrapText="1"/>
    </xf>
    <xf numFmtId="0" fontId="19" fillId="25" borderId="6" xfId="0" applyFont="1" applyFill="1" applyBorder="1" applyAlignment="1">
      <alignment horizontal="center" vertical="center" wrapText="1"/>
    </xf>
    <xf numFmtId="0" fontId="19" fillId="25" borderId="3" xfId="0" applyFont="1" applyFill="1" applyBorder="1" applyAlignment="1">
      <alignment horizontal="center" vertical="center" wrapText="1"/>
    </xf>
    <xf numFmtId="168" fontId="0" fillId="19" borderId="10" xfId="13" applyNumberFormat="1" applyFont="1" applyFill="1" applyBorder="1" applyAlignment="1">
      <alignment vertical="center"/>
    </xf>
    <xf numFmtId="168" fontId="0" fillId="19" borderId="6" xfId="13" applyNumberFormat="1" applyFont="1" applyFill="1" applyBorder="1" applyAlignment="1">
      <alignment vertical="center"/>
    </xf>
    <xf numFmtId="168" fontId="0" fillId="19" borderId="16" xfId="13" applyNumberFormat="1" applyFont="1" applyFill="1" applyBorder="1" applyAlignment="1">
      <alignment vertical="center"/>
    </xf>
    <xf numFmtId="168" fontId="14" fillId="19" borderId="3" xfId="13" applyNumberFormat="1" applyFont="1" applyFill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0" fillId="0" borderId="0" xfId="0" applyAlignment="1">
      <alignment horizontal="left" vertical="center"/>
    </xf>
    <xf numFmtId="168" fontId="20" fillId="0" borderId="0" xfId="13" applyNumberFormat="1" applyFont="1" applyAlignment="1">
      <alignment vertical="center"/>
    </xf>
    <xf numFmtId="176" fontId="20" fillId="0" borderId="0" xfId="12" applyNumberFormat="1" applyFont="1" applyAlignment="1">
      <alignment vertical="center"/>
    </xf>
    <xf numFmtId="168" fontId="21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168" fontId="12" fillId="0" borderId="0" xfId="13" applyNumberFormat="1" applyFont="1" applyAlignment="1">
      <alignment vertical="center"/>
    </xf>
    <xf numFmtId="168" fontId="19" fillId="0" borderId="0" xfId="0" applyNumberFormat="1" applyFont="1" applyAlignment="1">
      <alignment vertical="center"/>
    </xf>
    <xf numFmtId="169" fontId="14" fillId="0" borderId="0" xfId="16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1" fontId="0" fillId="0" borderId="0" xfId="16" applyNumberFormat="1" applyFont="1"/>
    <xf numFmtId="0" fontId="14" fillId="0" borderId="0" xfId="0" applyFont="1" applyAlignment="1">
      <alignment horizontal="center"/>
    </xf>
    <xf numFmtId="177" fontId="14" fillId="0" borderId="0" xfId="0" applyNumberFormat="1" applyFont="1" applyAlignment="1">
      <alignment horizontal="center" vertical="center" wrapText="1"/>
    </xf>
    <xf numFmtId="0" fontId="14" fillId="0" borderId="5" xfId="0" applyFont="1" applyBorder="1" applyAlignment="1">
      <alignment horizontal="left" vertical="center"/>
    </xf>
    <xf numFmtId="168" fontId="14" fillId="35" borderId="43" xfId="0" applyNumberFormat="1" applyFont="1" applyFill="1" applyBorder="1" applyAlignment="1">
      <alignment horizontal="center" vertical="center" wrapText="1"/>
    </xf>
    <xf numFmtId="168" fontId="14" fillId="15" borderId="43" xfId="0" applyNumberFormat="1" applyFont="1" applyFill="1" applyBorder="1" applyAlignment="1">
      <alignment horizontal="center" vertical="center" wrapText="1"/>
    </xf>
    <xf numFmtId="168" fontId="19" fillId="36" borderId="13" xfId="0" applyNumberFormat="1" applyFont="1" applyFill="1" applyBorder="1" applyAlignment="1">
      <alignment horizontal="center" vertical="center" wrapText="1"/>
    </xf>
    <xf numFmtId="168" fontId="19" fillId="36" borderId="4" xfId="0" applyNumberFormat="1" applyFont="1" applyFill="1" applyBorder="1" applyAlignment="1">
      <alignment horizontal="center" vertical="center" wrapText="1"/>
    </xf>
    <xf numFmtId="168" fontId="19" fillId="36" borderId="25" xfId="0" applyNumberFormat="1" applyFont="1" applyFill="1" applyBorder="1" applyAlignment="1">
      <alignment horizontal="center" vertical="center" wrapText="1"/>
    </xf>
    <xf numFmtId="0" fontId="19" fillId="36" borderId="5" xfId="0" applyFont="1" applyFill="1" applyBorder="1" applyAlignment="1">
      <alignment horizontal="center" vertical="center" wrapText="1"/>
    </xf>
    <xf numFmtId="0" fontId="14" fillId="16" borderId="27" xfId="0" applyFont="1" applyFill="1" applyBorder="1" applyAlignment="1">
      <alignment horizontal="center" vertical="center" wrapText="1"/>
    </xf>
    <xf numFmtId="168" fontId="0" fillId="29" borderId="13" xfId="13" applyNumberFormat="1" applyFont="1" applyFill="1" applyBorder="1" applyAlignment="1">
      <alignment vertical="center"/>
    </xf>
    <xf numFmtId="168" fontId="0" fillId="29" borderId="3" xfId="13" applyNumberFormat="1" applyFont="1" applyFill="1" applyBorder="1" applyAlignment="1">
      <alignment vertical="center"/>
    </xf>
    <xf numFmtId="168" fontId="14" fillId="29" borderId="24" xfId="13" applyNumberFormat="1" applyFont="1" applyFill="1" applyBorder="1" applyAlignment="1">
      <alignment vertical="center"/>
    </xf>
    <xf numFmtId="0" fontId="25" fillId="0" borderId="49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70" fontId="14" fillId="19" borderId="27" xfId="16" applyNumberFormat="1" applyFont="1" applyFill="1" applyBorder="1" applyAlignment="1">
      <alignment horizontal="center" vertical="center"/>
    </xf>
    <xf numFmtId="177" fontId="0" fillId="26" borderId="27" xfId="0" applyNumberFormat="1" applyFill="1" applyBorder="1" applyAlignment="1">
      <alignment horizontal="center" vertical="center"/>
    </xf>
    <xf numFmtId="168" fontId="0" fillId="29" borderId="55" xfId="13" applyNumberFormat="1" applyFont="1" applyFill="1" applyBorder="1" applyAlignment="1">
      <alignment vertical="center"/>
    </xf>
    <xf numFmtId="168" fontId="14" fillId="0" borderId="3" xfId="13" applyNumberFormat="1" applyFont="1" applyBorder="1" applyAlignment="1">
      <alignment vertical="center"/>
    </xf>
    <xf numFmtId="168" fontId="0" fillId="29" borderId="56" xfId="13" applyNumberFormat="1" applyFont="1" applyFill="1" applyBorder="1" applyAlignment="1">
      <alignment vertical="center"/>
    </xf>
    <xf numFmtId="168" fontId="14" fillId="15" borderId="57" xfId="0" applyNumberFormat="1" applyFont="1" applyFill="1" applyBorder="1" applyAlignment="1">
      <alignment horizontal="center" vertical="center" wrapText="1"/>
    </xf>
    <xf numFmtId="169" fontId="16" fillId="19" borderId="8" xfId="16" applyFont="1" applyFill="1" applyBorder="1" applyAlignment="1">
      <alignment horizontal="center" vertical="center"/>
    </xf>
    <xf numFmtId="168" fontId="24" fillId="15" borderId="11" xfId="13" applyNumberFormat="1" applyFont="1" applyFill="1" applyBorder="1" applyAlignment="1">
      <alignment vertical="center"/>
    </xf>
    <xf numFmtId="168" fontId="24" fillId="15" borderId="33" xfId="13" applyNumberFormat="1" applyFont="1" applyFill="1" applyBorder="1" applyAlignment="1">
      <alignment vertical="center"/>
    </xf>
    <xf numFmtId="178" fontId="0" fillId="0" borderId="0" xfId="13" applyNumberFormat="1" applyFont="1" applyAlignment="1">
      <alignment vertical="center"/>
    </xf>
    <xf numFmtId="178" fontId="0" fillId="0" borderId="0" xfId="13" applyNumberFormat="1" applyFont="1"/>
    <xf numFmtId="0" fontId="0" fillId="12" borderId="40" xfId="0" applyFill="1" applyBorder="1" applyAlignment="1" applyProtection="1">
      <alignment horizontal="left" vertical="center"/>
      <protection locked="0"/>
    </xf>
    <xf numFmtId="0" fontId="0" fillId="12" borderId="44" xfId="0" applyFill="1" applyBorder="1" applyAlignment="1" applyProtection="1">
      <alignment horizontal="left" vertical="center"/>
      <protection locked="0"/>
    </xf>
    <xf numFmtId="0" fontId="0" fillId="12" borderId="21" xfId="0" applyFill="1" applyBorder="1" applyAlignment="1" applyProtection="1">
      <alignment horizontal="left" vertical="center"/>
      <protection locked="0"/>
    </xf>
    <xf numFmtId="0" fontId="0" fillId="12" borderId="28" xfId="0" applyFill="1" applyBorder="1" applyAlignment="1" applyProtection="1">
      <alignment horizontal="left" vertical="center"/>
      <protection locked="0"/>
    </xf>
    <xf numFmtId="0" fontId="0" fillId="12" borderId="28" xfId="0" applyFill="1" applyBorder="1" applyProtection="1">
      <protection locked="0"/>
    </xf>
    <xf numFmtId="169" fontId="15" fillId="0" borderId="27" xfId="16" applyBorder="1" applyAlignment="1">
      <alignment horizontal="center" vertical="center"/>
    </xf>
    <xf numFmtId="169" fontId="15" fillId="0" borderId="0" xfId="16" applyAlignment="1">
      <alignment horizontal="center" vertical="center"/>
    </xf>
    <xf numFmtId="169" fontId="14" fillId="16" borderId="27" xfId="16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 wrapText="1"/>
      <protection locked="0"/>
    </xf>
    <xf numFmtId="168" fontId="14" fillId="15" borderId="61" xfId="0" applyNumberFormat="1" applyFont="1" applyFill="1" applyBorder="1" applyAlignment="1">
      <alignment horizontal="center" vertical="center" wrapText="1"/>
    </xf>
    <xf numFmtId="168" fontId="14" fillId="15" borderId="62" xfId="0" applyNumberFormat="1" applyFont="1" applyFill="1" applyBorder="1" applyAlignment="1">
      <alignment horizontal="center" vertical="center" wrapText="1"/>
    </xf>
    <xf numFmtId="168" fontId="14" fillId="35" borderId="62" xfId="0" applyNumberFormat="1" applyFont="1" applyFill="1" applyBorder="1" applyAlignment="1">
      <alignment horizontal="center" vertical="center" wrapText="1"/>
    </xf>
    <xf numFmtId="168" fontId="14" fillId="35" borderId="64" xfId="0" applyNumberFormat="1" applyFont="1" applyFill="1" applyBorder="1" applyAlignment="1">
      <alignment horizontal="center" vertical="center" wrapText="1"/>
    </xf>
    <xf numFmtId="168" fontId="14" fillId="15" borderId="64" xfId="0" applyNumberFormat="1" applyFont="1" applyFill="1" applyBorder="1" applyAlignment="1">
      <alignment horizontal="center" vertical="center" wrapText="1"/>
    </xf>
    <xf numFmtId="168" fontId="14" fillId="15" borderId="65" xfId="0" applyNumberFormat="1" applyFont="1" applyFill="1" applyBorder="1" applyAlignment="1">
      <alignment horizontal="center" vertical="center" wrapText="1"/>
    </xf>
    <xf numFmtId="0" fontId="0" fillId="12" borderId="67" xfId="0" applyFill="1" applyBorder="1" applyProtection="1">
      <protection locked="0"/>
    </xf>
    <xf numFmtId="170" fontId="0" fillId="46" borderId="70" xfId="13" applyNumberFormat="1" applyFont="1" applyFill="1" applyBorder="1" applyAlignment="1">
      <alignment horizontal="center" vertical="center"/>
    </xf>
    <xf numFmtId="168" fontId="14" fillId="35" borderId="80" xfId="0" applyNumberFormat="1" applyFont="1" applyFill="1" applyBorder="1" applyAlignment="1">
      <alignment horizontal="center" vertical="center" wrapText="1"/>
    </xf>
    <xf numFmtId="168" fontId="14" fillId="35" borderId="81" xfId="0" applyNumberFormat="1" applyFont="1" applyFill="1" applyBorder="1" applyAlignment="1">
      <alignment horizontal="center" vertical="center" wrapText="1"/>
    </xf>
    <xf numFmtId="168" fontId="14" fillId="35" borderId="82" xfId="0" applyNumberFormat="1" applyFont="1" applyFill="1" applyBorder="1" applyAlignment="1">
      <alignment horizontal="center" vertical="center" wrapText="1"/>
    </xf>
    <xf numFmtId="178" fontId="0" fillId="29" borderId="69" xfId="13" applyNumberFormat="1" applyFont="1" applyFill="1" applyBorder="1" applyAlignment="1">
      <alignment vertical="center"/>
    </xf>
    <xf numFmtId="168" fontId="14" fillId="15" borderId="86" xfId="0" applyNumberFormat="1" applyFont="1" applyFill="1" applyBorder="1" applyAlignment="1">
      <alignment horizontal="center" vertical="center" wrapText="1"/>
    </xf>
    <xf numFmtId="168" fontId="14" fillId="15" borderId="87" xfId="0" applyNumberFormat="1" applyFont="1" applyFill="1" applyBorder="1" applyAlignment="1">
      <alignment horizontal="center" vertical="center" wrapText="1"/>
    </xf>
    <xf numFmtId="168" fontId="14" fillId="15" borderId="88" xfId="0" applyNumberFormat="1" applyFont="1" applyFill="1" applyBorder="1" applyAlignment="1">
      <alignment horizontal="center" vertical="center" wrapText="1"/>
    </xf>
    <xf numFmtId="168" fontId="14" fillId="15" borderId="82" xfId="0" applyNumberFormat="1" applyFont="1" applyFill="1" applyBorder="1" applyAlignment="1">
      <alignment horizontal="center" vertical="center" wrapText="1"/>
    </xf>
    <xf numFmtId="170" fontId="0" fillId="46" borderId="89" xfId="13" applyNumberFormat="1" applyFont="1" applyFill="1" applyBorder="1" applyAlignment="1">
      <alignment horizontal="center" vertical="center"/>
    </xf>
    <xf numFmtId="168" fontId="14" fillId="15" borderId="92" xfId="0" applyNumberFormat="1" applyFont="1" applyFill="1" applyBorder="1" applyAlignment="1">
      <alignment horizontal="center" vertical="center" wrapText="1"/>
    </xf>
    <xf numFmtId="168" fontId="14" fillId="15" borderId="93" xfId="0" applyNumberFormat="1" applyFont="1" applyFill="1" applyBorder="1" applyAlignment="1">
      <alignment horizontal="center" vertical="center" wrapText="1"/>
    </xf>
    <xf numFmtId="168" fontId="14" fillId="15" borderId="94" xfId="0" applyNumberFormat="1" applyFont="1" applyFill="1" applyBorder="1" applyAlignment="1">
      <alignment horizontal="center" vertical="center" wrapText="1"/>
    </xf>
    <xf numFmtId="168" fontId="14" fillId="15" borderId="95" xfId="0" applyNumberFormat="1" applyFont="1" applyFill="1" applyBorder="1" applyAlignment="1">
      <alignment horizontal="center" vertical="center" wrapText="1"/>
    </xf>
    <xf numFmtId="170" fontId="0" fillId="12" borderId="69" xfId="13" applyNumberFormat="1" applyFont="1" applyFill="1" applyBorder="1" applyAlignment="1" applyProtection="1">
      <alignment horizontal="center" vertical="center"/>
      <protection locked="0"/>
    </xf>
    <xf numFmtId="170" fontId="0" fillId="12" borderId="71" xfId="13" applyNumberFormat="1" applyFont="1" applyFill="1" applyBorder="1" applyAlignment="1" applyProtection="1">
      <alignment horizontal="center" vertical="center"/>
      <protection locked="0"/>
    </xf>
    <xf numFmtId="178" fontId="0" fillId="0" borderId="0" xfId="0" applyNumberFormat="1"/>
    <xf numFmtId="168" fontId="14" fillId="35" borderId="99" xfId="0" applyNumberFormat="1" applyFont="1" applyFill="1" applyBorder="1" applyAlignment="1">
      <alignment horizontal="center" vertical="center" wrapText="1"/>
    </xf>
    <xf numFmtId="168" fontId="0" fillId="29" borderId="93" xfId="13" applyNumberFormat="1" applyFont="1" applyFill="1" applyBorder="1" applyAlignment="1">
      <alignment vertical="center"/>
    </xf>
    <xf numFmtId="168" fontId="14" fillId="29" borderId="7" xfId="13" applyNumberFormat="1" applyFont="1" applyFill="1" applyBorder="1" applyAlignment="1">
      <alignment vertical="center"/>
    </xf>
    <xf numFmtId="168" fontId="14" fillId="29" borderId="96" xfId="13" applyNumberFormat="1" applyFont="1" applyFill="1" applyBorder="1" applyAlignment="1">
      <alignment vertical="center"/>
    </xf>
    <xf numFmtId="168" fontId="14" fillId="19" borderId="20" xfId="13" applyNumberFormat="1" applyFont="1" applyFill="1" applyBorder="1" applyAlignment="1">
      <alignment vertical="center"/>
    </xf>
    <xf numFmtId="168" fontId="14" fillId="0" borderId="20" xfId="13" applyNumberFormat="1" applyFont="1" applyBorder="1" applyAlignment="1">
      <alignment vertical="center"/>
    </xf>
    <xf numFmtId="0" fontId="30" fillId="0" borderId="0" xfId="0" applyFont="1" applyAlignment="1">
      <alignment horizontal="center" vertical="center" wrapText="1"/>
    </xf>
    <xf numFmtId="169" fontId="31" fillId="0" borderId="0" xfId="16" applyFont="1" applyAlignment="1">
      <alignment horizontal="center" vertical="center"/>
    </xf>
    <xf numFmtId="0" fontId="14" fillId="0" borderId="2" xfId="0" applyFont="1" applyBorder="1" applyAlignment="1">
      <alignment horizontal="right" vertical="center"/>
    </xf>
    <xf numFmtId="0" fontId="27" fillId="11" borderId="0" xfId="0" applyFont="1" applyFill="1" applyAlignment="1">
      <alignment horizontal="left" vertical="center" indent="2"/>
    </xf>
    <xf numFmtId="0" fontId="27" fillId="0" borderId="0" xfId="0" applyFont="1" applyAlignment="1">
      <alignment horizontal="left" vertical="center" indent="2"/>
    </xf>
    <xf numFmtId="0" fontId="19" fillId="0" borderId="0" xfId="0" applyFont="1" applyAlignment="1">
      <alignment horizontal="center" vertical="center"/>
    </xf>
    <xf numFmtId="178" fontId="0" fillId="12" borderId="110" xfId="13" applyNumberFormat="1" applyFont="1" applyFill="1" applyBorder="1" applyAlignment="1" applyProtection="1">
      <alignment vertical="center"/>
      <protection locked="0"/>
    </xf>
    <xf numFmtId="0" fontId="0" fillId="12" borderId="111" xfId="0" applyFill="1" applyBorder="1" applyAlignment="1" applyProtection="1">
      <alignment horizontal="left" vertical="center"/>
      <protection locked="0"/>
    </xf>
    <xf numFmtId="0" fontId="0" fillId="12" borderId="111" xfId="0" applyFill="1" applyBorder="1" applyProtection="1">
      <protection locked="0"/>
    </xf>
    <xf numFmtId="0" fontId="0" fillId="12" borderId="112" xfId="0" applyFill="1" applyBorder="1" applyProtection="1">
      <protection locked="0"/>
    </xf>
    <xf numFmtId="178" fontId="0" fillId="12" borderId="111" xfId="13" applyNumberFormat="1" applyFont="1" applyFill="1" applyBorder="1" applyAlignment="1" applyProtection="1">
      <alignment vertical="center"/>
      <protection locked="0"/>
    </xf>
    <xf numFmtId="0" fontId="0" fillId="12" borderId="110" xfId="0" applyFill="1" applyBorder="1" applyAlignment="1" applyProtection="1">
      <alignment horizontal="left" vertical="center"/>
      <protection locked="0"/>
    </xf>
    <xf numFmtId="0" fontId="0" fillId="12" borderId="110" xfId="0" applyFill="1" applyBorder="1" applyProtection="1">
      <protection locked="0"/>
    </xf>
    <xf numFmtId="0" fontId="0" fillId="12" borderId="116" xfId="0" applyFill="1" applyBorder="1" applyProtection="1">
      <protection locked="0"/>
    </xf>
    <xf numFmtId="177" fontId="0" fillId="0" borderId="117" xfId="0" applyNumberFormat="1" applyBorder="1" applyAlignment="1">
      <alignment horizontal="right" vertical="center"/>
    </xf>
    <xf numFmtId="177" fontId="0" fillId="0" borderId="119" xfId="0" applyNumberFormat="1" applyBorder="1" applyAlignment="1">
      <alignment horizontal="right" vertical="center"/>
    </xf>
    <xf numFmtId="177" fontId="0" fillId="0" borderId="120" xfId="0" applyNumberFormat="1" applyBorder="1" applyAlignment="1">
      <alignment horizontal="right" vertical="center"/>
    </xf>
    <xf numFmtId="178" fontId="0" fillId="12" borderId="116" xfId="13" applyNumberFormat="1" applyFont="1" applyFill="1" applyBorder="1" applyAlignment="1" applyProtection="1">
      <alignment vertical="center"/>
      <protection locked="0"/>
    </xf>
    <xf numFmtId="178" fontId="0" fillId="12" borderId="112" xfId="13" applyNumberFormat="1" applyFont="1" applyFill="1" applyBorder="1" applyAlignment="1" applyProtection="1">
      <alignment vertical="center"/>
      <protection locked="0"/>
    </xf>
    <xf numFmtId="177" fontId="0" fillId="29" borderId="119" xfId="0" applyNumberFormat="1" applyFill="1" applyBorder="1" applyAlignment="1">
      <alignment horizontal="right" vertical="center"/>
    </xf>
    <xf numFmtId="177" fontId="0" fillId="29" borderId="120" xfId="0" applyNumberFormat="1" applyFill="1" applyBorder="1" applyAlignment="1">
      <alignment horizontal="right" vertical="center"/>
    </xf>
    <xf numFmtId="177" fontId="0" fillId="29" borderId="117" xfId="0" applyNumberFormat="1" applyFill="1" applyBorder="1" applyAlignment="1">
      <alignment horizontal="right" vertical="center"/>
    </xf>
    <xf numFmtId="177" fontId="0" fillId="29" borderId="113" xfId="0" applyNumberFormat="1" applyFill="1" applyBorder="1" applyAlignment="1">
      <alignment horizontal="right" vertical="center"/>
    </xf>
    <xf numFmtId="177" fontId="0" fillId="29" borderId="121" xfId="0" applyNumberFormat="1" applyFill="1" applyBorder="1" applyAlignment="1">
      <alignment horizontal="right" vertical="center"/>
    </xf>
    <xf numFmtId="177" fontId="0" fillId="0" borderId="113" xfId="0" applyNumberFormat="1" applyBorder="1" applyAlignment="1">
      <alignment horizontal="right" vertical="center"/>
    </xf>
    <xf numFmtId="177" fontId="0" fillId="0" borderId="121" xfId="0" applyNumberFormat="1" applyBorder="1" applyAlignment="1">
      <alignment horizontal="right" vertical="center"/>
    </xf>
    <xf numFmtId="0" fontId="0" fillId="12" borderId="122" xfId="0" applyFill="1" applyBorder="1" applyAlignment="1" applyProtection="1">
      <alignment horizontal="left" vertical="center"/>
      <protection locked="0"/>
    </xf>
    <xf numFmtId="0" fontId="27" fillId="0" borderId="0" xfId="0" applyFont="1" applyAlignment="1">
      <alignment vertical="center"/>
    </xf>
    <xf numFmtId="0" fontId="12" fillId="23" borderId="110" xfId="0" applyFont="1" applyFill="1" applyBorder="1" applyAlignment="1">
      <alignment horizontal="left" vertical="center"/>
    </xf>
    <xf numFmtId="0" fontId="12" fillId="20" borderId="110" xfId="0" applyFont="1" applyFill="1" applyBorder="1" applyAlignment="1">
      <alignment horizontal="left" vertical="center"/>
    </xf>
    <xf numFmtId="175" fontId="20" fillId="0" borderId="110" xfId="0" applyNumberFormat="1" applyFont="1" applyBorder="1" applyAlignment="1">
      <alignment horizontal="left"/>
    </xf>
    <xf numFmtId="0" fontId="14" fillId="21" borderId="110" xfId="0" applyFont="1" applyFill="1" applyBorder="1" applyAlignment="1">
      <alignment horizontal="center" vertical="center"/>
    </xf>
    <xf numFmtId="0" fontId="14" fillId="20" borderId="110" xfId="0" applyFont="1" applyFill="1" applyBorder="1" applyAlignment="1">
      <alignment horizontal="center" vertical="center" wrapText="1"/>
    </xf>
    <xf numFmtId="1" fontId="0" fillId="0" borderId="110" xfId="0" applyNumberFormat="1" applyBorder="1" applyAlignment="1">
      <alignment horizontal="center" vertical="center" wrapText="1"/>
    </xf>
    <xf numFmtId="168" fontId="12" fillId="23" borderId="110" xfId="13" applyNumberFormat="1" applyFont="1" applyFill="1" applyBorder="1" applyAlignment="1">
      <alignment horizontal="center" vertical="center"/>
    </xf>
    <xf numFmtId="168" fontId="12" fillId="20" borderId="110" xfId="13" applyNumberFormat="1" applyFont="1" applyFill="1" applyBorder="1" applyAlignment="1">
      <alignment horizontal="center" vertical="center"/>
    </xf>
    <xf numFmtId="168" fontId="0" fillId="12" borderId="110" xfId="13" applyNumberFormat="1" applyFont="1" applyFill="1" applyBorder="1" applyAlignment="1" applyProtection="1">
      <alignment vertical="center"/>
      <protection locked="0"/>
    </xf>
    <xf numFmtId="0" fontId="14" fillId="31" borderId="110" xfId="0" applyFont="1" applyFill="1" applyBorder="1" applyAlignment="1">
      <alignment horizontal="center" vertical="center" wrapText="1"/>
    </xf>
    <xf numFmtId="0" fontId="14" fillId="32" borderId="110" xfId="0" applyFont="1" applyFill="1" applyBorder="1" applyAlignment="1">
      <alignment horizontal="left" vertical="center"/>
    </xf>
    <xf numFmtId="168" fontId="14" fillId="31" borderId="110" xfId="0" applyNumberFormat="1" applyFont="1" applyFill="1" applyBorder="1" applyAlignment="1">
      <alignment horizontal="center" vertical="center" wrapText="1"/>
    </xf>
    <xf numFmtId="182" fontId="0" fillId="11" borderId="0" xfId="0" applyNumberFormat="1" applyFill="1"/>
    <xf numFmtId="181" fontId="0" fillId="11" borderId="0" xfId="0" applyNumberFormat="1" applyFill="1"/>
    <xf numFmtId="168" fontId="0" fillId="29" borderId="124" xfId="13" applyNumberFormat="1" applyFont="1" applyFill="1" applyBorder="1" applyAlignment="1">
      <alignment vertical="center"/>
    </xf>
    <xf numFmtId="168" fontId="0" fillId="29" borderId="108" xfId="13" applyNumberFormat="1" applyFont="1" applyFill="1" applyBorder="1" applyAlignment="1">
      <alignment vertical="center"/>
    </xf>
    <xf numFmtId="168" fontId="0" fillId="29" borderId="109" xfId="13" applyNumberFormat="1" applyFont="1" applyFill="1" applyBorder="1" applyAlignment="1">
      <alignment vertical="center"/>
    </xf>
    <xf numFmtId="168" fontId="0" fillId="37" borderId="108" xfId="13" applyNumberFormat="1" applyFont="1" applyFill="1" applyBorder="1" applyAlignment="1">
      <alignment vertical="center"/>
    </xf>
    <xf numFmtId="168" fontId="0" fillId="37" borderId="127" xfId="13" applyNumberFormat="1" applyFont="1" applyFill="1" applyBorder="1" applyAlignment="1">
      <alignment vertical="center"/>
    </xf>
    <xf numFmtId="0" fontId="25" fillId="0" borderId="107" xfId="0" applyFont="1" applyBorder="1" applyAlignment="1">
      <alignment horizontal="left" vertical="center" wrapText="1"/>
    </xf>
    <xf numFmtId="168" fontId="0" fillId="29" borderId="114" xfId="13" applyNumberFormat="1" applyFont="1" applyFill="1" applyBorder="1" applyAlignment="1">
      <alignment vertical="center"/>
    </xf>
    <xf numFmtId="168" fontId="0" fillId="37" borderId="133" xfId="13" applyNumberFormat="1" applyFont="1" applyFill="1" applyBorder="1" applyAlignment="1">
      <alignment vertical="center"/>
    </xf>
    <xf numFmtId="168" fontId="0" fillId="37" borderId="114" xfId="13" applyNumberFormat="1" applyFont="1" applyFill="1" applyBorder="1" applyAlignment="1">
      <alignment vertical="center"/>
    </xf>
    <xf numFmtId="168" fontId="0" fillId="37" borderId="135" xfId="13" applyNumberFormat="1" applyFont="1" applyFill="1" applyBorder="1" applyAlignment="1">
      <alignment vertical="center"/>
    </xf>
    <xf numFmtId="168" fontId="0" fillId="37" borderId="136" xfId="13" applyNumberFormat="1" applyFont="1" applyFill="1" applyBorder="1" applyAlignment="1">
      <alignment vertical="center"/>
    </xf>
    <xf numFmtId="168" fontId="0" fillId="0" borderId="124" xfId="13" applyNumberFormat="1" applyFont="1" applyBorder="1" applyAlignment="1">
      <alignment vertical="center"/>
    </xf>
    <xf numFmtId="168" fontId="0" fillId="0" borderId="108" xfId="13" applyNumberFormat="1" applyFont="1" applyBorder="1" applyAlignment="1">
      <alignment vertical="center"/>
    </xf>
    <xf numFmtId="168" fontId="0" fillId="0" borderId="109" xfId="13" applyNumberFormat="1" applyFont="1" applyBorder="1" applyAlignment="1">
      <alignment vertical="center"/>
    </xf>
    <xf numFmtId="168" fontId="0" fillId="0" borderId="71" xfId="13" applyNumberFormat="1" applyFont="1" applyBorder="1" applyAlignment="1">
      <alignment vertical="center"/>
    </xf>
    <xf numFmtId="168" fontId="0" fillId="0" borderId="130" xfId="13" applyNumberFormat="1" applyFont="1" applyBorder="1" applyAlignment="1">
      <alignment vertical="center"/>
    </xf>
    <xf numFmtId="168" fontId="0" fillId="0" borderId="128" xfId="13" applyNumberFormat="1" applyFont="1" applyBorder="1" applyAlignment="1">
      <alignment vertical="center"/>
    </xf>
    <xf numFmtId="168" fontId="0" fillId="0" borderId="129" xfId="13" applyNumberFormat="1" applyFont="1" applyBorder="1" applyAlignment="1">
      <alignment vertical="center"/>
    </xf>
    <xf numFmtId="168" fontId="0" fillId="0" borderId="114" xfId="13" applyNumberFormat="1" applyFont="1" applyBorder="1" applyAlignment="1">
      <alignment vertical="center"/>
    </xf>
    <xf numFmtId="168" fontId="0" fillId="0" borderId="135" xfId="13" applyNumberFormat="1" applyFont="1" applyBorder="1" applyAlignment="1">
      <alignment vertical="center"/>
    </xf>
    <xf numFmtId="167" fontId="0" fillId="0" borderId="123" xfId="13" applyNumberFormat="1" applyFont="1" applyBorder="1" applyAlignment="1">
      <alignment vertical="center"/>
    </xf>
    <xf numFmtId="167" fontId="0" fillId="0" borderId="39" xfId="13" applyNumberFormat="1" applyFont="1" applyBorder="1" applyAlignment="1">
      <alignment vertical="center"/>
    </xf>
    <xf numFmtId="167" fontId="0" fillId="0" borderId="22" xfId="13" applyNumberFormat="1" applyFont="1" applyBorder="1" applyAlignment="1">
      <alignment vertical="center"/>
    </xf>
    <xf numFmtId="167" fontId="0" fillId="0" borderId="138" xfId="13" applyNumberFormat="1" applyFont="1" applyBorder="1" applyAlignment="1">
      <alignment vertical="center"/>
    </xf>
    <xf numFmtId="168" fontId="0" fillId="37" borderId="126" xfId="13" applyNumberFormat="1" applyFont="1" applyFill="1" applyBorder="1" applyAlignment="1">
      <alignment vertical="center"/>
    </xf>
    <xf numFmtId="168" fontId="0" fillId="37" borderId="139" xfId="13" applyNumberFormat="1" applyFont="1" applyFill="1" applyBorder="1" applyAlignment="1">
      <alignment vertical="center"/>
    </xf>
    <xf numFmtId="168" fontId="0" fillId="29" borderId="71" xfId="13" applyNumberFormat="1" applyFont="1" applyFill="1" applyBorder="1" applyAlignment="1">
      <alignment vertical="center"/>
    </xf>
    <xf numFmtId="168" fontId="0" fillId="29" borderId="130" xfId="13" applyNumberFormat="1" applyFont="1" applyFill="1" applyBorder="1" applyAlignment="1">
      <alignment vertical="center"/>
    </xf>
    <xf numFmtId="168" fontId="0" fillId="29" borderId="128" xfId="13" applyNumberFormat="1" applyFont="1" applyFill="1" applyBorder="1" applyAlignment="1">
      <alignment vertical="center"/>
    </xf>
    <xf numFmtId="167" fontId="0" fillId="0" borderId="141" xfId="13" applyNumberFormat="1" applyFont="1" applyBorder="1" applyAlignment="1">
      <alignment vertical="center"/>
    </xf>
    <xf numFmtId="168" fontId="0" fillId="37" borderId="21" xfId="13" applyNumberFormat="1" applyFont="1" applyFill="1" applyBorder="1" applyAlignment="1">
      <alignment vertical="center"/>
    </xf>
    <xf numFmtId="168" fontId="0" fillId="37" borderId="137" xfId="13" applyNumberFormat="1" applyFont="1" applyFill="1" applyBorder="1" applyAlignment="1">
      <alignment vertical="center"/>
    </xf>
    <xf numFmtId="168" fontId="0" fillId="29" borderId="129" xfId="13" applyNumberFormat="1" applyFont="1" applyFill="1" applyBorder="1" applyAlignment="1">
      <alignment vertical="center"/>
    </xf>
    <xf numFmtId="170" fontId="0" fillId="0" borderId="124" xfId="0" applyNumberFormat="1" applyBorder="1" applyAlignment="1">
      <alignment horizontal="center" vertical="center"/>
    </xf>
    <xf numFmtId="170" fontId="0" fillId="0" borderId="108" xfId="0" applyNumberFormat="1" applyBorder="1" applyAlignment="1">
      <alignment horizontal="center" vertical="center"/>
    </xf>
    <xf numFmtId="170" fontId="0" fillId="0" borderId="109" xfId="0" applyNumberFormat="1" applyBorder="1" applyAlignment="1">
      <alignment horizontal="center" vertical="center"/>
    </xf>
    <xf numFmtId="170" fontId="0" fillId="0" borderId="71" xfId="0" applyNumberFormat="1" applyBorder="1" applyAlignment="1">
      <alignment horizontal="center" vertical="center"/>
    </xf>
    <xf numFmtId="170" fontId="0" fillId="0" borderId="130" xfId="0" applyNumberFormat="1" applyBorder="1" applyAlignment="1">
      <alignment horizontal="center" vertical="center"/>
    </xf>
    <xf numFmtId="170" fontId="0" fillId="0" borderId="128" xfId="0" applyNumberFormat="1" applyBorder="1" applyAlignment="1">
      <alignment horizontal="center" vertical="center"/>
    </xf>
    <xf numFmtId="170" fontId="0" fillId="0" borderId="126" xfId="0" applyNumberFormat="1" applyBorder="1" applyAlignment="1">
      <alignment horizontal="center" vertical="center"/>
    </xf>
    <xf numFmtId="170" fontId="0" fillId="0" borderId="125" xfId="0" applyNumberFormat="1" applyBorder="1" applyAlignment="1">
      <alignment horizontal="center" vertical="center"/>
    </xf>
    <xf numFmtId="170" fontId="0" fillId="0" borderId="131" xfId="0" applyNumberFormat="1" applyBorder="1" applyAlignment="1">
      <alignment horizontal="center" vertical="center"/>
    </xf>
    <xf numFmtId="170" fontId="0" fillId="0" borderId="132" xfId="0" applyNumberFormat="1" applyBorder="1" applyAlignment="1">
      <alignment horizontal="center" vertical="center"/>
    </xf>
    <xf numFmtId="170" fontId="0" fillId="0" borderId="137" xfId="0" applyNumberFormat="1" applyBorder="1" applyAlignment="1">
      <alignment horizontal="center" vertical="center"/>
    </xf>
    <xf numFmtId="170" fontId="0" fillId="0" borderId="101" xfId="0" applyNumberFormat="1" applyBorder="1" applyAlignment="1">
      <alignment horizontal="center" vertical="center"/>
    </xf>
    <xf numFmtId="167" fontId="0" fillId="0" borderId="143" xfId="13" applyNumberFormat="1" applyFont="1" applyBorder="1" applyAlignment="1">
      <alignment vertical="center"/>
    </xf>
    <xf numFmtId="167" fontId="0" fillId="0" borderId="144" xfId="13" applyNumberFormat="1" applyFont="1" applyBorder="1" applyAlignment="1">
      <alignment vertical="center"/>
    </xf>
    <xf numFmtId="167" fontId="0" fillId="0" borderId="146" xfId="13" applyNumberFormat="1" applyFont="1" applyBorder="1" applyAlignment="1">
      <alignment vertical="center"/>
    </xf>
    <xf numFmtId="0" fontId="0" fillId="12" borderId="126" xfId="0" applyFill="1" applyBorder="1" applyAlignment="1" applyProtection="1">
      <alignment horizontal="left" vertical="center"/>
      <protection locked="0"/>
    </xf>
    <xf numFmtId="168" fontId="0" fillId="29" borderId="148" xfId="13" applyNumberFormat="1" applyFont="1" applyFill="1" applyBorder="1" applyAlignment="1">
      <alignment vertical="center"/>
    </xf>
    <xf numFmtId="168" fontId="14" fillId="35" borderId="156" xfId="0" applyNumberFormat="1" applyFont="1" applyFill="1" applyBorder="1" applyAlignment="1">
      <alignment horizontal="center" vertical="center" wrapText="1"/>
    </xf>
    <xf numFmtId="168" fontId="14" fillId="35" borderId="142" xfId="0" applyNumberFormat="1" applyFont="1" applyFill="1" applyBorder="1" applyAlignment="1">
      <alignment horizontal="center" vertical="center" wrapText="1"/>
    </xf>
    <xf numFmtId="168" fontId="14" fillId="35" borderId="157" xfId="0" applyNumberFormat="1" applyFont="1" applyFill="1" applyBorder="1" applyAlignment="1">
      <alignment horizontal="center" vertical="center" wrapText="1"/>
    </xf>
    <xf numFmtId="168" fontId="0" fillId="29" borderId="159" xfId="13" applyNumberFormat="1" applyFont="1" applyFill="1" applyBorder="1" applyAlignment="1">
      <alignment vertical="center"/>
    </xf>
    <xf numFmtId="167" fontId="0" fillId="0" borderId="161" xfId="13" applyNumberFormat="1" applyFont="1" applyBorder="1" applyAlignment="1">
      <alignment vertical="center"/>
    </xf>
    <xf numFmtId="168" fontId="0" fillId="29" borderId="162" xfId="13" applyNumberFormat="1" applyFont="1" applyFill="1" applyBorder="1" applyAlignment="1">
      <alignment vertical="center"/>
    </xf>
    <xf numFmtId="168" fontId="0" fillId="29" borderId="163" xfId="13" applyNumberFormat="1" applyFont="1" applyFill="1" applyBorder="1" applyAlignment="1">
      <alignment vertical="center"/>
    </xf>
    <xf numFmtId="167" fontId="0" fillId="0" borderId="166" xfId="13" applyNumberFormat="1" applyFont="1" applyBorder="1" applyAlignment="1">
      <alignment vertical="center"/>
    </xf>
    <xf numFmtId="168" fontId="0" fillId="29" borderId="167" xfId="13" applyNumberFormat="1" applyFont="1" applyFill="1" applyBorder="1" applyAlignment="1">
      <alignment vertical="center"/>
    </xf>
    <xf numFmtId="168" fontId="14" fillId="35" borderId="170" xfId="0" applyNumberFormat="1" applyFont="1" applyFill="1" applyBorder="1" applyAlignment="1">
      <alignment horizontal="center" vertical="center" wrapText="1"/>
    </xf>
    <xf numFmtId="168" fontId="14" fillId="35" borderId="171" xfId="0" applyNumberFormat="1" applyFont="1" applyFill="1" applyBorder="1" applyAlignment="1">
      <alignment horizontal="center" vertical="center" wrapText="1"/>
    </xf>
    <xf numFmtId="168" fontId="14" fillId="35" borderId="172" xfId="0" applyNumberFormat="1" applyFont="1" applyFill="1" applyBorder="1" applyAlignment="1">
      <alignment horizontal="center" vertical="center" wrapText="1"/>
    </xf>
    <xf numFmtId="167" fontId="0" fillId="0" borderId="173" xfId="13" applyNumberFormat="1" applyFont="1" applyBorder="1" applyAlignment="1">
      <alignment vertical="center"/>
    </xf>
    <xf numFmtId="168" fontId="0" fillId="29" borderId="175" xfId="13" applyNumberFormat="1" applyFont="1" applyFill="1" applyBorder="1" applyAlignment="1">
      <alignment vertical="center"/>
    </xf>
    <xf numFmtId="167" fontId="0" fillId="0" borderId="177" xfId="13" applyNumberFormat="1" applyFont="1" applyBorder="1" applyAlignment="1">
      <alignment vertical="center"/>
    </xf>
    <xf numFmtId="168" fontId="0" fillId="29" borderId="178" xfId="13" applyNumberFormat="1" applyFont="1" applyFill="1" applyBorder="1" applyAlignment="1">
      <alignment vertical="center"/>
    </xf>
    <xf numFmtId="168" fontId="14" fillId="15" borderId="179" xfId="0" applyNumberFormat="1" applyFont="1" applyFill="1" applyBorder="1" applyAlignment="1">
      <alignment horizontal="center" vertical="center" wrapText="1"/>
    </xf>
    <xf numFmtId="168" fontId="14" fillId="15" borderId="180" xfId="0" applyNumberFormat="1" applyFont="1" applyFill="1" applyBorder="1" applyAlignment="1">
      <alignment horizontal="center" vertical="center" wrapText="1"/>
    </xf>
    <xf numFmtId="168" fontId="14" fillId="15" borderId="181" xfId="0" applyNumberFormat="1" applyFont="1" applyFill="1" applyBorder="1" applyAlignment="1">
      <alignment horizontal="center" vertical="center" wrapText="1"/>
    </xf>
    <xf numFmtId="180" fontId="15" fillId="37" borderId="124" xfId="16" applyNumberFormat="1" applyFill="1" applyBorder="1" applyAlignment="1">
      <alignment horizontal="center" vertical="center"/>
    </xf>
    <xf numFmtId="180" fontId="15" fillId="37" borderId="182" xfId="16" applyNumberFormat="1" applyFill="1" applyBorder="1" applyAlignment="1">
      <alignment horizontal="center" vertical="center"/>
    </xf>
    <xf numFmtId="180" fontId="15" fillId="37" borderId="183" xfId="16" applyNumberFormat="1" applyFill="1" applyBorder="1" applyAlignment="1">
      <alignment horizontal="center" vertical="center"/>
    </xf>
    <xf numFmtId="180" fontId="15" fillId="37" borderId="71" xfId="16" applyNumberFormat="1" applyFill="1" applyBorder="1" applyAlignment="1">
      <alignment horizontal="center" vertical="center"/>
    </xf>
    <xf numFmtId="180" fontId="15" fillId="37" borderId="167" xfId="16" applyNumberFormat="1" applyFill="1" applyBorder="1" applyAlignment="1">
      <alignment horizontal="center" vertical="center"/>
    </xf>
    <xf numFmtId="168" fontId="0" fillId="29" borderId="184" xfId="13" applyNumberFormat="1" applyFont="1" applyFill="1" applyBorder="1" applyAlignment="1">
      <alignment vertical="center"/>
    </xf>
    <xf numFmtId="168" fontId="14" fillId="15" borderId="185" xfId="0" applyNumberFormat="1" applyFont="1" applyFill="1" applyBorder="1" applyAlignment="1">
      <alignment horizontal="center" vertical="center" wrapText="1"/>
    </xf>
    <xf numFmtId="180" fontId="15" fillId="37" borderId="187" xfId="16" applyNumberFormat="1" applyFill="1" applyBorder="1" applyAlignment="1">
      <alignment horizontal="center" vertical="center"/>
    </xf>
    <xf numFmtId="168" fontId="14" fillId="15" borderId="189" xfId="0" applyNumberFormat="1" applyFont="1" applyFill="1" applyBorder="1" applyAlignment="1">
      <alignment horizontal="center" vertical="center" wrapText="1"/>
    </xf>
    <xf numFmtId="168" fontId="14" fillId="15" borderId="190" xfId="0" applyNumberFormat="1" applyFont="1" applyFill="1" applyBorder="1" applyAlignment="1">
      <alignment horizontal="center" vertical="center" wrapText="1"/>
    </xf>
    <xf numFmtId="179" fontId="0" fillId="12" borderId="182" xfId="13" applyNumberFormat="1" applyFont="1" applyFill="1" applyBorder="1" applyAlignment="1" applyProtection="1">
      <alignment horizontal="center" vertical="center"/>
      <protection locked="0"/>
    </xf>
    <xf numFmtId="179" fontId="0" fillId="12" borderId="191" xfId="13" applyNumberFormat="1" applyFont="1" applyFill="1" applyBorder="1" applyAlignment="1" applyProtection="1">
      <alignment horizontal="center" vertical="center"/>
      <protection locked="0"/>
    </xf>
    <xf numFmtId="0" fontId="24" fillId="46" borderId="72" xfId="0" applyFont="1" applyFill="1" applyBorder="1" applyAlignment="1">
      <alignment horizontal="center" vertical="center" wrapText="1"/>
    </xf>
    <xf numFmtId="170" fontId="0" fillId="46" borderId="75" xfId="13" applyNumberFormat="1" applyFont="1" applyFill="1" applyBorder="1" applyAlignment="1">
      <alignment horizontal="center" vertical="center"/>
    </xf>
    <xf numFmtId="170" fontId="0" fillId="46" borderId="97" xfId="13" applyNumberFormat="1" applyFont="1" applyFill="1" applyBorder="1" applyAlignment="1">
      <alignment horizontal="center" vertical="center"/>
    </xf>
    <xf numFmtId="169" fontId="15" fillId="0" borderId="0" xfId="16"/>
    <xf numFmtId="181" fontId="15" fillId="0" borderId="0" xfId="13" applyNumberFormat="1"/>
    <xf numFmtId="0" fontId="25" fillId="12" borderId="48" xfId="0" applyFont="1" applyFill="1" applyBorder="1" applyAlignment="1" applyProtection="1">
      <alignment horizontal="center" vertical="center"/>
      <protection locked="0"/>
    </xf>
    <xf numFmtId="178" fontId="0" fillId="12" borderId="186" xfId="13" applyNumberFormat="1" applyFont="1" applyFill="1" applyBorder="1" applyAlignment="1" applyProtection="1">
      <alignment vertical="center"/>
      <protection locked="0"/>
    </xf>
    <xf numFmtId="9" fontId="0" fillId="12" borderId="187" xfId="0" applyNumberFormat="1" applyFill="1" applyBorder="1" applyAlignment="1" applyProtection="1">
      <alignment horizontal="center" vertical="center"/>
      <protection locked="0"/>
    </xf>
    <xf numFmtId="177" fontId="0" fillId="0" borderId="188" xfId="0" applyNumberFormat="1" applyBorder="1" applyAlignment="1">
      <alignment horizontal="right" vertical="center"/>
    </xf>
    <xf numFmtId="177" fontId="0" fillId="0" borderId="114" xfId="0" applyNumberFormat="1" applyBorder="1" applyAlignment="1">
      <alignment horizontal="right" vertical="center"/>
    </xf>
    <xf numFmtId="177" fontId="0" fillId="0" borderId="199" xfId="0" applyNumberFormat="1" applyBorder="1" applyAlignment="1">
      <alignment horizontal="right" vertical="center"/>
    </xf>
    <xf numFmtId="177" fontId="0" fillId="0" borderId="178" xfId="0" applyNumberFormat="1" applyBorder="1" applyAlignment="1">
      <alignment horizontal="right" vertical="center"/>
    </xf>
    <xf numFmtId="9" fontId="0" fillId="12" borderId="193" xfId="0" applyNumberFormat="1" applyFill="1" applyBorder="1" applyAlignment="1" applyProtection="1">
      <alignment horizontal="center" vertical="center"/>
      <protection locked="0"/>
    </xf>
    <xf numFmtId="0" fontId="11" fillId="14" borderId="193" xfId="0" applyFont="1" applyFill="1" applyBorder="1" applyAlignment="1">
      <alignment horizontal="center" vertical="center"/>
    </xf>
    <xf numFmtId="0" fontId="11" fillId="47" borderId="192" xfId="0" applyFont="1" applyFill="1" applyBorder="1" applyAlignment="1">
      <alignment horizontal="center" vertical="center"/>
    </xf>
    <xf numFmtId="0" fontId="11" fillId="14" borderId="178" xfId="0" applyFont="1" applyFill="1" applyBorder="1" applyAlignment="1">
      <alignment horizontal="center" vertical="center"/>
    </xf>
    <xf numFmtId="0" fontId="11" fillId="47" borderId="205" xfId="0" applyFont="1" applyFill="1" applyBorder="1" applyAlignment="1">
      <alignment horizontal="center" vertical="center"/>
    </xf>
    <xf numFmtId="169" fontId="0" fillId="12" borderId="206" xfId="16" applyFont="1" applyFill="1" applyBorder="1" applyAlignment="1" applyProtection="1">
      <alignment horizontal="center" vertical="center"/>
      <protection locked="0"/>
    </xf>
    <xf numFmtId="169" fontId="0" fillId="12" borderId="205" xfId="16" applyFont="1" applyFill="1" applyBorder="1" applyAlignment="1" applyProtection="1">
      <alignment horizontal="center" vertical="center"/>
      <protection locked="0"/>
    </xf>
    <xf numFmtId="177" fontId="0" fillId="0" borderId="183" xfId="0" applyNumberFormat="1" applyBorder="1" applyAlignment="1">
      <alignment horizontal="right" vertical="center"/>
    </xf>
    <xf numFmtId="177" fontId="0" fillId="0" borderId="192" xfId="0" applyNumberFormat="1" applyBorder="1" applyAlignment="1">
      <alignment horizontal="right" vertical="center"/>
    </xf>
    <xf numFmtId="0" fontId="27" fillId="0" borderId="0" xfId="0" applyFont="1" applyAlignment="1">
      <alignment vertical="center" wrapText="1"/>
    </xf>
    <xf numFmtId="0" fontId="11" fillId="48" borderId="193" xfId="0" applyFont="1" applyFill="1" applyBorder="1" applyAlignment="1">
      <alignment horizontal="center" vertical="center"/>
    </xf>
    <xf numFmtId="0" fontId="11" fillId="48" borderId="192" xfId="0" applyFont="1" applyFill="1" applyBorder="1" applyAlignment="1">
      <alignment horizontal="center" vertical="center"/>
    </xf>
    <xf numFmtId="169" fontId="32" fillId="0" borderId="132" xfId="16" applyFont="1" applyBorder="1" applyAlignment="1">
      <alignment horizontal="center" vertical="center"/>
    </xf>
    <xf numFmtId="169" fontId="32" fillId="0" borderId="137" xfId="16" applyFont="1" applyBorder="1" applyAlignment="1">
      <alignment horizontal="center" vertical="center"/>
    </xf>
    <xf numFmtId="177" fontId="0" fillId="27" borderId="136" xfId="0" applyNumberFormat="1" applyFill="1" applyBorder="1" applyAlignment="1">
      <alignment horizontal="right" vertical="center"/>
    </xf>
    <xf numFmtId="177" fontId="0" fillId="27" borderId="209" xfId="0" applyNumberFormat="1" applyFill="1" applyBorder="1" applyAlignment="1">
      <alignment horizontal="right" vertical="center"/>
    </xf>
    <xf numFmtId="0" fontId="0" fillId="11" borderId="211" xfId="0" applyFill="1" applyBorder="1"/>
    <xf numFmtId="0" fontId="0" fillId="11" borderId="212" xfId="0" applyFill="1" applyBorder="1"/>
    <xf numFmtId="0" fontId="0" fillId="11" borderId="213" xfId="0" applyFill="1" applyBorder="1"/>
    <xf numFmtId="0" fontId="0" fillId="11" borderId="201" xfId="0" applyFill="1" applyBorder="1"/>
    <xf numFmtId="0" fontId="0" fillId="11" borderId="106" xfId="0" applyFill="1" applyBorder="1"/>
    <xf numFmtId="0" fontId="27" fillId="0" borderId="201" xfId="0" applyFont="1" applyBorder="1" applyAlignment="1">
      <alignment vertical="center"/>
    </xf>
    <xf numFmtId="0" fontId="11" fillId="14" borderId="194" xfId="0" applyFont="1" applyFill="1" applyBorder="1" applyAlignment="1">
      <alignment horizontal="center" vertical="center"/>
    </xf>
    <xf numFmtId="0" fontId="11" fillId="14" borderId="210" xfId="0" applyFont="1" applyFill="1" applyBorder="1" applyAlignment="1">
      <alignment horizontal="center" vertical="center"/>
    </xf>
    <xf numFmtId="0" fontId="11" fillId="48" borderId="194" xfId="0" applyFont="1" applyFill="1" applyBorder="1" applyAlignment="1">
      <alignment horizontal="center" vertical="center"/>
    </xf>
    <xf numFmtId="0" fontId="11" fillId="48" borderId="210" xfId="0" applyFont="1" applyFill="1" applyBorder="1" applyAlignment="1">
      <alignment horizontal="center" vertical="center"/>
    </xf>
    <xf numFmtId="0" fontId="11" fillId="47" borderId="194" xfId="0" applyFont="1" applyFill="1" applyBorder="1" applyAlignment="1">
      <alignment horizontal="center" vertical="center"/>
    </xf>
    <xf numFmtId="0" fontId="11" fillId="47" borderId="210" xfId="0" applyFont="1" applyFill="1" applyBorder="1" applyAlignment="1">
      <alignment horizontal="center" vertical="center"/>
    </xf>
    <xf numFmtId="0" fontId="0" fillId="11" borderId="202" xfId="0" applyFill="1" applyBorder="1"/>
    <xf numFmtId="0" fontId="0" fillId="11" borderId="208" xfId="0" applyFill="1" applyBorder="1"/>
    <xf numFmtId="0" fontId="0" fillId="11" borderId="101" xfId="0" applyFill="1" applyBorder="1"/>
    <xf numFmtId="168" fontId="12" fillId="20" borderId="110" xfId="13" applyNumberFormat="1" applyFont="1" applyFill="1" applyBorder="1" applyAlignment="1" applyProtection="1">
      <alignment horizontal="center" vertical="center"/>
      <protection locked="0"/>
    </xf>
    <xf numFmtId="170" fontId="0" fillId="46" borderId="98" xfId="13" applyNumberFormat="1" applyFont="1" applyFill="1" applyBorder="1" applyAlignment="1">
      <alignment horizontal="center" vertical="center"/>
    </xf>
    <xf numFmtId="170" fontId="0" fillId="46" borderId="60" xfId="13" applyNumberFormat="1" applyFont="1" applyFill="1" applyBorder="1" applyAlignment="1">
      <alignment horizontal="center" vertical="center"/>
    </xf>
    <xf numFmtId="170" fontId="0" fillId="46" borderId="68" xfId="13" applyNumberFormat="1" applyFont="1" applyFill="1" applyBorder="1" applyAlignment="1">
      <alignment horizontal="center" vertical="center"/>
    </xf>
    <xf numFmtId="170" fontId="0" fillId="46" borderId="91" xfId="13" applyNumberFormat="1" applyFont="1" applyFill="1" applyBorder="1" applyAlignment="1">
      <alignment horizontal="center" vertical="center"/>
    </xf>
    <xf numFmtId="0" fontId="24" fillId="0" borderId="107" xfId="0" applyFont="1" applyBorder="1" applyAlignment="1">
      <alignment horizontal="center" vertical="center" wrapText="1"/>
    </xf>
    <xf numFmtId="0" fontId="14" fillId="16" borderId="210" xfId="0" applyFont="1" applyFill="1" applyBorder="1" applyAlignment="1">
      <alignment horizontal="center" vertical="center" wrapText="1"/>
    </xf>
    <xf numFmtId="0" fontId="0" fillId="12" borderId="186" xfId="0" applyFill="1" applyBorder="1" applyAlignment="1" applyProtection="1">
      <alignment horizontal="left" vertical="center"/>
      <protection locked="0"/>
    </xf>
    <xf numFmtId="0" fontId="0" fillId="12" borderId="191" xfId="0" applyFill="1" applyBorder="1" applyAlignment="1" applyProtection="1">
      <alignment horizontal="left" vertical="center"/>
      <protection locked="0"/>
    </xf>
    <xf numFmtId="178" fontId="0" fillId="12" borderId="191" xfId="13" applyNumberFormat="1" applyFont="1" applyFill="1" applyBorder="1" applyAlignment="1" applyProtection="1">
      <alignment vertical="center"/>
      <protection locked="0"/>
    </xf>
    <xf numFmtId="177" fontId="25" fillId="28" borderId="66" xfId="0" applyNumberFormat="1" applyFont="1" applyFill="1" applyBorder="1" applyAlignment="1">
      <alignment vertical="center"/>
    </xf>
    <xf numFmtId="180" fontId="15" fillId="37" borderId="178" xfId="16" applyNumberFormat="1" applyFill="1" applyBorder="1" applyAlignment="1">
      <alignment horizontal="center" vertical="center"/>
    </xf>
    <xf numFmtId="168" fontId="0" fillId="12" borderId="183" xfId="13" applyNumberFormat="1" applyFont="1" applyFill="1" applyBorder="1" applyAlignment="1" applyProtection="1">
      <alignment vertical="center"/>
      <protection locked="0"/>
    </xf>
    <xf numFmtId="0" fontId="0" fillId="12" borderId="187" xfId="0" applyFill="1" applyBorder="1" applyAlignment="1" applyProtection="1">
      <alignment horizontal="left" vertical="center"/>
      <protection locked="0"/>
    </xf>
    <xf numFmtId="168" fontId="0" fillId="12" borderId="188" xfId="13" applyNumberFormat="1" applyFont="1" applyFill="1" applyBorder="1" applyAlignment="1" applyProtection="1">
      <alignment vertical="center"/>
      <protection locked="0"/>
    </xf>
    <xf numFmtId="0" fontId="0" fillId="12" borderId="193" xfId="0" applyFill="1" applyBorder="1" applyAlignment="1" applyProtection="1">
      <alignment horizontal="left" vertical="center"/>
      <protection locked="0"/>
    </xf>
    <xf numFmtId="168" fontId="0" fillId="12" borderId="192" xfId="13" applyNumberFormat="1" applyFont="1" applyFill="1" applyBorder="1" applyAlignment="1" applyProtection="1">
      <alignment vertical="center"/>
      <protection locked="0"/>
    </xf>
    <xf numFmtId="0" fontId="14" fillId="15" borderId="226" xfId="0" applyFont="1" applyFill="1" applyBorder="1" applyAlignment="1">
      <alignment horizontal="center" vertical="center"/>
    </xf>
    <xf numFmtId="0" fontId="0" fillId="12" borderId="206" xfId="0" applyFill="1" applyBorder="1" applyAlignment="1" applyProtection="1">
      <alignment horizontal="left" vertical="center"/>
      <protection locked="0"/>
    </xf>
    <xf numFmtId="0" fontId="0" fillId="12" borderId="205" xfId="0" applyFill="1" applyBorder="1" applyAlignment="1" applyProtection="1">
      <alignment horizontal="left" vertical="center"/>
      <protection locked="0"/>
    </xf>
    <xf numFmtId="0" fontId="14" fillId="15" borderId="228" xfId="0" applyFont="1" applyFill="1" applyBorder="1" applyAlignment="1">
      <alignment horizontal="center" vertical="center"/>
    </xf>
    <xf numFmtId="168" fontId="14" fillId="15" borderId="229" xfId="0" applyNumberFormat="1" applyFont="1" applyFill="1" applyBorder="1" applyAlignment="1">
      <alignment horizontal="center" vertical="center" wrapText="1"/>
    </xf>
    <xf numFmtId="180" fontId="15" fillId="37" borderId="75" xfId="16" applyNumberFormat="1" applyFill="1" applyBorder="1" applyAlignment="1">
      <alignment horizontal="center" vertical="center"/>
    </xf>
    <xf numFmtId="168" fontId="0" fillId="29" borderId="230" xfId="13" applyNumberFormat="1" applyFont="1" applyFill="1" applyBorder="1" applyAlignment="1">
      <alignment vertical="center"/>
    </xf>
    <xf numFmtId="168" fontId="0" fillId="29" borderId="231" xfId="13" applyNumberFormat="1" applyFont="1" applyFill="1" applyBorder="1" applyAlignment="1">
      <alignment vertical="center"/>
    </xf>
    <xf numFmtId="0" fontId="0" fillId="12" borderId="131" xfId="0" applyFill="1" applyBorder="1" applyAlignment="1" applyProtection="1">
      <alignment horizontal="left" vertical="center"/>
      <protection locked="0"/>
    </xf>
    <xf numFmtId="168" fontId="0" fillId="12" borderId="222" xfId="13" applyNumberFormat="1" applyFont="1" applyFill="1" applyBorder="1" applyAlignment="1" applyProtection="1">
      <alignment vertical="center"/>
      <protection locked="0"/>
    </xf>
    <xf numFmtId="0" fontId="0" fillId="12" borderId="233" xfId="0" applyFill="1" applyBorder="1" applyAlignment="1" applyProtection="1">
      <alignment horizontal="left" vertical="center"/>
      <protection locked="0"/>
    </xf>
    <xf numFmtId="0" fontId="14" fillId="16" borderId="192" xfId="0" applyFont="1" applyFill="1" applyBorder="1" applyAlignment="1">
      <alignment horizontal="center" vertical="center" wrapText="1"/>
    </xf>
    <xf numFmtId="0" fontId="0" fillId="12" borderId="232" xfId="0" applyFill="1" applyBorder="1" applyAlignment="1" applyProtection="1">
      <alignment horizontal="left" vertical="center"/>
      <protection locked="0"/>
    </xf>
    <xf numFmtId="180" fontId="15" fillId="37" borderId="193" xfId="16" applyNumberFormat="1" applyFill="1" applyBorder="1" applyAlignment="1">
      <alignment horizontal="center" vertical="center"/>
    </xf>
    <xf numFmtId="180" fontId="15" fillId="37" borderId="191" xfId="16" applyNumberFormat="1" applyFill="1" applyBorder="1" applyAlignment="1">
      <alignment horizontal="center" vertical="center"/>
    </xf>
    <xf numFmtId="180" fontId="15" fillId="37" borderId="192" xfId="16" applyNumberFormat="1" applyFill="1" applyBorder="1" applyAlignment="1">
      <alignment horizontal="center" vertical="center"/>
    </xf>
    <xf numFmtId="0" fontId="23" fillId="0" borderId="0" xfId="20" applyFill="1" applyBorder="1" applyAlignment="1" applyProtection="1">
      <alignment vertical="center"/>
    </xf>
    <xf numFmtId="0" fontId="23" fillId="11" borderId="0" xfId="20" applyFill="1" applyBorder="1" applyAlignment="1" applyProtection="1">
      <alignment vertical="center"/>
    </xf>
    <xf numFmtId="0" fontId="23" fillId="0" borderId="0" xfId="20" applyProtection="1"/>
    <xf numFmtId="0" fontId="23" fillId="0" borderId="0" xfId="20" applyBorder="1" applyAlignment="1" applyProtection="1">
      <alignment vertical="center"/>
    </xf>
    <xf numFmtId="0" fontId="23" fillId="0" borderId="0" xfId="20" applyBorder="1" applyAlignment="1" applyProtection="1">
      <alignment horizontal="left" vertical="center"/>
    </xf>
    <xf numFmtId="0" fontId="27" fillId="0" borderId="0" xfId="0" applyFont="1" applyAlignment="1">
      <alignment horizontal="left" vertical="center"/>
    </xf>
    <xf numFmtId="0" fontId="23" fillId="0" borderId="0" xfId="20" quotePrefix="1" applyBorder="1" applyAlignment="1" applyProtection="1">
      <alignment horizontal="left" vertical="center"/>
    </xf>
    <xf numFmtId="0" fontId="23" fillId="0" borderId="0" xfId="20"/>
    <xf numFmtId="0" fontId="23" fillId="11" borderId="0" xfId="20" applyFill="1" applyBorder="1" applyAlignment="1" applyProtection="1">
      <alignment horizontal="left" vertical="center"/>
    </xf>
    <xf numFmtId="0" fontId="23" fillId="0" borderId="0" xfId="20" applyAlignment="1" applyProtection="1">
      <alignment horizontal="left"/>
    </xf>
    <xf numFmtId="0" fontId="24" fillId="0" borderId="158" xfId="0" applyFont="1" applyBorder="1" applyAlignment="1">
      <alignment horizontal="center" vertical="center" wrapText="1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4" fillId="0" borderId="0" xfId="0" applyFont="1" applyAlignment="1" applyProtection="1">
      <alignment vertical="center"/>
      <protection locked="0"/>
    </xf>
    <xf numFmtId="178" fontId="0" fillId="29" borderId="182" xfId="13" applyNumberFormat="1" applyFont="1" applyFill="1" applyBorder="1" applyAlignment="1">
      <alignment vertical="center"/>
    </xf>
    <xf numFmtId="178" fontId="0" fillId="29" borderId="183" xfId="13" applyNumberFormat="1" applyFont="1" applyFill="1" applyBorder="1" applyAlignment="1">
      <alignment vertical="center"/>
    </xf>
    <xf numFmtId="178" fontId="0" fillId="29" borderId="193" xfId="13" applyNumberFormat="1" applyFont="1" applyFill="1" applyBorder="1" applyAlignment="1">
      <alignment vertical="center"/>
    </xf>
    <xf numFmtId="178" fontId="0" fillId="29" borderId="191" xfId="13" applyNumberFormat="1" applyFont="1" applyFill="1" applyBorder="1" applyAlignment="1">
      <alignment vertical="center"/>
    </xf>
    <xf numFmtId="178" fontId="0" fillId="29" borderId="192" xfId="13" applyNumberFormat="1" applyFont="1" applyFill="1" applyBorder="1" applyAlignment="1">
      <alignment vertical="center"/>
    </xf>
    <xf numFmtId="168" fontId="0" fillId="0" borderId="0" xfId="0" applyNumberFormat="1" applyAlignment="1">
      <alignment vertical="center"/>
    </xf>
    <xf numFmtId="168" fontId="14" fillId="0" borderId="0" xfId="0" applyNumberFormat="1" applyFont="1" applyAlignment="1">
      <alignment vertical="center"/>
    </xf>
    <xf numFmtId="0" fontId="0" fillId="12" borderId="237" xfId="0" applyFill="1" applyBorder="1" applyAlignment="1" applyProtection="1">
      <alignment horizontal="left" vertical="center"/>
      <protection locked="0"/>
    </xf>
    <xf numFmtId="168" fontId="0" fillId="12" borderId="210" xfId="13" applyNumberFormat="1" applyFont="1" applyFill="1" applyBorder="1" applyAlignment="1" applyProtection="1">
      <alignment vertical="center"/>
      <protection locked="0"/>
    </xf>
    <xf numFmtId="168" fontId="0" fillId="29" borderId="238" xfId="13" applyNumberFormat="1" applyFont="1" applyFill="1" applyBorder="1" applyAlignment="1">
      <alignment vertical="center"/>
    </xf>
    <xf numFmtId="168" fontId="0" fillId="29" borderId="239" xfId="13" applyNumberFormat="1" applyFont="1" applyFill="1" applyBorder="1" applyAlignment="1">
      <alignment vertical="center"/>
    </xf>
    <xf numFmtId="0" fontId="0" fillId="12" borderId="69" xfId="0" applyFill="1" applyBorder="1" applyAlignment="1" applyProtection="1">
      <alignment horizontal="left" vertical="center"/>
      <protection locked="0"/>
    </xf>
    <xf numFmtId="168" fontId="0" fillId="29" borderId="240" xfId="13" applyNumberFormat="1" applyFont="1" applyFill="1" applyBorder="1" applyAlignment="1">
      <alignment vertical="center"/>
    </xf>
    <xf numFmtId="0" fontId="14" fillId="15" borderId="194" xfId="0" applyFont="1" applyFill="1" applyBorder="1" applyAlignment="1">
      <alignment horizontal="center" vertical="center"/>
    </xf>
    <xf numFmtId="0" fontId="14" fillId="15" borderId="237" xfId="0" applyFont="1" applyFill="1" applyBorder="1" applyAlignment="1">
      <alignment horizontal="center" vertical="center"/>
    </xf>
    <xf numFmtId="177" fontId="25" fillId="26" borderId="107" xfId="0" applyNumberFormat="1" applyFont="1" applyFill="1" applyBorder="1" applyAlignment="1">
      <alignment horizontal="right" vertical="center"/>
    </xf>
    <xf numFmtId="169" fontId="16" fillId="19" borderId="72" xfId="16" applyFont="1" applyFill="1" applyBorder="1" applyAlignment="1">
      <alignment horizontal="center" vertical="center"/>
    </xf>
    <xf numFmtId="177" fontId="25" fillId="26" borderId="74" xfId="0" applyNumberFormat="1" applyFont="1" applyFill="1" applyBorder="1" applyAlignment="1">
      <alignment horizontal="right" vertical="center"/>
    </xf>
    <xf numFmtId="177" fontId="0" fillId="29" borderId="216" xfId="0" applyNumberFormat="1" applyFill="1" applyBorder="1" applyAlignment="1">
      <alignment horizontal="right" vertical="center"/>
    </xf>
    <xf numFmtId="177" fontId="0" fillId="0" borderId="216" xfId="0" applyNumberFormat="1" applyBorder="1" applyAlignment="1">
      <alignment horizontal="right" vertical="center"/>
    </xf>
    <xf numFmtId="0" fontId="0" fillId="12" borderId="244" xfId="0" applyFill="1" applyBorder="1" applyAlignment="1" applyProtection="1">
      <alignment horizontal="left" vertical="center"/>
      <protection locked="0"/>
    </xf>
    <xf numFmtId="0" fontId="0" fillId="12" borderId="244" xfId="0" applyFill="1" applyBorder="1" applyProtection="1">
      <protection locked="0"/>
    </xf>
    <xf numFmtId="0" fontId="0" fillId="12" borderId="245" xfId="0" applyFill="1" applyBorder="1" applyProtection="1">
      <protection locked="0"/>
    </xf>
    <xf numFmtId="178" fontId="0" fillId="12" borderId="199" xfId="13" applyNumberFormat="1" applyFont="1" applyFill="1" applyBorder="1" applyAlignment="1" applyProtection="1">
      <alignment vertical="center"/>
      <protection locked="0"/>
    </xf>
    <xf numFmtId="177" fontId="0" fillId="29" borderId="217" xfId="0" applyNumberFormat="1" applyFill="1" applyBorder="1" applyAlignment="1">
      <alignment horizontal="right" vertical="center"/>
    </xf>
    <xf numFmtId="177" fontId="0" fillId="0" borderId="217" xfId="0" applyNumberFormat="1" applyBorder="1" applyAlignment="1">
      <alignment horizontal="right" vertical="center"/>
    </xf>
    <xf numFmtId="0" fontId="0" fillId="12" borderId="246" xfId="0" applyFill="1" applyBorder="1" applyAlignment="1" applyProtection="1">
      <alignment horizontal="left" vertical="center"/>
      <protection locked="0"/>
    </xf>
    <xf numFmtId="0" fontId="0" fillId="12" borderId="186" xfId="0" applyFill="1" applyBorder="1" applyProtection="1">
      <protection locked="0"/>
    </xf>
    <xf numFmtId="0" fontId="0" fillId="12" borderId="199" xfId="0" applyFill="1" applyBorder="1" applyProtection="1">
      <protection locked="0"/>
    </xf>
    <xf numFmtId="0" fontId="0" fillId="12" borderId="191" xfId="0" applyFill="1" applyBorder="1" applyProtection="1">
      <protection locked="0"/>
    </xf>
    <xf numFmtId="0" fontId="0" fillId="12" borderId="178" xfId="0" applyFill="1" applyBorder="1" applyProtection="1">
      <protection locked="0"/>
    </xf>
    <xf numFmtId="178" fontId="0" fillId="12" borderId="178" xfId="13" applyNumberFormat="1" applyFont="1" applyFill="1" applyBorder="1" applyAlignment="1" applyProtection="1">
      <alignment vertical="center"/>
      <protection locked="0"/>
    </xf>
    <xf numFmtId="177" fontId="0" fillId="29" borderId="218" xfId="0" applyNumberFormat="1" applyFill="1" applyBorder="1" applyAlignment="1">
      <alignment horizontal="right" vertical="center"/>
    </xf>
    <xf numFmtId="177" fontId="0" fillId="0" borderId="218" xfId="0" applyNumberFormat="1" applyBorder="1" applyAlignment="1">
      <alignment horizontal="right" vertical="center"/>
    </xf>
    <xf numFmtId="9" fontId="0" fillId="43" borderId="72" xfId="0" applyNumberFormat="1" applyFill="1" applyBorder="1" applyAlignment="1">
      <alignment horizontal="center" vertical="center"/>
    </xf>
    <xf numFmtId="177" fontId="0" fillId="26" borderId="73" xfId="0" applyNumberFormat="1" applyFill="1" applyBorder="1" applyAlignment="1">
      <alignment horizontal="right" vertical="center"/>
    </xf>
    <xf numFmtId="9" fontId="0" fillId="43" borderId="73" xfId="0" applyNumberFormat="1" applyFill="1" applyBorder="1" applyAlignment="1">
      <alignment horizontal="center" vertical="center"/>
    </xf>
    <xf numFmtId="169" fontId="0" fillId="43" borderId="73" xfId="16" applyFont="1" applyFill="1" applyBorder="1" applyAlignment="1">
      <alignment horizontal="center" vertical="center"/>
    </xf>
    <xf numFmtId="177" fontId="0" fillId="26" borderId="74" xfId="0" applyNumberFormat="1" applyFill="1" applyBorder="1" applyAlignment="1">
      <alignment horizontal="right" vertical="center"/>
    </xf>
    <xf numFmtId="1" fontId="0" fillId="0" borderId="247" xfId="0" applyNumberFormat="1" applyBorder="1" applyAlignment="1">
      <alignment horizontal="center"/>
    </xf>
    <xf numFmtId="1" fontId="0" fillId="0" borderId="234" xfId="0" applyNumberFormat="1" applyBorder="1"/>
    <xf numFmtId="1" fontId="0" fillId="0" borderId="104" xfId="0" applyNumberFormat="1" applyBorder="1" applyAlignment="1">
      <alignment horizontal="center" vertical="center" wrapText="1"/>
    </xf>
    <xf numFmtId="0" fontId="14" fillId="16" borderId="0" xfId="0" applyFont="1" applyFill="1" applyAlignment="1">
      <alignment horizontal="center" vertical="center" wrapText="1"/>
    </xf>
    <xf numFmtId="0" fontId="14" fillId="16" borderId="38" xfId="0" applyFont="1" applyFill="1" applyBorder="1" applyAlignment="1">
      <alignment horizontal="center" vertical="center" wrapText="1"/>
    </xf>
    <xf numFmtId="168" fontId="24" fillId="32" borderId="210" xfId="13" applyNumberFormat="1" applyFont="1" applyFill="1" applyBorder="1" applyAlignment="1">
      <alignment vertical="center" wrapText="1"/>
    </xf>
    <xf numFmtId="168" fontId="0" fillId="10" borderId="243" xfId="13" applyNumberFormat="1" applyFont="1" applyFill="1" applyBorder="1" applyAlignment="1">
      <alignment horizontal="right" vertical="center"/>
    </xf>
    <xf numFmtId="168" fontId="0" fillId="10" borderId="182" xfId="13" applyNumberFormat="1" applyFont="1" applyFill="1" applyBorder="1" applyAlignment="1">
      <alignment horizontal="right" vertical="center"/>
    </xf>
    <xf numFmtId="168" fontId="15" fillId="45" borderId="182" xfId="13" applyNumberFormat="1" applyFill="1" applyBorder="1" applyAlignment="1">
      <alignment vertical="center"/>
    </xf>
    <xf numFmtId="168" fontId="0" fillId="10" borderId="206" xfId="13" applyNumberFormat="1" applyFont="1" applyFill="1" applyBorder="1" applyAlignment="1">
      <alignment horizontal="right" vertical="center"/>
    </xf>
    <xf numFmtId="168" fontId="0" fillId="10" borderId="186" xfId="13" applyNumberFormat="1" applyFont="1" applyFill="1" applyBorder="1" applyAlignment="1">
      <alignment horizontal="right" vertical="center"/>
    </xf>
    <xf numFmtId="173" fontId="0" fillId="45" borderId="186" xfId="12" applyNumberFormat="1" applyFont="1" applyFill="1" applyBorder="1" applyAlignment="1">
      <alignment vertical="center"/>
    </xf>
    <xf numFmtId="168" fontId="14" fillId="40" borderId="206" xfId="13" applyNumberFormat="1" applyFont="1" applyFill="1" applyBorder="1" applyAlignment="1">
      <alignment horizontal="right" vertical="center"/>
    </xf>
    <xf numFmtId="168" fontId="14" fillId="40" borderId="186" xfId="13" applyNumberFormat="1" applyFont="1" applyFill="1" applyBorder="1" applyAlignment="1">
      <alignment horizontal="right" vertical="center"/>
    </xf>
    <xf numFmtId="168" fontId="14" fillId="40" borderId="186" xfId="13" applyNumberFormat="1" applyFont="1" applyFill="1" applyBorder="1" applyAlignment="1">
      <alignment vertical="center"/>
    </xf>
    <xf numFmtId="168" fontId="14" fillId="40" borderId="188" xfId="13" applyNumberFormat="1" applyFont="1" applyFill="1" applyBorder="1" applyAlignment="1">
      <alignment horizontal="right" vertical="center"/>
    </xf>
    <xf numFmtId="168" fontId="15" fillId="45" borderId="186" xfId="13" applyNumberFormat="1" applyFill="1" applyBorder="1" applyAlignment="1">
      <alignment vertical="center"/>
    </xf>
    <xf numFmtId="168" fontId="24" fillId="32" borderId="191" xfId="13" applyNumberFormat="1" applyFont="1" applyFill="1" applyBorder="1" applyAlignment="1">
      <alignment vertical="center" wrapText="1"/>
    </xf>
    <xf numFmtId="168" fontId="24" fillId="32" borderId="192" xfId="13" applyNumberFormat="1" applyFont="1" applyFill="1" applyBorder="1" applyAlignment="1">
      <alignment vertical="center" wrapText="1"/>
    </xf>
    <xf numFmtId="168" fontId="24" fillId="32" borderId="186" xfId="13" applyNumberFormat="1" applyFont="1" applyFill="1" applyBorder="1" applyAlignment="1">
      <alignment vertical="center" wrapText="1"/>
    </xf>
    <xf numFmtId="168" fontId="24" fillId="32" borderId="235" xfId="13" applyNumberFormat="1" applyFont="1" applyFill="1" applyBorder="1" applyAlignment="1">
      <alignment vertical="center" wrapText="1"/>
    </xf>
    <xf numFmtId="168" fontId="24" fillId="32" borderId="73" xfId="13" applyNumberFormat="1" applyFont="1" applyFill="1" applyBorder="1" applyAlignment="1">
      <alignment vertical="center" wrapText="1"/>
    </xf>
    <xf numFmtId="168" fontId="24" fillId="32" borderId="74" xfId="13" applyNumberFormat="1" applyFont="1" applyFill="1" applyBorder="1" applyAlignment="1">
      <alignment vertical="center" wrapText="1"/>
    </xf>
    <xf numFmtId="168" fontId="24" fillId="32" borderId="44" xfId="13" applyNumberFormat="1" applyFont="1" applyFill="1" applyBorder="1" applyAlignment="1">
      <alignment vertical="center" wrapText="1"/>
    </xf>
    <xf numFmtId="168" fontId="24" fillId="32" borderId="76" xfId="13" applyNumberFormat="1" applyFont="1" applyFill="1" applyBorder="1" applyAlignment="1">
      <alignment vertical="center" wrapText="1"/>
    </xf>
    <xf numFmtId="168" fontId="24" fillId="32" borderId="140" xfId="13" applyNumberFormat="1" applyFont="1" applyFill="1" applyBorder="1" applyAlignment="1">
      <alignment vertical="center" wrapText="1"/>
    </xf>
    <xf numFmtId="168" fontId="24" fillId="32" borderId="193" xfId="13" applyNumberFormat="1" applyFont="1" applyFill="1" applyBorder="1" applyAlignment="1">
      <alignment vertical="center" wrapText="1"/>
    </xf>
    <xf numFmtId="168" fontId="24" fillId="32" borderId="72" xfId="13" applyNumberFormat="1" applyFont="1" applyFill="1" applyBorder="1" applyAlignment="1">
      <alignment vertical="center" wrapText="1"/>
    </xf>
    <xf numFmtId="168" fontId="14" fillId="35" borderId="253" xfId="0" applyNumberFormat="1" applyFont="1" applyFill="1" applyBorder="1" applyAlignment="1">
      <alignment horizontal="center" vertical="center" wrapText="1"/>
    </xf>
    <xf numFmtId="168" fontId="14" fillId="35" borderId="255" xfId="0" applyNumberFormat="1" applyFont="1" applyFill="1" applyBorder="1" applyAlignment="1">
      <alignment horizontal="center" vertical="center" wrapText="1"/>
    </xf>
    <xf numFmtId="168" fontId="14" fillId="35" borderId="256" xfId="0" applyNumberFormat="1" applyFont="1" applyFill="1" applyBorder="1" applyAlignment="1">
      <alignment horizontal="center" vertical="center" wrapText="1"/>
    </xf>
    <xf numFmtId="168" fontId="15" fillId="0" borderId="186" xfId="13" applyNumberFormat="1" applyBorder="1" applyAlignment="1">
      <alignment vertical="center"/>
    </xf>
    <xf numFmtId="173" fontId="0" fillId="0" borderId="186" xfId="12" applyNumberFormat="1" applyFont="1" applyBorder="1" applyAlignment="1">
      <alignment vertical="center"/>
    </xf>
    <xf numFmtId="168" fontId="0" fillId="0" borderId="186" xfId="13" applyNumberFormat="1" applyFont="1" applyBorder="1" applyAlignment="1">
      <alignment vertical="center"/>
    </xf>
    <xf numFmtId="168" fontId="15" fillId="0" borderId="182" xfId="13" applyNumberFormat="1" applyBorder="1" applyAlignment="1">
      <alignment vertical="center"/>
    </xf>
    <xf numFmtId="168" fontId="15" fillId="0" borderId="183" xfId="13" applyNumberFormat="1" applyBorder="1" applyAlignment="1">
      <alignment vertical="center"/>
    </xf>
    <xf numFmtId="173" fontId="0" fillId="0" borderId="188" xfId="12" applyNumberFormat="1" applyFont="1" applyBorder="1" applyAlignment="1">
      <alignment vertical="center"/>
    </xf>
    <xf numFmtId="168" fontId="14" fillId="40" borderId="188" xfId="13" applyNumberFormat="1" applyFont="1" applyFill="1" applyBorder="1" applyAlignment="1">
      <alignment vertical="center"/>
    </xf>
    <xf numFmtId="168" fontId="24" fillId="32" borderId="188" xfId="13" applyNumberFormat="1" applyFont="1" applyFill="1" applyBorder="1" applyAlignment="1">
      <alignment vertical="center" wrapText="1"/>
    </xf>
    <xf numFmtId="168" fontId="0" fillId="0" borderId="249" xfId="0" applyNumberFormat="1" applyBorder="1" applyAlignment="1">
      <alignment vertical="center"/>
    </xf>
    <xf numFmtId="168" fontId="0" fillId="0" borderId="199" xfId="0" applyNumberFormat="1" applyBorder="1" applyAlignment="1">
      <alignment vertical="center"/>
    </xf>
    <xf numFmtId="168" fontId="14" fillId="40" borderId="199" xfId="0" applyNumberFormat="1" applyFont="1" applyFill="1" applyBorder="1" applyAlignment="1">
      <alignment vertical="center"/>
    </xf>
    <xf numFmtId="168" fontId="0" fillId="0" borderId="250" xfId="0" applyNumberFormat="1" applyBorder="1" applyAlignment="1">
      <alignment vertical="center"/>
    </xf>
    <xf numFmtId="168" fontId="15" fillId="0" borderId="248" xfId="13" applyNumberFormat="1" applyBorder="1" applyAlignment="1">
      <alignment vertical="center"/>
    </xf>
    <xf numFmtId="173" fontId="0" fillId="0" borderId="187" xfId="12" applyNumberFormat="1" applyFont="1" applyBorder="1" applyAlignment="1">
      <alignment vertical="center"/>
    </xf>
    <xf numFmtId="168" fontId="14" fillId="40" borderId="187" xfId="13" applyNumberFormat="1" applyFont="1" applyFill="1" applyBorder="1" applyAlignment="1">
      <alignment vertical="center"/>
    </xf>
    <xf numFmtId="168" fontId="15" fillId="0" borderId="187" xfId="13" applyNumberFormat="1" applyBorder="1" applyAlignment="1">
      <alignment vertical="center"/>
    </xf>
    <xf numFmtId="168" fontId="15" fillId="0" borderId="188" xfId="13" applyNumberFormat="1" applyBorder="1" applyAlignment="1">
      <alignment vertical="center"/>
    </xf>
    <xf numFmtId="168" fontId="24" fillId="32" borderId="187" xfId="13" applyNumberFormat="1" applyFont="1" applyFill="1" applyBorder="1" applyAlignment="1">
      <alignment vertical="center" wrapText="1"/>
    </xf>
    <xf numFmtId="168" fontId="0" fillId="0" borderId="187" xfId="13" applyNumberFormat="1" applyFont="1" applyBorder="1" applyAlignment="1">
      <alignment vertical="center"/>
    </xf>
    <xf numFmtId="168" fontId="15" fillId="0" borderId="249" xfId="13" applyNumberFormat="1" applyBorder="1" applyAlignment="1">
      <alignment vertical="center"/>
    </xf>
    <xf numFmtId="173" fontId="0" fillId="0" borderId="199" xfId="12" applyNumberFormat="1" applyFont="1" applyBorder="1" applyAlignment="1">
      <alignment vertical="center"/>
    </xf>
    <xf numFmtId="168" fontId="14" fillId="40" borderId="199" xfId="13" applyNumberFormat="1" applyFont="1" applyFill="1" applyBorder="1" applyAlignment="1">
      <alignment vertical="center"/>
    </xf>
    <xf numFmtId="168" fontId="0" fillId="0" borderId="199" xfId="13" applyNumberFormat="1" applyFont="1" applyBorder="1" applyAlignment="1">
      <alignment vertical="center"/>
    </xf>
    <xf numFmtId="168" fontId="0" fillId="10" borderId="21" xfId="13" applyNumberFormat="1" applyFont="1" applyFill="1" applyBorder="1" applyAlignment="1">
      <alignment horizontal="right" vertical="center"/>
    </xf>
    <xf numFmtId="168" fontId="0" fillId="10" borderId="244" xfId="13" applyNumberFormat="1" applyFont="1" applyFill="1" applyBorder="1" applyAlignment="1">
      <alignment horizontal="right" vertical="center"/>
    </xf>
    <xf numFmtId="168" fontId="15" fillId="45" borderId="244" xfId="13" applyNumberFormat="1" applyFill="1" applyBorder="1" applyAlignment="1">
      <alignment vertical="center"/>
    </xf>
    <xf numFmtId="168" fontId="15" fillId="43" borderId="186" xfId="13" applyNumberFormat="1" applyFill="1" applyBorder="1" applyAlignment="1">
      <alignment vertical="center"/>
    </xf>
    <xf numFmtId="173" fontId="0" fillId="12" borderId="186" xfId="12" applyNumberFormat="1" applyFont="1" applyFill="1" applyBorder="1" applyAlignment="1" applyProtection="1">
      <alignment vertical="center"/>
      <protection locked="0"/>
    </xf>
    <xf numFmtId="168" fontId="0" fillId="10" borderId="248" xfId="13" applyNumberFormat="1" applyFont="1" applyFill="1" applyBorder="1" applyAlignment="1">
      <alignment horizontal="right" vertical="center"/>
    </xf>
    <xf numFmtId="168" fontId="15" fillId="43" borderId="182" xfId="13" applyNumberFormat="1" applyFill="1" applyBorder="1" applyAlignment="1">
      <alignment vertical="center"/>
    </xf>
    <xf numFmtId="168" fontId="0" fillId="10" borderId="187" xfId="13" applyNumberFormat="1" applyFont="1" applyFill="1" applyBorder="1" applyAlignment="1">
      <alignment horizontal="right" vertical="center"/>
    </xf>
    <xf numFmtId="168" fontId="14" fillId="40" borderId="187" xfId="13" applyNumberFormat="1" applyFont="1" applyFill="1" applyBorder="1" applyAlignment="1">
      <alignment horizontal="right" vertical="center"/>
    </xf>
    <xf numFmtId="178" fontId="15" fillId="29" borderId="273" xfId="13" applyNumberFormat="1" applyFill="1" applyBorder="1" applyAlignment="1">
      <alignment vertical="center"/>
    </xf>
    <xf numFmtId="168" fontId="0" fillId="62" borderId="242" xfId="13" applyNumberFormat="1" applyFont="1" applyFill="1" applyBorder="1" applyAlignment="1">
      <alignment vertical="center"/>
    </xf>
    <xf numFmtId="0" fontId="2" fillId="43" borderId="0" xfId="79" applyFill="1"/>
    <xf numFmtId="0" fontId="38" fillId="85" borderId="275" xfId="79" applyFont="1" applyFill="1" applyBorder="1" applyAlignment="1">
      <alignment horizontal="center" vertical="center"/>
    </xf>
    <xf numFmtId="0" fontId="38" fillId="86" borderId="275" xfId="79" applyFont="1" applyFill="1" applyBorder="1" applyAlignment="1">
      <alignment horizontal="center" vertical="center" wrapText="1"/>
    </xf>
    <xf numFmtId="0" fontId="38" fillId="43" borderId="0" xfId="79" applyFont="1" applyFill="1" applyAlignment="1">
      <alignment horizontal="right"/>
    </xf>
    <xf numFmtId="1" fontId="39" fillId="43" borderId="275" xfId="80" applyNumberFormat="1" applyFont="1" applyFill="1" applyBorder="1" applyAlignment="1">
      <alignment horizontal="center" vertical="center"/>
    </xf>
    <xf numFmtId="1" fontId="39" fillId="43" borderId="0" xfId="80" applyNumberFormat="1" applyFont="1" applyFill="1" applyBorder="1" applyAlignment="1">
      <alignment horizontal="center" vertical="center"/>
    </xf>
    <xf numFmtId="0" fontId="38" fillId="47" borderId="0" xfId="79" applyFont="1" applyFill="1" applyAlignment="1">
      <alignment horizontal="left" vertical="center" indent="1"/>
    </xf>
    <xf numFmtId="0" fontId="2" fillId="43" borderId="0" xfId="79" applyFill="1" applyAlignment="1">
      <alignment horizontal="left" indent="2"/>
    </xf>
    <xf numFmtId="189" fontId="2" fillId="43" borderId="0" xfId="79" applyNumberFormat="1" applyFill="1"/>
    <xf numFmtId="189" fontId="38" fillId="43" borderId="0" xfId="79" applyNumberFormat="1" applyFont="1" applyFill="1"/>
    <xf numFmtId="0" fontId="38" fillId="85" borderId="186" xfId="79" applyFont="1" applyFill="1" applyBorder="1" applyAlignment="1">
      <alignment horizontal="left" indent="2"/>
    </xf>
    <xf numFmtId="189" fontId="38" fillId="85" borderId="186" xfId="79" applyNumberFormat="1" applyFont="1" applyFill="1" applyBorder="1"/>
    <xf numFmtId="0" fontId="38" fillId="43" borderId="0" xfId="79" applyFont="1" applyFill="1" applyAlignment="1">
      <alignment horizontal="left" indent="2"/>
    </xf>
    <xf numFmtId="0" fontId="14" fillId="16" borderId="203" xfId="0" applyFont="1" applyFill="1" applyBorder="1" applyAlignment="1">
      <alignment horizontal="center" vertical="center" wrapText="1"/>
    </xf>
    <xf numFmtId="170" fontId="0" fillId="12" borderId="243" xfId="13" applyNumberFormat="1" applyFont="1" applyFill="1" applyBorder="1" applyAlignment="1" applyProtection="1">
      <alignment horizontal="center" vertical="center"/>
      <protection locked="0"/>
    </xf>
    <xf numFmtId="170" fontId="0" fillId="12" borderId="205" xfId="13" applyNumberFormat="1" applyFont="1" applyFill="1" applyBorder="1" applyAlignment="1" applyProtection="1">
      <alignment horizontal="center" vertical="center"/>
      <protection locked="0"/>
    </xf>
    <xf numFmtId="178" fontId="0" fillId="67" borderId="186" xfId="13" applyNumberFormat="1" applyFont="1" applyFill="1" applyBorder="1" applyAlignment="1">
      <alignment vertical="center"/>
    </xf>
    <xf numFmtId="178" fontId="0" fillId="46" borderId="248" xfId="13" applyNumberFormat="1" applyFont="1" applyFill="1" applyBorder="1" applyAlignment="1">
      <alignment vertical="center"/>
    </xf>
    <xf numFmtId="178" fontId="0" fillId="46" borderId="182" xfId="13" applyNumberFormat="1" applyFont="1" applyFill="1" applyBorder="1" applyAlignment="1">
      <alignment vertical="center"/>
    </xf>
    <xf numFmtId="178" fontId="0" fillId="46" borderId="183" xfId="13" applyNumberFormat="1" applyFont="1" applyFill="1" applyBorder="1" applyAlignment="1">
      <alignment vertical="center"/>
    </xf>
    <xf numFmtId="178" fontId="0" fillId="67" borderId="188" xfId="13" applyNumberFormat="1" applyFont="1" applyFill="1" applyBorder="1" applyAlignment="1">
      <alignment vertical="center"/>
    </xf>
    <xf numFmtId="178" fontId="15" fillId="46" borderId="193" xfId="13" applyNumberFormat="1" applyFill="1" applyBorder="1" applyAlignment="1">
      <alignment vertical="center"/>
    </xf>
    <xf numFmtId="178" fontId="15" fillId="46" borderId="191" xfId="13" applyNumberFormat="1" applyFill="1" applyBorder="1" applyAlignment="1">
      <alignment vertical="center"/>
    </xf>
    <xf numFmtId="178" fontId="15" fillId="46" borderId="192" xfId="13" applyNumberFormat="1" applyFill="1" applyBorder="1" applyAlignment="1">
      <alignment vertical="center"/>
    </xf>
    <xf numFmtId="0" fontId="0" fillId="46" borderId="276" xfId="0" applyFill="1" applyBorder="1" applyAlignment="1">
      <alignment horizontal="left" vertical="center"/>
    </xf>
    <xf numFmtId="0" fontId="0" fillId="46" borderId="178" xfId="0" applyFill="1" applyBorder="1" applyAlignment="1">
      <alignment horizontal="left" vertical="center"/>
    </xf>
    <xf numFmtId="178" fontId="0" fillId="46" borderId="278" xfId="13" applyNumberFormat="1" applyFont="1" applyFill="1" applyBorder="1" applyAlignment="1">
      <alignment vertical="center"/>
    </xf>
    <xf numFmtId="178" fontId="0" fillId="46" borderId="270" xfId="13" applyNumberFormat="1" applyFont="1" applyFill="1" applyBorder="1" applyAlignment="1">
      <alignment vertical="center"/>
    </xf>
    <xf numFmtId="178" fontId="0" fillId="46" borderId="279" xfId="13" applyNumberFormat="1" applyFont="1" applyFill="1" applyBorder="1" applyAlignment="1">
      <alignment vertical="center"/>
    </xf>
    <xf numFmtId="0" fontId="0" fillId="46" borderId="183" xfId="0" applyFill="1" applyBorder="1" applyAlignment="1">
      <alignment horizontal="left" vertical="center"/>
    </xf>
    <xf numFmtId="0" fontId="0" fillId="46" borderId="279" xfId="0" applyFill="1" applyBorder="1" applyAlignment="1">
      <alignment horizontal="left" vertical="center"/>
    </xf>
    <xf numFmtId="168" fontId="14" fillId="35" borderId="280" xfId="0" applyNumberFormat="1" applyFont="1" applyFill="1" applyBorder="1" applyAlignment="1">
      <alignment horizontal="center" vertical="center" wrapText="1"/>
    </xf>
    <xf numFmtId="168" fontId="14" fillId="35" borderId="219" xfId="0" applyNumberFormat="1" applyFont="1" applyFill="1" applyBorder="1" applyAlignment="1">
      <alignment horizontal="center" vertical="center" wrapText="1"/>
    </xf>
    <xf numFmtId="168" fontId="14" fillId="35" borderId="210" xfId="0" applyNumberFormat="1" applyFont="1" applyFill="1" applyBorder="1" applyAlignment="1">
      <alignment horizontal="center" vertical="center" wrapText="1"/>
    </xf>
    <xf numFmtId="178" fontId="0" fillId="29" borderId="248" xfId="13" applyNumberFormat="1" applyFont="1" applyFill="1" applyBorder="1" applyAlignment="1">
      <alignment vertical="center"/>
    </xf>
    <xf numFmtId="178" fontId="0" fillId="29" borderId="283" xfId="13" applyNumberFormat="1" applyFont="1" applyFill="1" applyBorder="1" applyAlignment="1">
      <alignment vertical="center"/>
    </xf>
    <xf numFmtId="178" fontId="0" fillId="29" borderId="285" xfId="13" applyNumberFormat="1" applyFont="1" applyFill="1" applyBorder="1" applyAlignment="1">
      <alignment vertical="center"/>
    </xf>
    <xf numFmtId="178" fontId="0" fillId="29" borderId="284" xfId="13" applyNumberFormat="1" applyFont="1" applyFill="1" applyBorder="1" applyAlignment="1">
      <alignment vertical="center"/>
    </xf>
    <xf numFmtId="178" fontId="0" fillId="29" borderId="273" xfId="13" applyNumberFormat="1" applyFont="1" applyFill="1" applyBorder="1" applyAlignment="1">
      <alignment vertical="center"/>
    </xf>
    <xf numFmtId="0" fontId="0" fillId="46" borderId="199" xfId="0" applyFill="1" applyBorder="1" applyAlignment="1">
      <alignment horizontal="left" vertical="center"/>
    </xf>
    <xf numFmtId="0" fontId="0" fillId="46" borderId="286" xfId="0" applyFill="1" applyBorder="1" applyAlignment="1">
      <alignment horizontal="left" vertical="center"/>
    </xf>
    <xf numFmtId="170" fontId="0" fillId="12" borderId="21" xfId="13" applyNumberFormat="1" applyFont="1" applyFill="1" applyBorder="1" applyAlignment="1" applyProtection="1">
      <alignment horizontal="center" vertical="center"/>
      <protection locked="0"/>
    </xf>
    <xf numFmtId="170" fontId="0" fillId="12" borderId="206" xfId="13" applyNumberFormat="1" applyFont="1" applyFill="1" applyBorder="1" applyAlignment="1" applyProtection="1">
      <alignment horizontal="center" vertical="center"/>
      <protection locked="0"/>
    </xf>
    <xf numFmtId="178" fontId="0" fillId="46" borderId="283" xfId="13" applyNumberFormat="1" applyFont="1" applyFill="1" applyBorder="1" applyAlignment="1">
      <alignment vertical="center"/>
    </xf>
    <xf numFmtId="178" fontId="0" fillId="46" borderId="285" xfId="13" applyNumberFormat="1" applyFont="1" applyFill="1" applyBorder="1" applyAlignment="1">
      <alignment vertical="center"/>
    </xf>
    <xf numFmtId="178" fontId="0" fillId="46" borderId="284" xfId="13" applyNumberFormat="1" applyFont="1" applyFill="1" applyBorder="1" applyAlignment="1">
      <alignment vertical="center"/>
    </xf>
    <xf numFmtId="168" fontId="14" fillId="35" borderId="103" xfId="0" applyNumberFormat="1" applyFont="1" applyFill="1" applyBorder="1" applyAlignment="1">
      <alignment horizontal="center" vertical="center" wrapText="1"/>
    </xf>
    <xf numFmtId="179" fontId="0" fillId="12" borderId="276" xfId="13" applyNumberFormat="1" applyFont="1" applyFill="1" applyBorder="1" applyAlignment="1" applyProtection="1">
      <alignment horizontal="center" vertical="center"/>
      <protection locked="0"/>
    </xf>
    <xf numFmtId="179" fontId="0" fillId="12" borderId="178" xfId="13" applyNumberFormat="1" applyFont="1" applyFill="1" applyBorder="1" applyAlignment="1" applyProtection="1">
      <alignment horizontal="center" vertical="center"/>
      <protection locked="0"/>
    </xf>
    <xf numFmtId="179" fontId="0" fillId="12" borderId="286" xfId="13" applyNumberFormat="1" applyFont="1" applyFill="1" applyBorder="1" applyAlignment="1" applyProtection="1">
      <alignment horizontal="center" vertical="center"/>
      <protection locked="0"/>
    </xf>
    <xf numFmtId="0" fontId="0" fillId="0" borderId="204" xfId="0" applyBorder="1" applyAlignment="1">
      <alignment horizontal="left" vertical="center"/>
    </xf>
    <xf numFmtId="0" fontId="0" fillId="0" borderId="224" xfId="0" applyBorder="1" applyAlignment="1">
      <alignment horizontal="left" vertical="center"/>
    </xf>
    <xf numFmtId="0" fontId="0" fillId="0" borderId="261" xfId="0" applyBorder="1" applyAlignment="1">
      <alignment horizontal="left" vertical="center"/>
    </xf>
    <xf numFmtId="0" fontId="0" fillId="0" borderId="195" xfId="0" applyBorder="1" applyAlignment="1">
      <alignment horizontal="left" vertical="center"/>
    </xf>
    <xf numFmtId="0" fontId="0" fillId="0" borderId="196" xfId="0" applyBorder="1" applyAlignment="1">
      <alignment horizontal="left" vertical="center"/>
    </xf>
    <xf numFmtId="0" fontId="0" fillId="0" borderId="19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23" xfId="0" applyBorder="1" applyAlignment="1">
      <alignment horizontal="left" vertical="center"/>
    </xf>
    <xf numFmtId="168" fontId="14" fillId="35" borderId="289" xfId="0" applyNumberFormat="1" applyFont="1" applyFill="1" applyBorder="1" applyAlignment="1">
      <alignment horizontal="center" vertical="center" wrapText="1"/>
    </xf>
    <xf numFmtId="179" fontId="0" fillId="12" borderId="248" xfId="13" applyNumberFormat="1" applyFont="1" applyFill="1" applyBorder="1" applyAlignment="1" applyProtection="1">
      <alignment horizontal="center" vertical="center"/>
      <protection locked="0"/>
    </xf>
    <xf numFmtId="179" fontId="0" fillId="12" borderId="193" xfId="13" applyNumberFormat="1" applyFont="1" applyFill="1" applyBorder="1" applyAlignment="1" applyProtection="1">
      <alignment horizontal="center" vertical="center"/>
      <protection locked="0"/>
    </xf>
    <xf numFmtId="179" fontId="0" fillId="12" borderId="131" xfId="13" applyNumberFormat="1" applyFont="1" applyFill="1" applyBorder="1" applyAlignment="1" applyProtection="1">
      <alignment horizontal="center" vertical="center"/>
      <protection locked="0"/>
    </xf>
    <xf numFmtId="179" fontId="0" fillId="12" borderId="285" xfId="13" applyNumberFormat="1" applyFont="1" applyFill="1" applyBorder="1" applyAlignment="1" applyProtection="1">
      <alignment horizontal="center" vertical="center"/>
      <protection locked="0"/>
    </xf>
    <xf numFmtId="179" fontId="14" fillId="29" borderId="216" xfId="0" applyNumberFormat="1" applyFont="1" applyFill="1" applyBorder="1" applyAlignment="1">
      <alignment horizontal="center" vertical="center"/>
    </xf>
    <xf numFmtId="179" fontId="14" fillId="66" borderId="217" xfId="0" applyNumberFormat="1" applyFont="1" applyFill="1" applyBorder="1" applyAlignment="1">
      <alignment horizontal="center" vertical="center"/>
    </xf>
    <xf numFmtId="179" fontId="14" fillId="29" borderId="218" xfId="0" applyNumberFormat="1" applyFont="1" applyFill="1" applyBorder="1" applyAlignment="1">
      <alignment horizontal="center" vertical="center"/>
    </xf>
    <xf numFmtId="179" fontId="14" fillId="29" borderId="287" xfId="0" applyNumberFormat="1" applyFont="1" applyFill="1" applyBorder="1" applyAlignment="1">
      <alignment horizontal="center" vertical="center"/>
    </xf>
    <xf numFmtId="179" fontId="14" fillId="57" borderId="217" xfId="0" applyNumberFormat="1" applyFont="1" applyFill="1" applyBorder="1" applyAlignment="1">
      <alignment horizontal="center" vertical="center"/>
    </xf>
    <xf numFmtId="179" fontId="14" fillId="29" borderId="10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9" fontId="0" fillId="26" borderId="183" xfId="0" applyNumberFormat="1" applyFill="1" applyBorder="1" applyAlignment="1">
      <alignment horizontal="center" vertical="center"/>
    </xf>
    <xf numFmtId="9" fontId="0" fillId="26" borderId="188" xfId="0" applyNumberFormat="1" applyFill="1" applyBorder="1" applyAlignment="1">
      <alignment horizontal="center" vertical="center"/>
    </xf>
    <xf numFmtId="9" fontId="0" fillId="26" borderId="192" xfId="0" applyNumberFormat="1" applyFill="1" applyBorder="1" applyAlignment="1">
      <alignment horizontal="center" vertical="center"/>
    </xf>
    <xf numFmtId="168" fontId="0" fillId="29" borderId="131" xfId="13" applyNumberFormat="1" applyFont="1" applyFill="1" applyBorder="1" applyAlignment="1">
      <alignment vertical="center"/>
    </xf>
    <xf numFmtId="168" fontId="0" fillId="29" borderId="285" xfId="13" applyNumberFormat="1" applyFont="1" applyFill="1" applyBorder="1" applyAlignment="1">
      <alignment vertical="center"/>
    </xf>
    <xf numFmtId="168" fontId="0" fillId="29" borderId="284" xfId="13" applyNumberFormat="1" applyFont="1" applyFill="1" applyBorder="1" applyAlignment="1">
      <alignment vertical="center"/>
    </xf>
    <xf numFmtId="168" fontId="0" fillId="29" borderId="193" xfId="13" applyNumberFormat="1" applyFont="1" applyFill="1" applyBorder="1" applyAlignment="1">
      <alignment vertical="center"/>
    </xf>
    <xf numFmtId="168" fontId="0" fillId="29" borderId="191" xfId="13" applyNumberFormat="1" applyFont="1" applyFill="1" applyBorder="1" applyAlignment="1">
      <alignment vertical="center"/>
    </xf>
    <xf numFmtId="168" fontId="0" fillId="29" borderId="192" xfId="13" applyNumberFormat="1" applyFont="1" applyFill="1" applyBorder="1" applyAlignment="1">
      <alignment vertical="center"/>
    </xf>
    <xf numFmtId="177" fontId="24" fillId="28" borderId="66" xfId="0" applyNumberFormat="1" applyFont="1" applyFill="1" applyBorder="1" applyAlignment="1">
      <alignment horizontal="center" vertical="center"/>
    </xf>
    <xf numFmtId="178" fontId="0" fillId="62" borderId="191" xfId="13" applyNumberFormat="1" applyFont="1" applyFill="1" applyBorder="1" applyAlignment="1">
      <alignment vertical="center"/>
    </xf>
    <xf numFmtId="177" fontId="0" fillId="29" borderId="276" xfId="0" applyNumberFormat="1" applyFill="1" applyBorder="1" applyAlignment="1">
      <alignment horizontal="right" vertical="center"/>
    </xf>
    <xf numFmtId="177" fontId="0" fillId="29" borderId="178" xfId="0" applyNumberFormat="1" applyFill="1" applyBorder="1" applyAlignment="1">
      <alignment horizontal="right" vertical="center"/>
    </xf>
    <xf numFmtId="177" fontId="0" fillId="62" borderId="276" xfId="0" applyNumberFormat="1" applyFill="1" applyBorder="1" applyAlignment="1">
      <alignment horizontal="right" vertical="center"/>
    </xf>
    <xf numFmtId="177" fontId="0" fillId="62" borderId="178" xfId="0" applyNumberFormat="1" applyFill="1" applyBorder="1" applyAlignment="1">
      <alignment horizontal="right" vertical="center"/>
    </xf>
    <xf numFmtId="168" fontId="0" fillId="68" borderId="13" xfId="13" applyNumberFormat="1" applyFont="1" applyFill="1" applyBorder="1" applyAlignment="1">
      <alignment vertical="center"/>
    </xf>
    <xf numFmtId="168" fontId="0" fillId="68" borderId="55" xfId="13" applyNumberFormat="1" applyFont="1" applyFill="1" applyBorder="1" applyAlignment="1">
      <alignment vertical="center"/>
    </xf>
    <xf numFmtId="168" fontId="0" fillId="68" borderId="56" xfId="13" applyNumberFormat="1" applyFont="1" applyFill="1" applyBorder="1" applyAlignment="1">
      <alignment vertical="center"/>
    </xf>
    <xf numFmtId="168" fontId="14" fillId="68" borderId="24" xfId="13" applyNumberFormat="1" applyFont="1" applyFill="1" applyBorder="1" applyAlignment="1">
      <alignment vertical="center"/>
    </xf>
    <xf numFmtId="168" fontId="0" fillId="88" borderId="16" xfId="13" applyNumberFormat="1" applyFont="1" applyFill="1" applyBorder="1" applyAlignment="1">
      <alignment vertical="center"/>
    </xf>
    <xf numFmtId="168" fontId="0" fillId="88" borderId="6" xfId="13" applyNumberFormat="1" applyFont="1" applyFill="1" applyBorder="1" applyAlignment="1">
      <alignment vertical="center"/>
    </xf>
    <xf numFmtId="168" fontId="14" fillId="88" borderId="3" xfId="13" applyNumberFormat="1" applyFont="1" applyFill="1" applyBorder="1" applyAlignment="1">
      <alignment vertical="center"/>
    </xf>
    <xf numFmtId="168" fontId="14" fillId="1" borderId="3" xfId="13" applyNumberFormat="1" applyFont="1" applyFill="1" applyBorder="1" applyAlignment="1">
      <alignment vertical="center"/>
    </xf>
    <xf numFmtId="168" fontId="14" fillId="89" borderId="186" xfId="13" applyNumberFormat="1" applyFont="1" applyFill="1" applyBorder="1" applyAlignment="1">
      <alignment vertical="center"/>
    </xf>
    <xf numFmtId="168" fontId="24" fillId="73" borderId="235" xfId="13" applyNumberFormat="1" applyFont="1" applyFill="1" applyBorder="1" applyAlignment="1">
      <alignment vertical="center" wrapText="1"/>
    </xf>
    <xf numFmtId="168" fontId="14" fillId="89" borderId="206" xfId="13" applyNumberFormat="1" applyFont="1" applyFill="1" applyBorder="1" applyAlignment="1">
      <alignment horizontal="right" vertical="center"/>
    </xf>
    <xf numFmtId="168" fontId="24" fillId="73" borderId="193" xfId="13" applyNumberFormat="1" applyFont="1" applyFill="1" applyBorder="1" applyAlignment="1">
      <alignment vertical="center" wrapText="1"/>
    </xf>
    <xf numFmtId="0" fontId="0" fillId="61" borderId="191" xfId="0" applyFill="1" applyBorder="1" applyAlignment="1">
      <alignment horizontal="left" vertical="center"/>
    </xf>
    <xf numFmtId="178" fontId="0" fillId="61" borderId="191" xfId="13" applyNumberFormat="1" applyFont="1" applyFill="1" applyBorder="1" applyAlignment="1">
      <alignment vertical="center"/>
    </xf>
    <xf numFmtId="179" fontId="0" fillId="12" borderId="273" xfId="13" applyNumberFormat="1" applyFont="1" applyFill="1" applyBorder="1" applyAlignment="1" applyProtection="1">
      <alignment horizontal="center" vertical="center"/>
      <protection locked="0"/>
    </xf>
    <xf numFmtId="179" fontId="0" fillId="12" borderId="186" xfId="13" applyNumberFormat="1" applyFont="1" applyFill="1" applyBorder="1" applyAlignment="1" applyProtection="1">
      <alignment horizontal="center" vertical="center"/>
      <protection locked="0"/>
    </xf>
    <xf numFmtId="179" fontId="0" fillId="12" borderId="199" xfId="13" applyNumberFormat="1" applyFont="1" applyFill="1" applyBorder="1" applyAlignment="1" applyProtection="1">
      <alignment horizontal="center" vertical="center"/>
      <protection locked="0"/>
    </xf>
    <xf numFmtId="168" fontId="24" fillId="32" borderId="278" xfId="13" applyNumberFormat="1" applyFont="1" applyFill="1" applyBorder="1" applyAlignment="1">
      <alignment vertical="center" wrapText="1"/>
    </xf>
    <xf numFmtId="168" fontId="24" fillId="32" borderId="270" xfId="13" applyNumberFormat="1" applyFont="1" applyFill="1" applyBorder="1" applyAlignment="1">
      <alignment vertical="center" wrapText="1"/>
    </xf>
    <xf numFmtId="168" fontId="24" fillId="32" borderId="279" xfId="13" applyNumberFormat="1" applyFont="1" applyFill="1" applyBorder="1" applyAlignment="1">
      <alignment vertical="center" wrapText="1"/>
    </xf>
    <xf numFmtId="168" fontId="15" fillId="0" borderId="283" xfId="13" applyNumberFormat="1" applyBorder="1" applyAlignment="1">
      <alignment vertical="center"/>
    </xf>
    <xf numFmtId="168" fontId="15" fillId="0" borderId="285" xfId="13" applyNumberFormat="1" applyBorder="1" applyAlignment="1">
      <alignment vertical="center"/>
    </xf>
    <xf numFmtId="168" fontId="15" fillId="0" borderId="284" xfId="13" applyNumberFormat="1" applyBorder="1" applyAlignment="1">
      <alignment vertical="center"/>
    </xf>
    <xf numFmtId="168" fontId="0" fillId="0" borderId="283" xfId="13" applyNumberFormat="1" applyFont="1" applyBorder="1" applyAlignment="1">
      <alignment vertical="center"/>
    </xf>
    <xf numFmtId="168" fontId="0" fillId="0" borderId="285" xfId="13" applyNumberFormat="1" applyFont="1" applyBorder="1" applyAlignment="1">
      <alignment vertical="center"/>
    </xf>
    <xf numFmtId="168" fontId="0" fillId="0" borderId="286" xfId="13" applyNumberFormat="1" applyFont="1" applyBorder="1" applyAlignment="1">
      <alignment vertical="center"/>
    </xf>
    <xf numFmtId="168" fontId="0" fillId="10" borderId="283" xfId="13" applyNumberFormat="1" applyFont="1" applyFill="1" applyBorder="1" applyAlignment="1">
      <alignment horizontal="right" vertical="center"/>
    </xf>
    <xf numFmtId="168" fontId="0" fillId="10" borderId="285" xfId="13" applyNumberFormat="1" applyFont="1" applyFill="1" applyBorder="1" applyAlignment="1">
      <alignment horizontal="right" vertical="center"/>
    </xf>
    <xf numFmtId="168" fontId="15" fillId="43" borderId="285" xfId="13" applyNumberFormat="1" applyFill="1" applyBorder="1" applyAlignment="1">
      <alignment vertical="center"/>
    </xf>
    <xf numFmtId="168" fontId="24" fillId="32" borderId="297" xfId="13" applyNumberFormat="1" applyFont="1" applyFill="1" applyBorder="1" applyAlignment="1">
      <alignment vertical="center" wrapText="1"/>
    </xf>
    <xf numFmtId="0" fontId="0" fillId="46" borderId="76" xfId="0" applyFill="1" applyBorder="1" applyAlignment="1">
      <alignment horizontal="left" vertical="center"/>
    </xf>
    <xf numFmtId="0" fontId="0" fillId="46" borderId="297" xfId="0" applyFill="1" applyBorder="1" applyAlignment="1">
      <alignment horizontal="left" vertical="center"/>
    </xf>
    <xf numFmtId="178" fontId="0" fillId="46" borderId="280" xfId="13" applyNumberFormat="1" applyFont="1" applyFill="1" applyBorder="1" applyAlignment="1">
      <alignment vertical="center"/>
    </xf>
    <xf numFmtId="178" fontId="0" fillId="46" borderId="298" xfId="13" applyNumberFormat="1" applyFont="1" applyFill="1" applyBorder="1" applyAlignment="1">
      <alignment vertical="center"/>
    </xf>
    <xf numFmtId="178" fontId="0" fillId="46" borderId="281" xfId="13" applyNumberFormat="1" applyFont="1" applyFill="1" applyBorder="1" applyAlignment="1">
      <alignment vertical="center"/>
    </xf>
    <xf numFmtId="170" fontId="0" fillId="12" borderId="280" xfId="13" applyNumberFormat="1" applyFont="1" applyFill="1" applyBorder="1" applyAlignment="1" applyProtection="1">
      <alignment horizontal="center" vertical="center"/>
      <protection locked="0"/>
    </xf>
    <xf numFmtId="170" fontId="0" fillId="46" borderId="298" xfId="13" applyNumberFormat="1" applyFont="1" applyFill="1" applyBorder="1" applyAlignment="1">
      <alignment horizontal="center" vertical="center"/>
    </xf>
    <xf numFmtId="170" fontId="0" fillId="46" borderId="277" xfId="13" applyNumberFormat="1" applyFont="1" applyFill="1" applyBorder="1" applyAlignment="1">
      <alignment horizontal="center" vertical="center"/>
    </xf>
    <xf numFmtId="178" fontId="0" fillId="46" borderId="72" xfId="13" applyNumberFormat="1" applyFont="1" applyFill="1" applyBorder="1" applyAlignment="1">
      <alignment vertical="center"/>
    </xf>
    <xf numFmtId="178" fontId="0" fillId="46" borderId="73" xfId="13" applyNumberFormat="1" applyFont="1" applyFill="1" applyBorder="1" applyAlignment="1">
      <alignment vertical="center"/>
    </xf>
    <xf numFmtId="178" fontId="0" fillId="29" borderId="73" xfId="13" applyNumberFormat="1" applyFont="1" applyFill="1" applyBorder="1" applyAlignment="1">
      <alignment vertical="center"/>
    </xf>
    <xf numFmtId="178" fontId="0" fillId="29" borderId="74" xfId="13" applyNumberFormat="1" applyFont="1" applyFill="1" applyBorder="1" applyAlignment="1">
      <alignment vertical="center"/>
    </xf>
    <xf numFmtId="178" fontId="0" fillId="46" borderId="299" xfId="13" applyNumberFormat="1" applyFont="1" applyFill="1" applyBorder="1" applyAlignment="1">
      <alignment vertical="center"/>
    </xf>
    <xf numFmtId="178" fontId="0" fillId="46" borderId="300" xfId="13" applyNumberFormat="1" applyFont="1" applyFill="1" applyBorder="1" applyAlignment="1">
      <alignment vertical="center"/>
    </xf>
    <xf numFmtId="178" fontId="0" fillId="29" borderId="300" xfId="13" applyNumberFormat="1" applyFont="1" applyFill="1" applyBorder="1" applyAlignment="1">
      <alignment vertical="center"/>
    </xf>
    <xf numFmtId="178" fontId="0" fillId="29" borderId="301" xfId="13" applyNumberFormat="1" applyFont="1" applyFill="1" applyBorder="1" applyAlignment="1">
      <alignment vertical="center"/>
    </xf>
    <xf numFmtId="178" fontId="0" fillId="29" borderId="270" xfId="13" applyNumberFormat="1" applyFont="1" applyFill="1" applyBorder="1" applyAlignment="1">
      <alignment vertical="center"/>
    </xf>
    <xf numFmtId="178" fontId="0" fillId="29" borderId="279" xfId="13" applyNumberFormat="1" applyFont="1" applyFill="1" applyBorder="1" applyAlignment="1">
      <alignment vertical="center"/>
    </xf>
    <xf numFmtId="178" fontId="0" fillId="46" borderId="276" xfId="13" applyNumberFormat="1" applyFont="1" applyFill="1" applyBorder="1" applyAlignment="1">
      <alignment vertical="center"/>
    </xf>
    <xf numFmtId="178" fontId="0" fillId="46" borderId="297" xfId="13" applyNumberFormat="1" applyFont="1" applyFill="1" applyBorder="1" applyAlignment="1">
      <alignment vertical="center"/>
    </xf>
    <xf numFmtId="170" fontId="0" fillId="12" borderId="248" xfId="13" applyNumberFormat="1" applyFont="1" applyFill="1" applyBorder="1" applyAlignment="1" applyProtection="1">
      <alignment horizontal="center" vertical="center"/>
      <protection locked="0"/>
    </xf>
    <xf numFmtId="170" fontId="0" fillId="46" borderId="300" xfId="13" applyNumberFormat="1" applyFont="1" applyFill="1" applyBorder="1" applyAlignment="1">
      <alignment horizontal="center" vertical="center"/>
    </xf>
    <xf numFmtId="170" fontId="0" fillId="46" borderId="301" xfId="13" applyNumberFormat="1" applyFont="1" applyFill="1" applyBorder="1" applyAlignment="1">
      <alignment horizontal="center" vertical="center"/>
    </xf>
    <xf numFmtId="170" fontId="0" fillId="12" borderId="278" xfId="13" applyNumberFormat="1" applyFont="1" applyFill="1" applyBorder="1" applyAlignment="1" applyProtection="1">
      <alignment horizontal="center" vertical="center"/>
      <protection locked="0"/>
    </xf>
    <xf numFmtId="170" fontId="0" fillId="46" borderId="270" xfId="13" applyNumberFormat="1" applyFont="1" applyFill="1" applyBorder="1" applyAlignment="1">
      <alignment horizontal="center" vertical="center"/>
    </xf>
    <xf numFmtId="170" fontId="0" fillId="46" borderId="279" xfId="13" applyNumberFormat="1" applyFont="1" applyFill="1" applyBorder="1" applyAlignment="1">
      <alignment horizontal="center" vertical="center"/>
    </xf>
    <xf numFmtId="170" fontId="0" fillId="12" borderId="72" xfId="13" applyNumberFormat="1" applyFont="1" applyFill="1" applyBorder="1" applyAlignment="1" applyProtection="1">
      <alignment horizontal="center" vertical="center"/>
      <protection locked="0"/>
    </xf>
    <xf numFmtId="170" fontId="0" fillId="46" borderId="73" xfId="13" applyNumberFormat="1" applyFont="1" applyFill="1" applyBorder="1" applyAlignment="1">
      <alignment horizontal="center" vertical="center"/>
    </xf>
    <xf numFmtId="170" fontId="0" fillId="46" borderId="74" xfId="13" applyNumberFormat="1" applyFont="1" applyFill="1" applyBorder="1" applyAlignment="1">
      <alignment horizontal="center" vertical="center"/>
    </xf>
    <xf numFmtId="178" fontId="0" fillId="29" borderId="278" xfId="13" applyNumberFormat="1" applyFont="1" applyFill="1" applyBorder="1" applyAlignment="1">
      <alignment vertical="center"/>
    </xf>
    <xf numFmtId="178" fontId="0" fillId="29" borderId="72" xfId="13" applyNumberFormat="1" applyFont="1" applyFill="1" applyBorder="1" applyAlignment="1">
      <alignment vertical="center"/>
    </xf>
    <xf numFmtId="178" fontId="0" fillId="29" borderId="290" xfId="13" applyNumberFormat="1" applyFont="1" applyFill="1" applyBorder="1" applyAlignment="1">
      <alignment vertical="center"/>
    </xf>
    <xf numFmtId="178" fontId="0" fillId="29" borderId="302" xfId="13" applyNumberFormat="1" applyFont="1" applyFill="1" applyBorder="1" applyAlignment="1">
      <alignment vertical="center"/>
    </xf>
    <xf numFmtId="178" fontId="0" fillId="29" borderId="303" xfId="13" applyNumberFormat="1" applyFont="1" applyFill="1" applyBorder="1" applyAlignment="1">
      <alignment vertical="center"/>
    </xf>
    <xf numFmtId="179" fontId="14" fillId="57" borderId="107" xfId="0" applyNumberFormat="1" applyFont="1" applyFill="1" applyBorder="1" applyAlignment="1">
      <alignment horizontal="center" vertical="center"/>
    </xf>
    <xf numFmtId="179" fontId="14" fillId="57" borderId="216" xfId="0" applyNumberFormat="1" applyFont="1" applyFill="1" applyBorder="1" applyAlignment="1">
      <alignment horizontal="center" vertical="center"/>
    </xf>
    <xf numFmtId="179" fontId="14" fillId="57" borderId="218" xfId="0" applyNumberFormat="1" applyFont="1" applyFill="1" applyBorder="1" applyAlignment="1">
      <alignment horizontal="center" vertical="center"/>
    </xf>
    <xf numFmtId="168" fontId="0" fillId="29" borderId="280" xfId="13" applyNumberFormat="1" applyFont="1" applyFill="1" applyBorder="1" applyAlignment="1">
      <alignment vertical="center"/>
    </xf>
    <xf numFmtId="168" fontId="0" fillId="29" borderId="298" xfId="13" applyNumberFormat="1" applyFont="1" applyFill="1" applyBorder="1" applyAlignment="1">
      <alignment vertical="center"/>
    </xf>
    <xf numFmtId="168" fontId="0" fillId="29" borderId="281" xfId="13" applyNumberFormat="1" applyFont="1" applyFill="1" applyBorder="1" applyAlignment="1">
      <alignment vertical="center"/>
    </xf>
    <xf numFmtId="168" fontId="0" fillId="37" borderId="305" xfId="13" applyNumberFormat="1" applyFont="1" applyFill="1" applyBorder="1" applyAlignment="1">
      <alignment vertical="center"/>
    </xf>
    <xf numFmtId="168" fontId="0" fillId="37" borderId="298" xfId="13" applyNumberFormat="1" applyFont="1" applyFill="1" applyBorder="1" applyAlignment="1">
      <alignment vertical="center"/>
    </xf>
    <xf numFmtId="168" fontId="0" fillId="37" borderId="277" xfId="13" applyNumberFormat="1" applyFont="1" applyFill="1" applyBorder="1" applyAlignment="1">
      <alignment vertical="center"/>
    </xf>
    <xf numFmtId="168" fontId="0" fillId="0" borderId="280" xfId="13" applyNumberFormat="1" applyFont="1" applyBorder="1" applyAlignment="1">
      <alignment vertical="center"/>
    </xf>
    <xf numFmtId="168" fontId="0" fillId="0" borderId="298" xfId="13" applyNumberFormat="1" applyFont="1" applyBorder="1" applyAlignment="1">
      <alignment vertical="center"/>
    </xf>
    <xf numFmtId="168" fontId="0" fillId="0" borderId="277" xfId="13" applyNumberFormat="1" applyFont="1" applyBorder="1" applyAlignment="1">
      <alignment vertical="center"/>
    </xf>
    <xf numFmtId="170" fontId="0" fillId="0" borderId="280" xfId="0" applyNumberFormat="1" applyBorder="1" applyAlignment="1">
      <alignment horizontal="center" vertical="center"/>
    </xf>
    <xf numFmtId="170" fontId="0" fillId="0" borderId="298" xfId="0" applyNumberFormat="1" applyBorder="1" applyAlignment="1">
      <alignment horizontal="center" vertical="center"/>
    </xf>
    <xf numFmtId="170" fontId="0" fillId="0" borderId="281" xfId="0" applyNumberFormat="1" applyBorder="1" applyAlignment="1">
      <alignment horizontal="center" vertical="center"/>
    </xf>
    <xf numFmtId="168" fontId="0" fillId="29" borderId="283" xfId="13" applyNumberFormat="1" applyFont="1" applyFill="1" applyBorder="1" applyAlignment="1">
      <alignment vertical="center"/>
    </xf>
    <xf numFmtId="168" fontId="0" fillId="37" borderId="285" xfId="13" applyNumberFormat="1" applyFont="1" applyFill="1" applyBorder="1" applyAlignment="1">
      <alignment vertical="center"/>
    </xf>
    <xf numFmtId="168" fontId="0" fillId="37" borderId="286" xfId="13" applyNumberFormat="1" applyFont="1" applyFill="1" applyBorder="1" applyAlignment="1">
      <alignment vertical="center"/>
    </xf>
    <xf numFmtId="168" fontId="0" fillId="0" borderId="284" xfId="13" applyNumberFormat="1" applyFont="1" applyBorder="1" applyAlignment="1">
      <alignment vertical="center"/>
    </xf>
    <xf numFmtId="170" fontId="0" fillId="0" borderId="283" xfId="0" applyNumberFormat="1" applyBorder="1" applyAlignment="1">
      <alignment horizontal="center" vertical="center"/>
    </xf>
    <xf numFmtId="170" fontId="0" fillId="0" borderId="21" xfId="0" applyNumberFormat="1" applyBorder="1" applyAlignment="1">
      <alignment horizontal="center" vertical="center"/>
    </xf>
    <xf numFmtId="170" fontId="0" fillId="0" borderId="306" xfId="0" applyNumberFormat="1" applyBorder="1" applyAlignment="1">
      <alignment horizontal="center" vertical="center"/>
    </xf>
    <xf numFmtId="168" fontId="0" fillId="29" borderId="72" xfId="13" applyNumberFormat="1" applyFont="1" applyFill="1" applyBorder="1" applyAlignment="1">
      <alignment vertical="center"/>
    </xf>
    <xf numFmtId="168" fontId="0" fillId="29" borderId="307" xfId="13" applyNumberFormat="1" applyFont="1" applyFill="1" applyBorder="1" applyAlignment="1">
      <alignment vertical="center"/>
    </xf>
    <xf numFmtId="168" fontId="0" fillId="29" borderId="308" xfId="13" applyNumberFormat="1" applyFont="1" applyFill="1" applyBorder="1" applyAlignment="1">
      <alignment vertical="center"/>
    </xf>
    <xf numFmtId="168" fontId="0" fillId="37" borderId="140" xfId="13" applyNumberFormat="1" applyFont="1" applyFill="1" applyBorder="1" applyAlignment="1">
      <alignment vertical="center"/>
    </xf>
    <xf numFmtId="168" fontId="0" fillId="37" borderId="307" xfId="13" applyNumberFormat="1" applyFont="1" applyFill="1" applyBorder="1" applyAlignment="1">
      <alignment vertical="center"/>
    </xf>
    <xf numFmtId="168" fontId="0" fillId="37" borderId="309" xfId="13" applyNumberFormat="1" applyFont="1" applyFill="1" applyBorder="1" applyAlignment="1">
      <alignment vertical="center"/>
    </xf>
    <xf numFmtId="168" fontId="0" fillId="0" borderId="72" xfId="13" applyNumberFormat="1" applyFont="1" applyBorder="1" applyAlignment="1">
      <alignment vertical="center"/>
    </xf>
    <xf numFmtId="168" fontId="0" fillId="0" borderId="307" xfId="13" applyNumberFormat="1" applyFont="1" applyBorder="1" applyAlignment="1">
      <alignment vertical="center"/>
    </xf>
    <xf numFmtId="168" fontId="0" fillId="0" borderId="309" xfId="13" applyNumberFormat="1" applyFont="1" applyBorder="1" applyAlignment="1">
      <alignment vertical="center"/>
    </xf>
    <xf numFmtId="170" fontId="0" fillId="0" borderId="72" xfId="0" applyNumberFormat="1" applyBorder="1" applyAlignment="1">
      <alignment horizontal="center" vertical="center"/>
    </xf>
    <xf numFmtId="170" fontId="0" fillId="0" borderId="307" xfId="0" applyNumberFormat="1" applyBorder="1" applyAlignment="1">
      <alignment horizontal="center" vertical="center"/>
    </xf>
    <xf numFmtId="170" fontId="0" fillId="0" borderId="308" xfId="0" applyNumberFormat="1" applyBorder="1" applyAlignment="1">
      <alignment horizontal="center" vertical="center"/>
    </xf>
    <xf numFmtId="168" fontId="0" fillId="29" borderId="290" xfId="13" applyNumberFormat="1" applyFont="1" applyFill="1" applyBorder="1" applyAlignment="1">
      <alignment vertical="center"/>
    </xf>
    <xf numFmtId="168" fontId="0" fillId="29" borderId="302" xfId="13" applyNumberFormat="1" applyFont="1" applyFill="1" applyBorder="1" applyAlignment="1">
      <alignment vertical="center"/>
    </xf>
    <xf numFmtId="168" fontId="0" fillId="29" borderId="303" xfId="13" applyNumberFormat="1" applyFont="1" applyFill="1" applyBorder="1" applyAlignment="1">
      <alignment vertical="center"/>
    </xf>
    <xf numFmtId="168" fontId="0" fillId="37" borderId="310" xfId="13" applyNumberFormat="1" applyFont="1" applyFill="1" applyBorder="1" applyAlignment="1">
      <alignment vertical="center"/>
    </xf>
    <xf numFmtId="168" fontId="0" fillId="37" borderId="302" xfId="13" applyNumberFormat="1" applyFont="1" applyFill="1" applyBorder="1" applyAlignment="1">
      <alignment vertical="center"/>
    </xf>
    <xf numFmtId="168" fontId="0" fillId="37" borderId="220" xfId="13" applyNumberFormat="1" applyFont="1" applyFill="1" applyBorder="1" applyAlignment="1">
      <alignment vertical="center"/>
    </xf>
    <xf numFmtId="168" fontId="0" fillId="0" borderId="290" xfId="13" applyNumberFormat="1" applyFont="1" applyBorder="1" applyAlignment="1">
      <alignment vertical="center"/>
    </xf>
    <xf numFmtId="168" fontId="0" fillId="0" borderId="302" xfId="13" applyNumberFormat="1" applyFont="1" applyBorder="1" applyAlignment="1">
      <alignment vertical="center"/>
    </xf>
    <xf numFmtId="168" fontId="0" fillId="0" borderId="220" xfId="13" applyNumberFormat="1" applyFont="1" applyBorder="1" applyAlignment="1">
      <alignment vertical="center"/>
    </xf>
    <xf numFmtId="170" fontId="0" fillId="0" borderId="290" xfId="0" applyNumberFormat="1" applyBorder="1" applyAlignment="1">
      <alignment horizontal="center" vertical="center"/>
    </xf>
    <xf numFmtId="170" fontId="0" fillId="0" borderId="302" xfId="0" applyNumberFormat="1" applyBorder="1" applyAlignment="1">
      <alignment horizontal="center" vertical="center"/>
    </xf>
    <xf numFmtId="170" fontId="0" fillId="0" borderId="303" xfId="0" applyNumberFormat="1" applyBorder="1" applyAlignment="1">
      <alignment horizontal="center" vertical="center"/>
    </xf>
    <xf numFmtId="168" fontId="0" fillId="29" borderId="278" xfId="13" applyNumberFormat="1" applyFont="1" applyFill="1" applyBorder="1" applyAlignment="1">
      <alignment vertical="center"/>
    </xf>
    <xf numFmtId="168" fontId="0" fillId="29" borderId="270" xfId="13" applyNumberFormat="1" applyFont="1" applyFill="1" applyBorder="1" applyAlignment="1">
      <alignment vertical="center"/>
    </xf>
    <xf numFmtId="168" fontId="0" fillId="29" borderId="279" xfId="13" applyNumberFormat="1" applyFont="1" applyFill="1" applyBorder="1" applyAlignment="1">
      <alignment vertical="center"/>
    </xf>
    <xf numFmtId="168" fontId="0" fillId="37" borderId="311" xfId="13" applyNumberFormat="1" applyFont="1" applyFill="1" applyBorder="1" applyAlignment="1">
      <alignment vertical="center"/>
    </xf>
    <xf numFmtId="168" fontId="0" fillId="37" borderId="270" xfId="13" applyNumberFormat="1" applyFont="1" applyFill="1" applyBorder="1" applyAlignment="1">
      <alignment vertical="center"/>
    </xf>
    <xf numFmtId="168" fontId="0" fillId="37" borderId="297" xfId="13" applyNumberFormat="1" applyFont="1" applyFill="1" applyBorder="1" applyAlignment="1">
      <alignment vertical="center"/>
    </xf>
    <xf numFmtId="168" fontId="0" fillId="0" borderId="278" xfId="13" applyNumberFormat="1" applyFont="1" applyBorder="1" applyAlignment="1">
      <alignment vertical="center"/>
    </xf>
    <xf numFmtId="168" fontId="0" fillId="0" borderId="270" xfId="13" applyNumberFormat="1" applyFont="1" applyBorder="1" applyAlignment="1">
      <alignment vertical="center"/>
    </xf>
    <xf numFmtId="168" fontId="0" fillId="0" borderId="297" xfId="13" applyNumberFormat="1" applyFont="1" applyBorder="1" applyAlignment="1">
      <alignment vertical="center"/>
    </xf>
    <xf numFmtId="170" fontId="0" fillId="0" borderId="278" xfId="0" applyNumberFormat="1" applyBorder="1" applyAlignment="1">
      <alignment horizontal="center" vertical="center"/>
    </xf>
    <xf numFmtId="170" fontId="0" fillId="0" borderId="270" xfId="0" applyNumberFormat="1" applyBorder="1" applyAlignment="1">
      <alignment horizontal="center" vertical="center"/>
    </xf>
    <xf numFmtId="170" fontId="0" fillId="0" borderId="279" xfId="0" applyNumberFormat="1" applyBorder="1" applyAlignment="1">
      <alignment horizontal="center" vertical="center"/>
    </xf>
    <xf numFmtId="0" fontId="0" fillId="12" borderId="300" xfId="0" applyFill="1" applyBorder="1" applyAlignment="1" applyProtection="1">
      <alignment horizontal="left" vertical="center"/>
      <protection locked="0"/>
    </xf>
    <xf numFmtId="178" fontId="0" fillId="12" borderId="300" xfId="13" applyNumberFormat="1" applyFont="1" applyFill="1" applyBorder="1" applyAlignment="1" applyProtection="1">
      <alignment vertical="center"/>
      <protection locked="0"/>
    </xf>
    <xf numFmtId="0" fontId="0" fillId="12" borderId="304" xfId="0" applyFill="1" applyBorder="1" applyAlignment="1" applyProtection="1">
      <alignment horizontal="left" vertical="center"/>
      <protection locked="0"/>
    </xf>
    <xf numFmtId="178" fontId="0" fillId="12" borderId="304" xfId="13" applyNumberFormat="1" applyFont="1" applyFill="1" applyBorder="1" applyAlignment="1" applyProtection="1">
      <alignment vertical="center"/>
      <protection locked="0"/>
    </xf>
    <xf numFmtId="178" fontId="0" fillId="29" borderId="304" xfId="13" applyNumberFormat="1" applyFont="1" applyFill="1" applyBorder="1" applyAlignment="1">
      <alignment vertical="center"/>
    </xf>
    <xf numFmtId="177" fontId="0" fillId="29" borderId="293" xfId="0" applyNumberFormat="1" applyFill="1" applyBorder="1" applyAlignment="1">
      <alignment horizontal="right" vertical="center"/>
    </xf>
    <xf numFmtId="0" fontId="0" fillId="94" borderId="0" xfId="0" applyFill="1"/>
    <xf numFmtId="0" fontId="14" fillId="94" borderId="0" xfId="0" applyFont="1" applyFill="1" applyAlignment="1">
      <alignment horizontal="center" vertical="center"/>
    </xf>
    <xf numFmtId="0" fontId="0" fillId="94" borderId="0" xfId="0" applyFill="1" applyAlignment="1">
      <alignment horizontal="center" vertical="center"/>
    </xf>
    <xf numFmtId="168" fontId="15" fillId="0" borderId="276" xfId="13" applyNumberFormat="1" applyBorder="1" applyAlignment="1">
      <alignment vertical="center"/>
    </xf>
    <xf numFmtId="173" fontId="0" fillId="0" borderId="293" xfId="12" applyNumberFormat="1" applyFont="1" applyBorder="1" applyAlignment="1">
      <alignment vertical="center"/>
    </xf>
    <xf numFmtId="168" fontId="14" fillId="40" borderId="293" xfId="13" applyNumberFormat="1" applyFont="1" applyFill="1" applyBorder="1" applyAlignment="1">
      <alignment vertical="center"/>
    </xf>
    <xf numFmtId="168" fontId="24" fillId="32" borderId="293" xfId="13" applyNumberFormat="1" applyFont="1" applyFill="1" applyBorder="1" applyAlignment="1">
      <alignment vertical="center" wrapText="1"/>
    </xf>
    <xf numFmtId="168" fontId="0" fillId="10" borderId="314" xfId="13" applyNumberFormat="1" applyFont="1" applyFill="1" applyBorder="1" applyAlignment="1">
      <alignment horizontal="right" vertical="center"/>
    </xf>
    <xf numFmtId="168" fontId="14" fillId="40" borderId="314" xfId="13" applyNumberFormat="1" applyFont="1" applyFill="1" applyBorder="1" applyAlignment="1">
      <alignment horizontal="right" vertical="center"/>
    </xf>
    <xf numFmtId="168" fontId="24" fillId="32" borderId="314" xfId="13" applyNumberFormat="1" applyFont="1" applyFill="1" applyBorder="1" applyAlignment="1">
      <alignment vertical="center" wrapText="1"/>
    </xf>
    <xf numFmtId="168" fontId="24" fillId="32" borderId="315" xfId="13" applyNumberFormat="1" applyFont="1" applyFill="1" applyBorder="1" applyAlignment="1">
      <alignment vertical="center" wrapText="1"/>
    </xf>
    <xf numFmtId="168" fontId="24" fillId="32" borderId="316" xfId="13" applyNumberFormat="1" applyFont="1" applyFill="1" applyBorder="1" applyAlignment="1">
      <alignment vertical="center" wrapText="1"/>
    </xf>
    <xf numFmtId="168" fontId="24" fillId="32" borderId="317" xfId="13" applyNumberFormat="1" applyFont="1" applyFill="1" applyBorder="1" applyAlignment="1">
      <alignment vertical="center" wrapText="1"/>
    </xf>
    <xf numFmtId="173" fontId="0" fillId="0" borderId="304" xfId="12" applyNumberFormat="1" applyFont="1" applyBorder="1" applyAlignment="1">
      <alignment vertical="center"/>
    </xf>
    <xf numFmtId="168" fontId="14" fillId="40" borderId="304" xfId="13" applyNumberFormat="1" applyFont="1" applyFill="1" applyBorder="1" applyAlignment="1">
      <alignment vertical="center"/>
    </xf>
    <xf numFmtId="168" fontId="15" fillId="0" borderId="299" xfId="13" applyNumberFormat="1" applyBorder="1" applyAlignment="1">
      <alignment vertical="center"/>
    </xf>
    <xf numFmtId="168" fontId="15" fillId="0" borderId="300" xfId="13" applyNumberFormat="1" applyBorder="1" applyAlignment="1">
      <alignment vertical="center"/>
    </xf>
    <xf numFmtId="168" fontId="15" fillId="0" borderId="301" xfId="13" applyNumberFormat="1" applyBorder="1" applyAlignment="1">
      <alignment vertical="center"/>
    </xf>
    <xf numFmtId="173" fontId="0" fillId="0" borderId="312" xfId="12" applyNumberFormat="1" applyFont="1" applyBorder="1" applyAlignment="1">
      <alignment vertical="center"/>
    </xf>
    <xf numFmtId="173" fontId="0" fillId="0" borderId="318" xfId="12" applyNumberFormat="1" applyFont="1" applyBorder="1" applyAlignment="1">
      <alignment vertical="center"/>
    </xf>
    <xf numFmtId="168" fontId="14" fillId="40" borderId="312" xfId="13" applyNumberFormat="1" applyFont="1" applyFill="1" applyBorder="1" applyAlignment="1">
      <alignment vertical="center"/>
    </xf>
    <xf numFmtId="168" fontId="14" fillId="40" borderId="318" xfId="13" applyNumberFormat="1" applyFont="1" applyFill="1" applyBorder="1" applyAlignment="1">
      <alignment vertical="center"/>
    </xf>
    <xf numFmtId="168" fontId="15" fillId="0" borderId="293" xfId="13" applyNumberFormat="1" applyBorder="1" applyAlignment="1">
      <alignment vertical="center"/>
    </xf>
    <xf numFmtId="168" fontId="24" fillId="32" borderId="311" xfId="13" applyNumberFormat="1" applyFont="1" applyFill="1" applyBorder="1" applyAlignment="1">
      <alignment vertical="center" wrapText="1"/>
    </xf>
    <xf numFmtId="168" fontId="24" fillId="32" borderId="319" xfId="13" applyNumberFormat="1" applyFont="1" applyFill="1" applyBorder="1" applyAlignment="1">
      <alignment vertical="center" wrapText="1"/>
    </xf>
    <xf numFmtId="168" fontId="15" fillId="1" borderId="131" xfId="13" applyNumberFormat="1" applyFill="1" applyBorder="1" applyAlignment="1">
      <alignment vertical="center"/>
    </xf>
    <xf numFmtId="168" fontId="15" fillId="0" borderId="134" xfId="13" applyNumberFormat="1" applyBorder="1" applyAlignment="1">
      <alignment vertical="center"/>
    </xf>
    <xf numFmtId="168" fontId="15" fillId="0" borderId="222" xfId="13" applyNumberFormat="1" applyBorder="1" applyAlignment="1">
      <alignment vertical="center"/>
    </xf>
    <xf numFmtId="168" fontId="15" fillId="0" borderId="131" xfId="13" applyNumberFormat="1" applyBorder="1" applyAlignment="1">
      <alignment vertical="center"/>
    </xf>
    <xf numFmtId="168" fontId="15" fillId="1" borderId="187" xfId="13" applyNumberFormat="1" applyFill="1" applyBorder="1" applyAlignment="1">
      <alignment vertical="center"/>
    </xf>
    <xf numFmtId="168" fontId="15" fillId="52" borderId="186" xfId="13" applyNumberFormat="1" applyFill="1" applyBorder="1" applyAlignment="1">
      <alignment vertical="center"/>
    </xf>
    <xf numFmtId="168" fontId="15" fillId="52" borderId="188" xfId="13" applyNumberFormat="1" applyFill="1" applyBorder="1" applyAlignment="1">
      <alignment vertical="center"/>
    </xf>
    <xf numFmtId="168" fontId="15" fillId="1" borderId="186" xfId="13" applyNumberFormat="1" applyFill="1" applyBorder="1" applyAlignment="1">
      <alignment vertical="center"/>
    </xf>
    <xf numFmtId="168" fontId="15" fillId="1" borderId="188" xfId="13" applyNumberFormat="1" applyFill="1" applyBorder="1" applyAlignment="1">
      <alignment vertical="center"/>
    </xf>
    <xf numFmtId="173" fontId="0" fillId="52" borderId="186" xfId="12" applyNumberFormat="1" applyFont="1" applyFill="1" applyBorder="1" applyAlignment="1">
      <alignment vertical="center"/>
    </xf>
    <xf numFmtId="173" fontId="0" fillId="52" borderId="188" xfId="12" applyNumberFormat="1" applyFont="1" applyFill="1" applyBorder="1" applyAlignment="1">
      <alignment vertical="center"/>
    </xf>
    <xf numFmtId="173" fontId="0" fillId="1" borderId="187" xfId="12" applyNumberFormat="1" applyFont="1" applyFill="1" applyBorder="1" applyAlignment="1">
      <alignment vertical="center"/>
    </xf>
    <xf numFmtId="173" fontId="0" fillId="1" borderId="186" xfId="12" applyNumberFormat="1" applyFont="1" applyFill="1" applyBorder="1" applyAlignment="1">
      <alignment vertical="center"/>
    </xf>
    <xf numFmtId="173" fontId="0" fillId="1" borderId="188" xfId="12" applyNumberFormat="1" applyFont="1" applyFill="1" applyBorder="1" applyAlignment="1">
      <alignment vertical="center"/>
    </xf>
    <xf numFmtId="168" fontId="14" fillId="89" borderId="187" xfId="13" applyNumberFormat="1" applyFont="1" applyFill="1" applyBorder="1" applyAlignment="1">
      <alignment vertical="center"/>
    </xf>
    <xf numFmtId="178" fontId="15" fillId="59" borderId="296" xfId="13" applyNumberFormat="1" applyFill="1" applyBorder="1" applyAlignment="1">
      <alignment vertical="center"/>
    </xf>
    <xf numFmtId="178" fontId="15" fillId="59" borderId="294" xfId="13" applyNumberFormat="1" applyFill="1" applyBorder="1" applyAlignment="1">
      <alignment vertical="center"/>
    </xf>
    <xf numFmtId="178" fontId="15" fillId="59" borderId="295" xfId="13" applyNumberFormat="1" applyFill="1" applyBorder="1" applyAlignment="1">
      <alignment vertical="center"/>
    </xf>
    <xf numFmtId="0" fontId="41" fillId="0" borderId="0" xfId="0" applyFont="1" applyProtection="1">
      <protection locked="0"/>
    </xf>
    <xf numFmtId="0" fontId="42" fillId="0" borderId="0" xfId="0" applyFont="1" applyProtection="1">
      <protection locked="0"/>
    </xf>
    <xf numFmtId="0" fontId="43" fillId="0" borderId="0" xfId="0" applyFont="1" applyProtection="1">
      <protection locked="0"/>
    </xf>
    <xf numFmtId="0" fontId="41" fillId="0" borderId="0" xfId="0" applyFont="1" applyAlignment="1" applyProtection="1">
      <alignment horizontal="right" vertical="center"/>
      <protection locked="0"/>
    </xf>
    <xf numFmtId="0" fontId="44" fillId="95" borderId="203" xfId="0" applyFont="1" applyFill="1" applyBorder="1" applyAlignment="1">
      <alignment vertical="center" wrapText="1"/>
    </xf>
    <xf numFmtId="0" fontId="44" fillId="95" borderId="198" xfId="0" applyFont="1" applyFill="1" applyBorder="1" applyAlignment="1">
      <alignment horizontal="center" vertical="center" wrapText="1"/>
    </xf>
    <xf numFmtId="0" fontId="44" fillId="95" borderId="66" xfId="0" applyFont="1" applyFill="1" applyBorder="1" applyAlignment="1">
      <alignment horizontal="center" vertical="center" wrapText="1"/>
    </xf>
    <xf numFmtId="0" fontId="45" fillId="95" borderId="198" xfId="0" applyFont="1" applyFill="1" applyBorder="1" applyAlignment="1">
      <alignment horizontal="center" vertical="center" wrapText="1"/>
    </xf>
    <xf numFmtId="0" fontId="45" fillId="95" borderId="106" xfId="0" applyFont="1" applyFill="1" applyBorder="1" applyAlignment="1">
      <alignment horizontal="center" vertical="center" wrapText="1"/>
    </xf>
    <xf numFmtId="0" fontId="45" fillId="95" borderId="66" xfId="0" applyFont="1" applyFill="1" applyBorder="1" applyAlignment="1">
      <alignment horizontal="center" vertical="center" wrapText="1"/>
    </xf>
    <xf numFmtId="0" fontId="46" fillId="95" borderId="101" xfId="0" applyFont="1" applyFill="1" applyBorder="1" applyAlignment="1">
      <alignment horizontal="center" vertical="center" wrapText="1"/>
    </xf>
    <xf numFmtId="0" fontId="46" fillId="96" borderId="106" xfId="0" applyFont="1" applyFill="1" applyBorder="1" applyAlignment="1">
      <alignment horizontal="center" vertical="center" wrapText="1"/>
    </xf>
    <xf numFmtId="0" fontId="46" fillId="96" borderId="101" xfId="0" applyFont="1" applyFill="1" applyBorder="1" applyAlignment="1">
      <alignment horizontal="center" vertical="center" wrapText="1"/>
    </xf>
    <xf numFmtId="190" fontId="43" fillId="0" borderId="107" xfId="0" applyNumberFormat="1" applyFont="1" applyBorder="1" applyProtection="1">
      <protection locked="0"/>
    </xf>
    <xf numFmtId="190" fontId="43" fillId="0" borderId="0" xfId="0" applyNumberFormat="1" applyFont="1" applyProtection="1">
      <protection locked="0"/>
    </xf>
    <xf numFmtId="0" fontId="47" fillId="0" borderId="0" xfId="0" applyFont="1" applyAlignment="1">
      <alignment vertical="center"/>
    </xf>
    <xf numFmtId="0" fontId="48" fillId="97" borderId="203" xfId="0" applyFont="1" applyFill="1" applyBorder="1" applyAlignment="1">
      <alignment vertical="center" wrapText="1"/>
    </xf>
    <xf numFmtId="0" fontId="44" fillId="97" borderId="198" xfId="0" applyFont="1" applyFill="1" applyBorder="1" applyAlignment="1">
      <alignment vertical="center" wrapText="1"/>
    </xf>
    <xf numFmtId="0" fontId="44" fillId="97" borderId="66" xfId="0" applyFont="1" applyFill="1" applyBorder="1" applyAlignment="1">
      <alignment vertical="center" wrapText="1"/>
    </xf>
    <xf numFmtId="0" fontId="45" fillId="97" borderId="198" xfId="0" applyFont="1" applyFill="1" applyBorder="1" applyAlignment="1">
      <alignment horizontal="center" vertical="center" wrapText="1"/>
    </xf>
    <xf numFmtId="0" fontId="45" fillId="97" borderId="106" xfId="0" applyFont="1" applyFill="1" applyBorder="1" applyAlignment="1">
      <alignment horizontal="center" vertical="center" wrapText="1"/>
    </xf>
    <xf numFmtId="0" fontId="45" fillId="97" borderId="66" xfId="0" applyFont="1" applyFill="1" applyBorder="1" applyAlignment="1">
      <alignment horizontal="center" vertical="center" wrapText="1"/>
    </xf>
    <xf numFmtId="0" fontId="46" fillId="97" borderId="101" xfId="0" applyFont="1" applyFill="1" applyBorder="1" applyAlignment="1">
      <alignment horizontal="center" vertical="center" wrapText="1"/>
    </xf>
    <xf numFmtId="0" fontId="50" fillId="0" borderId="0" xfId="0" applyFont="1" applyProtection="1">
      <protection locked="0"/>
    </xf>
    <xf numFmtId="0" fontId="40" fillId="0" borderId="0" xfId="0" applyFont="1" applyProtection="1">
      <protection locked="0"/>
    </xf>
    <xf numFmtId="0" fontId="50" fillId="0" borderId="0" xfId="0" applyFont="1" applyAlignment="1" applyProtection="1">
      <alignment horizontal="center"/>
      <protection locked="0"/>
    </xf>
    <xf numFmtId="0" fontId="51" fillId="98" borderId="304" xfId="0" applyFont="1" applyFill="1" applyBorder="1" applyAlignment="1">
      <alignment horizontal="center"/>
    </xf>
    <xf numFmtId="0" fontId="51" fillId="98" borderId="314" xfId="0" applyFont="1" applyFill="1" applyBorder="1" applyAlignment="1">
      <alignment horizontal="left" wrapText="1"/>
    </xf>
    <xf numFmtId="0" fontId="51" fillId="98" borderId="314" xfId="0" applyFont="1" applyFill="1" applyBorder="1" applyAlignment="1">
      <alignment horizontal="center"/>
    </xf>
    <xf numFmtId="0" fontId="51" fillId="99" borderId="314" xfId="0" applyFont="1" applyFill="1" applyBorder="1" applyAlignment="1">
      <alignment horizontal="center"/>
    </xf>
    <xf numFmtId="0" fontId="51" fillId="100" borderId="314" xfId="0" applyFont="1" applyFill="1" applyBorder="1" applyAlignment="1">
      <alignment horizontal="center" vertical="center"/>
    </xf>
    <xf numFmtId="191" fontId="51" fillId="100" borderId="314" xfId="0" applyNumberFormat="1" applyFont="1" applyFill="1" applyBorder="1" applyAlignment="1">
      <alignment horizontal="center" vertical="center"/>
    </xf>
    <xf numFmtId="0" fontId="51" fillId="98" borderId="304" xfId="0" applyFont="1" applyFill="1" applyBorder="1" applyAlignment="1">
      <alignment horizontal="left" wrapText="1"/>
    </xf>
    <xf numFmtId="0" fontId="51" fillId="99" borderId="304" xfId="0" applyFont="1" applyFill="1" applyBorder="1" applyAlignment="1">
      <alignment horizontal="center"/>
    </xf>
    <xf numFmtId="0" fontId="51" fillId="100" borderId="304" xfId="0" applyFont="1" applyFill="1" applyBorder="1" applyAlignment="1">
      <alignment horizontal="center" vertical="center"/>
    </xf>
    <xf numFmtId="0" fontId="51" fillId="100" borderId="304" xfId="298" applyFont="1" applyFill="1" applyBorder="1" applyAlignment="1" applyProtection="1">
      <alignment horizontal="center" vertical="center"/>
    </xf>
    <xf numFmtId="0" fontId="51" fillId="0" borderId="21" xfId="0" applyFont="1" applyBorder="1" applyAlignment="1">
      <alignment horizontal="left" vertical="center" wrapText="1"/>
    </xf>
    <xf numFmtId="192" fontId="52" fillId="0" borderId="21" xfId="0" applyNumberFormat="1" applyFont="1" applyBorder="1" applyAlignment="1">
      <alignment horizontal="left" vertical="center" wrapText="1"/>
    </xf>
    <xf numFmtId="194" fontId="53" fillId="0" borderId="21" xfId="0" applyNumberFormat="1" applyFont="1" applyBorder="1" applyAlignment="1">
      <alignment horizontal="center" vertical="center"/>
    </xf>
    <xf numFmtId="0" fontId="51" fillId="0" borderId="304" xfId="0" applyFont="1" applyBorder="1" applyAlignment="1">
      <alignment horizontal="left" vertical="center" wrapText="1"/>
    </xf>
    <xf numFmtId="192" fontId="52" fillId="0" borderId="304" xfId="0" applyNumberFormat="1" applyFont="1" applyBorder="1" applyAlignment="1">
      <alignment horizontal="left" vertical="center" wrapText="1"/>
    </xf>
    <xf numFmtId="194" fontId="53" fillId="0" borderId="304" xfId="0" applyNumberFormat="1" applyFont="1" applyBorder="1" applyAlignment="1">
      <alignment horizontal="center" vertical="center"/>
    </xf>
    <xf numFmtId="0" fontId="51" fillId="12" borderId="304" xfId="0" applyFont="1" applyFill="1" applyBorder="1" applyAlignment="1">
      <alignment horizontal="left" vertical="center" wrapText="1"/>
    </xf>
    <xf numFmtId="192" fontId="52" fillId="12" borderId="304" xfId="0" applyNumberFormat="1" applyFont="1" applyFill="1" applyBorder="1" applyAlignment="1">
      <alignment horizontal="left" vertical="center" wrapText="1"/>
    </xf>
    <xf numFmtId="0" fontId="53" fillId="12" borderId="304" xfId="0" applyFont="1" applyFill="1" applyBorder="1" applyAlignment="1">
      <alignment horizontal="center" vertical="center"/>
    </xf>
    <xf numFmtId="0" fontId="53" fillId="12" borderId="304" xfId="298" applyFont="1" applyFill="1" applyBorder="1" applyAlignment="1" applyProtection="1">
      <alignment horizontal="center" vertical="center"/>
    </xf>
    <xf numFmtId="193" fontId="53" fillId="12" borderId="304" xfId="13" applyNumberFormat="1" applyFont="1" applyFill="1" applyBorder="1" applyAlignment="1">
      <alignment horizontal="center" vertical="center"/>
    </xf>
    <xf numFmtId="0" fontId="54" fillId="12" borderId="304" xfId="298" applyFont="1" applyFill="1" applyBorder="1" applyAlignment="1" applyProtection="1">
      <alignment horizontal="center" vertical="center"/>
    </xf>
    <xf numFmtId="194" fontId="53" fillId="12" borderId="304" xfId="0" applyNumberFormat="1" applyFont="1" applyFill="1" applyBorder="1" applyAlignment="1">
      <alignment horizontal="center" vertical="center"/>
    </xf>
    <xf numFmtId="0" fontId="53" fillId="0" borderId="21" xfId="0" applyFont="1" applyBorder="1" applyAlignment="1">
      <alignment horizontal="center"/>
    </xf>
    <xf numFmtId="191" fontId="53" fillId="0" borderId="21" xfId="0" applyNumberFormat="1" applyFont="1" applyBorder="1" applyAlignment="1">
      <alignment horizontal="center"/>
    </xf>
    <xf numFmtId="193" fontId="53" fillId="0" borderId="21" xfId="0" applyNumberFormat="1" applyFont="1" applyBorder="1" applyAlignment="1">
      <alignment horizontal="center"/>
    </xf>
    <xf numFmtId="191" fontId="54" fillId="0" borderId="21" xfId="0" applyNumberFormat="1" applyFont="1" applyBorder="1" applyAlignment="1">
      <alignment horizontal="center"/>
    </xf>
    <xf numFmtId="0" fontId="53" fillId="0" borderId="304" xfId="0" applyFont="1" applyBorder="1" applyAlignment="1">
      <alignment horizontal="center"/>
    </xf>
    <xf numFmtId="0" fontId="53" fillId="0" borderId="304" xfId="298" applyFont="1" applyBorder="1" applyAlignment="1" applyProtection="1">
      <alignment horizontal="center"/>
    </xf>
    <xf numFmtId="193" fontId="53" fillId="0" borderId="304" xfId="13" applyNumberFormat="1" applyFont="1" applyBorder="1" applyAlignment="1">
      <alignment horizontal="center"/>
    </xf>
    <xf numFmtId="0" fontId="54" fillId="0" borderId="304" xfId="298" applyFont="1" applyBorder="1" applyAlignment="1" applyProtection="1">
      <alignment horizontal="center"/>
    </xf>
    <xf numFmtId="0" fontId="53" fillId="12" borderId="304" xfId="0" applyFont="1" applyFill="1" applyBorder="1" applyAlignment="1">
      <alignment horizontal="center"/>
    </xf>
    <xf numFmtId="0" fontId="53" fillId="12" borderId="304" xfId="298" applyFont="1" applyFill="1" applyBorder="1" applyAlignment="1" applyProtection="1">
      <alignment horizontal="center"/>
    </xf>
    <xf numFmtId="193" fontId="53" fillId="12" borderId="304" xfId="13" applyNumberFormat="1" applyFont="1" applyFill="1" applyBorder="1" applyAlignment="1">
      <alignment horizontal="center"/>
    </xf>
    <xf numFmtId="0" fontId="54" fillId="12" borderId="304" xfId="298" applyFont="1" applyFill="1" applyBorder="1" applyAlignment="1" applyProtection="1">
      <alignment horizontal="center"/>
    </xf>
    <xf numFmtId="192" fontId="52" fillId="43" borderId="21" xfId="0" applyNumberFormat="1" applyFont="1" applyFill="1" applyBorder="1" applyAlignment="1">
      <alignment horizontal="left" vertical="center" wrapText="1"/>
    </xf>
    <xf numFmtId="192" fontId="52" fillId="43" borderId="21" xfId="0" applyNumberFormat="1" applyFont="1" applyFill="1" applyBorder="1" applyAlignment="1">
      <alignment horizontal="center" vertical="center" wrapText="1"/>
    </xf>
    <xf numFmtId="0" fontId="53" fillId="43" borderId="21" xfId="0" applyFont="1" applyFill="1" applyBorder="1" applyAlignment="1">
      <alignment horizontal="center"/>
    </xf>
    <xf numFmtId="191" fontId="53" fillId="43" borderId="21" xfId="0" applyNumberFormat="1" applyFont="1" applyFill="1" applyBorder="1" applyAlignment="1">
      <alignment horizontal="center"/>
    </xf>
    <xf numFmtId="193" fontId="53" fillId="43" borderId="21" xfId="0" applyNumberFormat="1" applyFont="1" applyFill="1" applyBorder="1" applyAlignment="1">
      <alignment horizontal="center"/>
    </xf>
    <xf numFmtId="195" fontId="40" fillId="0" borderId="0" xfId="0" applyNumberFormat="1" applyFont="1" applyProtection="1">
      <protection locked="0"/>
    </xf>
    <xf numFmtId="192" fontId="52" fillId="0" borderId="304" xfId="0" applyNumberFormat="1" applyFont="1" applyBorder="1" applyAlignment="1">
      <alignment horizontal="center" vertical="center" wrapText="1"/>
    </xf>
    <xf numFmtId="192" fontId="52" fillId="0" borderId="21" xfId="0" applyNumberFormat="1" applyFont="1" applyBorder="1" applyAlignment="1">
      <alignment horizontal="center" vertical="center" wrapText="1"/>
    </xf>
    <xf numFmtId="192" fontId="52" fillId="12" borderId="21" xfId="0" applyNumberFormat="1" applyFont="1" applyFill="1" applyBorder="1" applyAlignment="1">
      <alignment horizontal="left" vertical="center" wrapText="1"/>
    </xf>
    <xf numFmtId="192" fontId="52" fillId="12" borderId="21" xfId="0" applyNumberFormat="1" applyFont="1" applyFill="1" applyBorder="1" applyAlignment="1">
      <alignment horizontal="center" vertical="center" wrapText="1"/>
    </xf>
    <xf numFmtId="0" fontId="53" fillId="12" borderId="21" xfId="0" applyFont="1" applyFill="1" applyBorder="1" applyAlignment="1">
      <alignment horizontal="center"/>
    </xf>
    <xf numFmtId="191" fontId="53" fillId="12" borderId="21" xfId="0" applyNumberFormat="1" applyFont="1" applyFill="1" applyBorder="1" applyAlignment="1">
      <alignment horizontal="center"/>
    </xf>
    <xf numFmtId="193" fontId="53" fillId="12" borderId="21" xfId="0" applyNumberFormat="1" applyFont="1" applyFill="1" applyBorder="1" applyAlignment="1">
      <alignment horizontal="center"/>
    </xf>
    <xf numFmtId="191" fontId="54" fillId="12" borderId="21" xfId="0" applyNumberFormat="1" applyFont="1" applyFill="1" applyBorder="1" applyAlignment="1">
      <alignment horizontal="center"/>
    </xf>
    <xf numFmtId="194" fontId="53" fillId="12" borderId="21" xfId="0" applyNumberFormat="1" applyFont="1" applyFill="1" applyBorder="1" applyAlignment="1">
      <alignment horizontal="center" vertical="center"/>
    </xf>
    <xf numFmtId="192" fontId="52" fillId="101" borderId="304" xfId="0" applyNumberFormat="1" applyFont="1" applyFill="1" applyBorder="1" applyAlignment="1">
      <alignment horizontal="left" vertical="center" wrapText="1"/>
    </xf>
    <xf numFmtId="0" fontId="53" fillId="101" borderId="304" xfId="0" applyFont="1" applyFill="1" applyBorder="1" applyAlignment="1">
      <alignment horizontal="center"/>
    </xf>
    <xf numFmtId="0" fontId="53" fillId="101" borderId="304" xfId="298" applyFont="1" applyFill="1" applyBorder="1" applyAlignment="1" applyProtection="1">
      <alignment horizontal="center"/>
    </xf>
    <xf numFmtId="193" fontId="53" fillId="101" borderId="304" xfId="13" applyNumberFormat="1" applyFont="1" applyFill="1" applyBorder="1" applyAlignment="1">
      <alignment horizontal="center"/>
    </xf>
    <xf numFmtId="0" fontId="54" fillId="101" borderId="304" xfId="298" applyFont="1" applyFill="1" applyBorder="1" applyAlignment="1" applyProtection="1">
      <alignment horizontal="center"/>
    </xf>
    <xf numFmtId="194" fontId="53" fillId="101" borderId="304" xfId="0" applyNumberFormat="1" applyFont="1" applyFill="1" applyBorder="1" applyAlignment="1">
      <alignment horizontal="center" vertical="center"/>
    </xf>
    <xf numFmtId="192" fontId="52" fillId="101" borderId="21" xfId="0" applyNumberFormat="1" applyFont="1" applyFill="1" applyBorder="1" applyAlignment="1">
      <alignment horizontal="left" vertical="center" wrapText="1"/>
    </xf>
    <xf numFmtId="0" fontId="53" fillId="101" borderId="21" xfId="0" applyFont="1" applyFill="1" applyBorder="1" applyAlignment="1">
      <alignment horizontal="center"/>
    </xf>
    <xf numFmtId="191" fontId="53" fillId="101" borderId="21" xfId="0" applyNumberFormat="1" applyFont="1" applyFill="1" applyBorder="1" applyAlignment="1">
      <alignment horizontal="center"/>
    </xf>
    <xf numFmtId="193" fontId="53" fillId="101" borderId="21" xfId="0" applyNumberFormat="1" applyFont="1" applyFill="1" applyBorder="1" applyAlignment="1">
      <alignment horizontal="center"/>
    </xf>
    <xf numFmtId="191" fontId="54" fillId="101" borderId="21" xfId="0" applyNumberFormat="1" applyFont="1" applyFill="1" applyBorder="1" applyAlignment="1">
      <alignment horizontal="center"/>
    </xf>
    <xf numFmtId="194" fontId="53" fillId="101" borderId="21" xfId="0" applyNumberFormat="1" applyFont="1" applyFill="1" applyBorder="1" applyAlignment="1">
      <alignment horizontal="center" vertical="center"/>
    </xf>
    <xf numFmtId="191" fontId="54" fillId="43" borderId="21" xfId="0" applyNumberFormat="1" applyFont="1" applyFill="1" applyBorder="1" applyAlignment="1">
      <alignment horizontal="center"/>
    </xf>
    <xf numFmtId="194" fontId="53" fillId="43" borderId="21" xfId="0" applyNumberFormat="1" applyFont="1" applyFill="1" applyBorder="1" applyAlignment="1">
      <alignment horizontal="center" vertical="center"/>
    </xf>
    <xf numFmtId="192" fontId="52" fillId="101" borderId="304" xfId="0" applyNumberFormat="1" applyFont="1" applyFill="1" applyBorder="1" applyAlignment="1">
      <alignment horizontal="center" vertical="center" wrapText="1"/>
    </xf>
    <xf numFmtId="192" fontId="52" fillId="101" borderId="21" xfId="0" applyNumberFormat="1" applyFont="1" applyFill="1" applyBorder="1" applyAlignment="1">
      <alignment horizontal="center" vertical="center" wrapText="1"/>
    </xf>
    <xf numFmtId="192" fontId="52" fillId="43" borderId="304" xfId="0" applyNumberFormat="1" applyFont="1" applyFill="1" applyBorder="1" applyAlignment="1">
      <alignment horizontal="left" vertical="center" wrapText="1"/>
    </xf>
    <xf numFmtId="192" fontId="52" fillId="43" borderId="304" xfId="0" applyNumberFormat="1" applyFont="1" applyFill="1" applyBorder="1" applyAlignment="1">
      <alignment horizontal="center" vertical="center" wrapText="1"/>
    </xf>
    <xf numFmtId="0" fontId="53" fillId="43" borderId="304" xfId="0" applyFont="1" applyFill="1" applyBorder="1" applyAlignment="1">
      <alignment horizontal="center"/>
    </xf>
    <xf numFmtId="0" fontId="53" fillId="43" borderId="304" xfId="298" applyFont="1" applyFill="1" applyBorder="1" applyAlignment="1" applyProtection="1">
      <alignment horizontal="center"/>
    </xf>
    <xf numFmtId="193" fontId="53" fillId="43" borderId="304" xfId="13" applyNumberFormat="1" applyFont="1" applyFill="1" applyBorder="1" applyAlignment="1">
      <alignment horizontal="center"/>
    </xf>
    <xf numFmtId="0" fontId="54" fillId="43" borderId="304" xfId="298" applyFont="1" applyFill="1" applyBorder="1" applyAlignment="1" applyProtection="1">
      <alignment horizontal="center"/>
    </xf>
    <xf numFmtId="194" fontId="53" fillId="43" borderId="304" xfId="0" applyNumberFormat="1" applyFont="1" applyFill="1" applyBorder="1" applyAlignment="1">
      <alignment horizontal="center" vertical="center"/>
    </xf>
    <xf numFmtId="194" fontId="53" fillId="0" borderId="304" xfId="0" applyNumberFormat="1" applyFont="1" applyBorder="1" applyAlignment="1">
      <alignment horizontal="center"/>
    </xf>
    <xf numFmtId="0" fontId="53" fillId="0" borderId="285" xfId="0" applyFont="1" applyBorder="1" applyAlignment="1">
      <alignment horizontal="center"/>
    </xf>
    <xf numFmtId="194" fontId="53" fillId="0" borderId="21" xfId="0" applyNumberFormat="1" applyFont="1" applyBorder="1" applyAlignment="1">
      <alignment horizontal="center"/>
    </xf>
    <xf numFmtId="3" fontId="53" fillId="0" borderId="304" xfId="0" applyNumberFormat="1" applyFont="1" applyBorder="1" applyAlignment="1">
      <alignment horizontal="center"/>
    </xf>
    <xf numFmtId="196" fontId="51" fillId="0" borderId="304" xfId="0" applyNumberFormat="1" applyFont="1" applyBorder="1" applyAlignment="1">
      <alignment horizontal="center"/>
    </xf>
    <xf numFmtId="3" fontId="53" fillId="0" borderId="285" xfId="0" applyNumberFormat="1" applyFont="1" applyBorder="1" applyAlignment="1">
      <alignment horizontal="center"/>
    </xf>
    <xf numFmtId="196" fontId="51" fillId="0" borderId="21" xfId="0" applyNumberFormat="1" applyFont="1" applyBorder="1" applyAlignment="1">
      <alignment horizontal="center"/>
    </xf>
    <xf numFmtId="194" fontId="53" fillId="0" borderId="304" xfId="0" applyNumberFormat="1" applyFont="1" applyBorder="1" applyAlignment="1">
      <alignment horizontal="right"/>
    </xf>
    <xf numFmtId="3" fontId="40" fillId="0" borderId="0" xfId="0" applyNumberFormat="1" applyFont="1" applyProtection="1">
      <protection locked="0"/>
    </xf>
    <xf numFmtId="193" fontId="51" fillId="0" borderId="304" xfId="13" applyNumberFormat="1" applyFont="1" applyBorder="1"/>
    <xf numFmtId="0" fontId="55" fillId="0" borderId="0" xfId="0" applyFont="1" applyAlignment="1">
      <alignment horizontal="center"/>
    </xf>
    <xf numFmtId="0" fontId="55" fillId="0" borderId="0" xfId="0" applyFont="1" applyAlignment="1">
      <alignment horizontal="center" vertical="center"/>
    </xf>
    <xf numFmtId="0" fontId="55" fillId="0" borderId="0" xfId="0" applyFont="1" applyProtection="1">
      <protection locked="0"/>
    </xf>
    <xf numFmtId="0" fontId="55" fillId="0" borderId="0" xfId="0" applyFont="1"/>
    <xf numFmtId="6" fontId="40" fillId="0" borderId="304" xfId="0" applyNumberFormat="1" applyFont="1" applyBorder="1" applyProtection="1">
      <protection locked="0"/>
    </xf>
    <xf numFmtId="0" fontId="40" fillId="0" borderId="304" xfId="0" applyFont="1" applyBorder="1" applyAlignment="1" applyProtection="1">
      <alignment horizontal="center" vertical="center"/>
      <protection locked="0"/>
    </xf>
    <xf numFmtId="190" fontId="40" fillId="0" borderId="304" xfId="0" applyNumberFormat="1" applyFont="1" applyBorder="1" applyProtection="1">
      <protection locked="0"/>
    </xf>
    <xf numFmtId="0" fontId="56" fillId="43" borderId="0" xfId="0" applyFont="1" applyFill="1" applyProtection="1">
      <protection locked="0"/>
    </xf>
    <xf numFmtId="0" fontId="40" fillId="43" borderId="0" xfId="0" applyFont="1" applyFill="1" applyProtection="1">
      <protection locked="0"/>
    </xf>
    <xf numFmtId="0" fontId="50" fillId="43" borderId="0" xfId="0" applyFont="1" applyFill="1" applyProtection="1">
      <protection locked="0"/>
    </xf>
    <xf numFmtId="0" fontId="56" fillId="43" borderId="0" xfId="0" applyFont="1" applyFill="1" applyAlignment="1" applyProtection="1">
      <alignment horizontal="right" vertical="center"/>
      <protection locked="0"/>
    </xf>
    <xf numFmtId="197" fontId="55" fillId="0" borderId="0" xfId="0" applyNumberFormat="1" applyFont="1"/>
    <xf numFmtId="0" fontId="57" fillId="102" borderId="0" xfId="0" applyFont="1" applyFill="1" applyAlignment="1">
      <alignment vertical="center" wrapText="1"/>
    </xf>
    <xf numFmtId="197" fontId="51" fillId="0" borderId="0" xfId="0" applyNumberFormat="1" applyFont="1"/>
    <xf numFmtId="0" fontId="58" fillId="0" borderId="0" xfId="0" applyFont="1"/>
    <xf numFmtId="0" fontId="16" fillId="0" borderId="0" xfId="0" applyFont="1"/>
    <xf numFmtId="0" fontId="40" fillId="0" borderId="0" xfId="0" applyFont="1"/>
    <xf numFmtId="0" fontId="59" fillId="0" borderId="0" xfId="0" applyFont="1" applyAlignment="1">
      <alignment horizontal="center"/>
    </xf>
    <xf numFmtId="0" fontId="60" fillId="0" borderId="0" xfId="0" applyFont="1"/>
    <xf numFmtId="0" fontId="51" fillId="103" borderId="316" xfId="0" applyFont="1" applyFill="1" applyBorder="1" applyAlignment="1">
      <alignment horizontal="center"/>
    </xf>
    <xf numFmtId="0" fontId="51" fillId="104" borderId="316" xfId="0" applyFont="1" applyFill="1" applyBorder="1" applyAlignment="1">
      <alignment horizontal="center"/>
    </xf>
    <xf numFmtId="0" fontId="59" fillId="37" borderId="316" xfId="0" applyFont="1" applyFill="1" applyBorder="1" applyAlignment="1">
      <alignment horizontal="center"/>
    </xf>
    <xf numFmtId="0" fontId="59" fillId="12" borderId="316" xfId="0" applyFont="1" applyFill="1" applyBorder="1" applyAlignment="1">
      <alignment horizontal="center"/>
    </xf>
    <xf numFmtId="0" fontId="40" fillId="0" borderId="300" xfId="0" applyFont="1" applyBorder="1"/>
    <xf numFmtId="0" fontId="40" fillId="0" borderId="339" xfId="0" applyFont="1" applyBorder="1" applyAlignment="1">
      <alignment horizontal="left" wrapText="1"/>
    </xf>
    <xf numFmtId="0" fontId="40" fillId="0" borderId="300" xfId="0" applyFont="1" applyBorder="1" applyAlignment="1">
      <alignment horizontal="center"/>
    </xf>
    <xf numFmtId="198" fontId="40" fillId="0" borderId="300" xfId="0" applyNumberFormat="1" applyFont="1" applyBorder="1"/>
    <xf numFmtId="198" fontId="40" fillId="0" borderId="300" xfId="0" applyNumberFormat="1" applyFont="1" applyBorder="1" applyAlignment="1">
      <alignment horizontal="center"/>
    </xf>
    <xf numFmtId="0" fontId="40" fillId="0" borderId="304" xfId="0" applyFont="1" applyBorder="1"/>
    <xf numFmtId="0" fontId="40" fillId="0" borderId="304" xfId="0" applyFont="1" applyBorder="1" applyAlignment="1">
      <alignment horizontal="center"/>
    </xf>
    <xf numFmtId="190" fontId="40" fillId="0" borderId="304" xfId="0" applyNumberFormat="1" applyFont="1" applyBorder="1"/>
    <xf numFmtId="190" fontId="59" fillId="0" borderId="304" xfId="0" applyNumberFormat="1" applyFont="1" applyBorder="1" applyAlignment="1">
      <alignment horizontal="center"/>
    </xf>
    <xf numFmtId="190" fontId="40" fillId="0" borderId="300" xfId="0" applyNumberFormat="1" applyFont="1" applyBorder="1"/>
    <xf numFmtId="190" fontId="40" fillId="0" borderId="300" xfId="0" applyNumberFormat="1" applyFont="1" applyBorder="1" applyAlignment="1">
      <alignment horizontal="center"/>
    </xf>
    <xf numFmtId="0" fontId="40" fillId="0" borderId="339" xfId="0" applyFont="1" applyBorder="1" applyAlignment="1">
      <alignment wrapText="1"/>
    </xf>
    <xf numFmtId="198" fontId="40" fillId="0" borderId="304" xfId="0" applyNumberFormat="1" applyFont="1" applyBorder="1"/>
    <xf numFmtId="0" fontId="40" fillId="105" borderId="304" xfId="0" applyFont="1" applyFill="1" applyBorder="1"/>
    <xf numFmtId="0" fontId="40" fillId="43" borderId="339" xfId="0" applyFont="1" applyFill="1" applyBorder="1" applyAlignment="1">
      <alignment wrapText="1"/>
    </xf>
    <xf numFmtId="0" fontId="40" fillId="0" borderId="342" xfId="0" applyFont="1" applyBorder="1"/>
    <xf numFmtId="0" fontId="40" fillId="0" borderId="342" xfId="0" applyFont="1" applyBorder="1" applyAlignment="1">
      <alignment horizontal="center"/>
    </xf>
    <xf numFmtId="190" fontId="40" fillId="0" borderId="342" xfId="0" applyNumberFormat="1" applyFont="1" applyBorder="1"/>
    <xf numFmtId="198" fontId="40" fillId="0" borderId="342" xfId="0" applyNumberFormat="1" applyFont="1" applyBorder="1"/>
    <xf numFmtId="0" fontId="40" fillId="105" borderId="342" xfId="0" applyFont="1" applyFill="1" applyBorder="1"/>
    <xf numFmtId="0" fontId="59" fillId="12" borderId="138" xfId="0" applyFont="1" applyFill="1" applyBorder="1" applyAlignment="1">
      <alignment horizontal="center" vertical="center"/>
    </xf>
    <xf numFmtId="0" fontId="40" fillId="12" borderId="261" xfId="0" applyFont="1" applyFill="1" applyBorder="1"/>
    <xf numFmtId="0" fontId="40" fillId="12" borderId="261" xfId="0" applyFont="1" applyFill="1" applyBorder="1" applyAlignment="1">
      <alignment horizontal="center"/>
    </xf>
    <xf numFmtId="190" fontId="40" fillId="12" borderId="261" xfId="0" applyNumberFormat="1" applyFont="1" applyFill="1" applyBorder="1"/>
    <xf numFmtId="190" fontId="59" fillId="12" borderId="107" xfId="0" applyNumberFormat="1" applyFont="1" applyFill="1" applyBorder="1" applyAlignment="1">
      <alignment horizontal="center"/>
    </xf>
    <xf numFmtId="0" fontId="59" fillId="12" borderId="72" xfId="0" applyFont="1" applyFill="1" applyBorder="1" applyAlignment="1">
      <alignment horizontal="center" vertical="center"/>
    </xf>
    <xf numFmtId="0" fontId="40" fillId="12" borderId="307" xfId="0" applyFont="1" applyFill="1" applyBorder="1"/>
    <xf numFmtId="0" fontId="40" fillId="12" borderId="307" xfId="0" applyFont="1" applyFill="1" applyBorder="1" applyAlignment="1">
      <alignment horizontal="center"/>
    </xf>
    <xf numFmtId="190" fontId="59" fillId="12" borderId="307" xfId="0" applyNumberFormat="1" applyFont="1" applyFill="1" applyBorder="1" applyAlignment="1">
      <alignment horizontal="right"/>
    </xf>
    <xf numFmtId="190" fontId="59" fillId="12" borderId="308" xfId="0" applyNumberFormat="1" applyFont="1" applyFill="1" applyBorder="1" applyAlignment="1">
      <alignment horizontal="center"/>
    </xf>
    <xf numFmtId="190" fontId="40" fillId="0" borderId="302" xfId="0" applyNumberFormat="1" applyFont="1" applyBorder="1" applyAlignment="1">
      <alignment horizontal="center"/>
    </xf>
    <xf numFmtId="0" fontId="40" fillId="0" borderId="343" xfId="0" applyFont="1" applyBorder="1" applyAlignment="1">
      <alignment wrapText="1"/>
    </xf>
    <xf numFmtId="198" fontId="40" fillId="0" borderId="302" xfId="0" applyNumberFormat="1" applyFont="1" applyBorder="1" applyAlignment="1">
      <alignment horizontal="center"/>
    </xf>
    <xf numFmtId="0" fontId="40" fillId="0" borderId="285" xfId="0" applyFont="1" applyBorder="1"/>
    <xf numFmtId="0" fontId="40" fillId="0" borderId="285" xfId="0" applyFont="1" applyBorder="1" applyAlignment="1">
      <alignment horizontal="center"/>
    </xf>
    <xf numFmtId="190" fontId="40" fillId="0" borderId="285" xfId="0" applyNumberFormat="1" applyFont="1" applyBorder="1"/>
    <xf numFmtId="190" fontId="59" fillId="0" borderId="285" xfId="0" applyNumberFormat="1" applyFont="1" applyBorder="1" applyAlignment="1">
      <alignment horizontal="center"/>
    </xf>
    <xf numFmtId="0" fontId="40" fillId="12" borderId="72" xfId="0" applyFont="1" applyFill="1" applyBorder="1" applyAlignment="1">
      <alignment horizontal="center" vertical="center"/>
    </xf>
    <xf numFmtId="190" fontId="59" fillId="12" borderId="308" xfId="0" applyNumberFormat="1" applyFont="1" applyFill="1" applyBorder="1" applyAlignment="1">
      <alignment horizontal="right"/>
    </xf>
    <xf numFmtId="0" fontId="51" fillId="12" borderId="72" xfId="0" applyFont="1" applyFill="1" applyBorder="1" applyAlignment="1">
      <alignment horizontal="center" vertical="center"/>
    </xf>
    <xf numFmtId="0" fontId="40" fillId="12" borderId="344" xfId="0" applyFont="1" applyFill="1" applyBorder="1" applyAlignment="1">
      <alignment wrapText="1"/>
    </xf>
    <xf numFmtId="198" fontId="61" fillId="12" borderId="307" xfId="0" applyNumberFormat="1" applyFont="1" applyFill="1" applyBorder="1" applyAlignment="1">
      <alignment horizontal="right"/>
    </xf>
    <xf numFmtId="198" fontId="61" fillId="12" borderId="308" xfId="0" applyNumberFormat="1" applyFont="1" applyFill="1" applyBorder="1" applyAlignment="1">
      <alignment horizontal="center"/>
    </xf>
    <xf numFmtId="0" fontId="40" fillId="12" borderId="72" xfId="0" applyFont="1" applyFill="1" applyBorder="1" applyAlignment="1">
      <alignment horizontal="right" vertical="center"/>
    </xf>
    <xf numFmtId="0" fontId="40" fillId="12" borderId="307" xfId="0" applyFont="1" applyFill="1" applyBorder="1" applyAlignment="1">
      <alignment horizontal="right"/>
    </xf>
    <xf numFmtId="0" fontId="40" fillId="0" borderId="345" xfId="0" applyFont="1" applyBorder="1" applyAlignment="1">
      <alignment horizontal="center"/>
    </xf>
    <xf numFmtId="198" fontId="40" fillId="0" borderId="285" xfId="0" applyNumberFormat="1" applyFont="1" applyBorder="1"/>
    <xf numFmtId="198" fontId="40" fillId="0" borderId="285" xfId="0" applyNumberFormat="1" applyFont="1" applyBorder="1" applyAlignment="1">
      <alignment horizontal="center"/>
    </xf>
    <xf numFmtId="0" fontId="40" fillId="43" borderId="304" xfId="0" applyFont="1" applyFill="1" applyBorder="1" applyAlignment="1">
      <alignment horizontal="center"/>
    </xf>
    <xf numFmtId="0" fontId="40" fillId="0" borderId="270" xfId="0" applyFont="1" applyBorder="1"/>
    <xf numFmtId="0" fontId="40" fillId="0" borderId="270" xfId="0" applyFont="1" applyBorder="1" applyAlignment="1">
      <alignment horizontal="center"/>
    </xf>
    <xf numFmtId="190" fontId="40" fillId="0" borderId="270" xfId="0" applyNumberFormat="1" applyFont="1" applyBorder="1"/>
    <xf numFmtId="190" fontId="59" fillId="12" borderId="138" xfId="0" applyNumberFormat="1" applyFont="1" applyFill="1" applyBorder="1" applyAlignment="1">
      <alignment horizontal="right"/>
    </xf>
    <xf numFmtId="190" fontId="59" fillId="12" borderId="241" xfId="0" applyNumberFormat="1" applyFont="1" applyFill="1" applyBorder="1" applyAlignment="1">
      <alignment horizontal="center"/>
    </xf>
    <xf numFmtId="0" fontId="40" fillId="105" borderId="270" xfId="0" applyFont="1" applyFill="1" applyBorder="1"/>
    <xf numFmtId="198" fontId="40" fillId="0" borderId="270" xfId="0" applyNumberFormat="1" applyFont="1" applyBorder="1"/>
    <xf numFmtId="0" fontId="40" fillId="0" borderId="285" xfId="0" applyFont="1" applyBorder="1" applyAlignment="1">
      <alignment horizontal="center" vertical="center"/>
    </xf>
    <xf numFmtId="190" fontId="40" fillId="0" borderId="285" xfId="0" applyNumberFormat="1" applyFont="1" applyBorder="1" applyAlignment="1">
      <alignment horizontal="center"/>
    </xf>
    <xf numFmtId="0" fontId="40" fillId="0" borderId="300" xfId="0" applyFont="1" applyBorder="1" applyAlignment="1">
      <alignment horizontal="center" vertical="center"/>
    </xf>
    <xf numFmtId="0" fontId="40" fillId="106" borderId="307" xfId="0" applyFont="1" applyFill="1" applyBorder="1"/>
    <xf numFmtId="198" fontId="61" fillId="12" borderId="308" xfId="0" applyNumberFormat="1" applyFont="1" applyFill="1" applyBorder="1" applyAlignment="1">
      <alignment horizontal="right"/>
    </xf>
    <xf numFmtId="0" fontId="40" fillId="0" borderId="304" xfId="0" applyFont="1" applyBorder="1" applyAlignment="1">
      <alignment horizontal="center" vertical="center"/>
    </xf>
    <xf numFmtId="0" fontId="40" fillId="0" borderId="342" xfId="0" applyFont="1" applyBorder="1" applyAlignment="1">
      <alignment horizontal="center" vertical="center"/>
    </xf>
    <xf numFmtId="0" fontId="40" fillId="12" borderId="307" xfId="0" applyFont="1" applyFill="1" applyBorder="1" applyAlignment="1">
      <alignment horizontal="center" vertical="center"/>
    </xf>
    <xf numFmtId="190" fontId="40" fillId="12" borderId="309" xfId="0" applyNumberFormat="1" applyFont="1" applyFill="1" applyBorder="1"/>
    <xf numFmtId="0" fontId="40" fillId="0" borderId="302" xfId="0" applyFont="1" applyBorder="1" applyAlignment="1">
      <alignment horizontal="center"/>
    </xf>
    <xf numFmtId="0" fontId="40" fillId="0" borderId="0" xfId="0" applyFont="1" applyAlignment="1">
      <alignment wrapText="1"/>
    </xf>
    <xf numFmtId="0" fontId="59" fillId="12" borderId="307" xfId="0" applyFont="1" applyFill="1" applyBorder="1"/>
    <xf numFmtId="0" fontId="59" fillId="12" borderId="307" xfId="0" applyFont="1" applyFill="1" applyBorder="1" applyAlignment="1">
      <alignment horizontal="center"/>
    </xf>
    <xf numFmtId="0" fontId="59" fillId="12" borderId="307" xfId="0" applyFont="1" applyFill="1" applyBorder="1" applyAlignment="1">
      <alignment horizontal="center" vertical="center"/>
    </xf>
    <xf numFmtId="190" fontId="59" fillId="12" borderId="307" xfId="0" applyNumberFormat="1" applyFont="1" applyFill="1" applyBorder="1"/>
    <xf numFmtId="0" fontId="40" fillId="12" borderId="309" xfId="0" applyFont="1" applyFill="1" applyBorder="1" applyAlignment="1">
      <alignment horizontal="center"/>
    </xf>
    <xf numFmtId="198" fontId="61" fillId="12" borderId="72" xfId="0" applyNumberFormat="1" applyFont="1" applyFill="1" applyBorder="1" applyAlignment="1">
      <alignment horizontal="right"/>
    </xf>
    <xf numFmtId="0" fontId="59" fillId="12" borderId="291" xfId="0" applyFont="1" applyFill="1" applyBorder="1" applyAlignment="1">
      <alignment horizontal="center" vertical="center"/>
    </xf>
    <xf numFmtId="0" fontId="59" fillId="12" borderId="12" xfId="0" applyFont="1" applyFill="1" applyBorder="1"/>
    <xf numFmtId="0" fontId="59" fillId="12" borderId="12" xfId="0" applyFont="1" applyFill="1" applyBorder="1" applyAlignment="1">
      <alignment horizontal="center"/>
    </xf>
    <xf numFmtId="190" fontId="59" fillId="12" borderId="12" xfId="0" applyNumberFormat="1" applyFont="1" applyFill="1" applyBorder="1" applyAlignment="1">
      <alignment horizontal="right"/>
    </xf>
    <xf numFmtId="190" fontId="59" fillId="12" borderId="300" xfId="0" applyNumberFormat="1" applyFont="1" applyFill="1" applyBorder="1" applyAlignment="1">
      <alignment horizontal="right"/>
    </xf>
    <xf numFmtId="190" fontId="40" fillId="0" borderId="304" xfId="0" applyNumberFormat="1" applyFont="1" applyBorder="1" applyAlignment="1">
      <alignment horizontal="center"/>
    </xf>
    <xf numFmtId="0" fontId="51" fillId="107" borderId="138" xfId="0" applyFont="1" applyFill="1" applyBorder="1" applyAlignment="1">
      <alignment horizontal="center" vertical="center"/>
    </xf>
    <xf numFmtId="0" fontId="40" fillId="107" borderId="261" xfId="0" applyFont="1" applyFill="1" applyBorder="1"/>
    <xf numFmtId="0" fontId="40" fillId="107" borderId="261" xfId="0" applyFont="1" applyFill="1" applyBorder="1" applyAlignment="1">
      <alignment horizontal="center"/>
    </xf>
    <xf numFmtId="198" fontId="61" fillId="107" borderId="261" xfId="0" applyNumberFormat="1" applyFont="1" applyFill="1" applyBorder="1" applyAlignment="1">
      <alignment horizontal="right"/>
    </xf>
    <xf numFmtId="198" fontId="61" fillId="107" borderId="241" xfId="0" applyNumberFormat="1" applyFont="1" applyFill="1" applyBorder="1" applyAlignment="1">
      <alignment horizontal="right"/>
    </xf>
    <xf numFmtId="0" fontId="51" fillId="0" borderId="346" xfId="0" applyFont="1" applyBorder="1" applyAlignment="1">
      <alignment horizontal="center" vertical="center"/>
    </xf>
    <xf numFmtId="0" fontId="40" fillId="0" borderId="345" xfId="0" applyFont="1" applyBorder="1"/>
    <xf numFmtId="198" fontId="40" fillId="0" borderId="345" xfId="0" applyNumberFormat="1" applyFont="1" applyBorder="1"/>
    <xf numFmtId="198" fontId="40" fillId="0" borderId="345" xfId="0" applyNumberFormat="1" applyFont="1" applyBorder="1" applyAlignment="1">
      <alignment horizontal="center"/>
    </xf>
    <xf numFmtId="0" fontId="40" fillId="0" borderId="339" xfId="0" applyFont="1" applyBorder="1"/>
    <xf numFmtId="0" fontId="40" fillId="0" borderId="339" xfId="0" applyFont="1" applyBorder="1" applyAlignment="1">
      <alignment horizontal="center"/>
    </xf>
    <xf numFmtId="198" fontId="40" fillId="0" borderId="339" xfId="0" applyNumberFormat="1" applyFont="1" applyBorder="1"/>
    <xf numFmtId="198" fontId="40" fillId="0" borderId="339" xfId="0" applyNumberFormat="1" applyFont="1" applyBorder="1" applyAlignment="1">
      <alignment horizontal="center"/>
    </xf>
    <xf numFmtId="0" fontId="40" fillId="0" borderId="12" xfId="0" applyFont="1" applyBorder="1"/>
    <xf numFmtId="0" fontId="40" fillId="0" borderId="12" xfId="0" applyFont="1" applyBorder="1" applyAlignment="1">
      <alignment horizontal="center"/>
    </xf>
    <xf numFmtId="0" fontId="40" fillId="105" borderId="339" xfId="0" applyFont="1" applyFill="1" applyBorder="1"/>
    <xf numFmtId="190" fontId="40" fillId="0" borderId="342" xfId="0" applyNumberFormat="1" applyFont="1" applyBorder="1" applyAlignment="1">
      <alignment horizontal="center"/>
    </xf>
    <xf numFmtId="190" fontId="40" fillId="0" borderId="307" xfId="0" applyNumberFormat="1" applyFont="1" applyBorder="1" applyAlignment="1">
      <alignment horizontal="center"/>
    </xf>
    <xf numFmtId="0" fontId="40" fillId="12" borderId="138" xfId="0" applyFont="1" applyFill="1" applyBorder="1"/>
    <xf numFmtId="0" fontId="59" fillId="12" borderId="261" xfId="0" applyFont="1" applyFill="1" applyBorder="1" applyAlignment="1">
      <alignment horizontal="right"/>
    </xf>
    <xf numFmtId="190" fontId="59" fillId="12" borderId="241" xfId="0" applyNumberFormat="1" applyFont="1" applyFill="1" applyBorder="1"/>
    <xf numFmtId="0" fontId="59" fillId="12" borderId="138" xfId="0" applyFont="1" applyFill="1" applyBorder="1"/>
    <xf numFmtId="0" fontId="59" fillId="12" borderId="261" xfId="0" applyFont="1" applyFill="1" applyBorder="1"/>
    <xf numFmtId="0" fontId="59" fillId="12" borderId="261" xfId="0" applyFont="1" applyFill="1" applyBorder="1" applyAlignment="1">
      <alignment horizontal="center"/>
    </xf>
    <xf numFmtId="190" fontId="59" fillId="12" borderId="241" xfId="0" applyNumberFormat="1" applyFont="1" applyFill="1" applyBorder="1" applyAlignment="1">
      <alignment horizontal="right"/>
    </xf>
    <xf numFmtId="0" fontId="40" fillId="43" borderId="339" xfId="0" applyFont="1" applyFill="1" applyBorder="1"/>
    <xf numFmtId="0" fontId="59" fillId="12" borderId="138" xfId="0" applyFont="1" applyFill="1" applyBorder="1" applyAlignment="1">
      <alignment horizontal="right"/>
    </xf>
    <xf numFmtId="0" fontId="40" fillId="105" borderId="343" xfId="0" applyFont="1" applyFill="1" applyBorder="1"/>
    <xf numFmtId="0" fontId="40" fillId="0" borderId="343" xfId="0" applyFont="1" applyBorder="1" applyAlignment="1">
      <alignment horizontal="center"/>
    </xf>
    <xf numFmtId="198" fontId="40" fillId="0" borderId="343" xfId="0" applyNumberFormat="1" applyFont="1" applyBorder="1"/>
    <xf numFmtId="198" fontId="40" fillId="0" borderId="343" xfId="0" applyNumberFormat="1" applyFont="1" applyBorder="1" applyAlignment="1">
      <alignment horizontal="center"/>
    </xf>
    <xf numFmtId="0" fontId="61" fillId="12" borderId="138" xfId="0" applyFont="1" applyFill="1" applyBorder="1"/>
    <xf numFmtId="0" fontId="61" fillId="12" borderId="261" xfId="0" applyFont="1" applyFill="1" applyBorder="1"/>
    <xf numFmtId="0" fontId="61" fillId="12" borderId="261" xfId="0" applyFont="1" applyFill="1" applyBorder="1" applyAlignment="1">
      <alignment horizontal="right"/>
    </xf>
    <xf numFmtId="198" fontId="61" fillId="12" borderId="241" xfId="0" applyNumberFormat="1" applyFont="1" applyFill="1" applyBorder="1" applyAlignment="1">
      <alignment horizontal="right"/>
    </xf>
    <xf numFmtId="0" fontId="40" fillId="0" borderId="293" xfId="0" applyFont="1" applyBorder="1"/>
    <xf numFmtId="0" fontId="40" fillId="0" borderId="314" xfId="0" applyFont="1" applyBorder="1" applyAlignment="1">
      <alignment horizontal="center"/>
    </xf>
    <xf numFmtId="190" fontId="40" fillId="0" borderId="12" xfId="0" applyNumberFormat="1" applyFont="1" applyBorder="1"/>
    <xf numFmtId="0" fontId="59" fillId="12" borderId="72" xfId="0" applyFont="1" applyFill="1" applyBorder="1" applyAlignment="1">
      <alignment horizontal="right"/>
    </xf>
    <xf numFmtId="190" fontId="59" fillId="12" borderId="308" xfId="0" applyNumberFormat="1" applyFont="1" applyFill="1" applyBorder="1"/>
    <xf numFmtId="0" fontId="53" fillId="12" borderId="21" xfId="0" applyFont="1" applyFill="1" applyBorder="1" applyAlignment="1">
      <alignment horizontal="center" vertical="center"/>
    </xf>
    <xf numFmtId="191" fontId="53" fillId="12" borderId="21" xfId="0" applyNumberFormat="1" applyFont="1" applyFill="1" applyBorder="1" applyAlignment="1">
      <alignment horizontal="center" vertical="center"/>
    </xf>
    <xf numFmtId="193" fontId="53" fillId="12" borderId="21" xfId="0" applyNumberFormat="1" applyFont="1" applyFill="1" applyBorder="1" applyAlignment="1">
      <alignment horizontal="center" vertical="center"/>
    </xf>
    <xf numFmtId="191" fontId="54" fillId="12" borderId="21" xfId="0" applyNumberFormat="1" applyFont="1" applyFill="1" applyBorder="1" applyAlignment="1">
      <alignment horizontal="center" vertical="center"/>
    </xf>
    <xf numFmtId="192" fontId="52" fillId="12" borderId="304" xfId="0" applyNumberFormat="1" applyFont="1" applyFill="1" applyBorder="1" applyAlignment="1">
      <alignment horizontal="center" vertical="center" wrapText="1"/>
    </xf>
    <xf numFmtId="192" fontId="52" fillId="108" borderId="304" xfId="0" applyNumberFormat="1" applyFont="1" applyFill="1" applyBorder="1" applyAlignment="1">
      <alignment horizontal="left" vertical="center" wrapText="1"/>
    </xf>
    <xf numFmtId="0" fontId="53" fillId="108" borderId="304" xfId="0" applyFont="1" applyFill="1" applyBorder="1" applyAlignment="1">
      <alignment horizontal="center"/>
    </xf>
    <xf numFmtId="0" fontId="53" fillId="108" borderId="304" xfId="298" applyFont="1" applyFill="1" applyBorder="1" applyAlignment="1" applyProtection="1">
      <alignment horizontal="center"/>
    </xf>
    <xf numFmtId="193" fontId="53" fillId="108" borderId="304" xfId="13" applyNumberFormat="1" applyFont="1" applyFill="1" applyBorder="1" applyAlignment="1">
      <alignment horizontal="center"/>
    </xf>
    <xf numFmtId="0" fontId="54" fillId="108" borderId="304" xfId="298" applyFont="1" applyFill="1" applyBorder="1" applyAlignment="1" applyProtection="1">
      <alignment horizontal="center"/>
    </xf>
    <xf numFmtId="194" fontId="53" fillId="108" borderId="304" xfId="0" applyNumberFormat="1" applyFont="1" applyFill="1" applyBorder="1" applyAlignment="1">
      <alignment horizontal="center" vertical="center"/>
    </xf>
    <xf numFmtId="191" fontId="54" fillId="108" borderId="21" xfId="0" applyNumberFormat="1" applyFont="1" applyFill="1" applyBorder="1" applyAlignment="1">
      <alignment horizontal="center"/>
    </xf>
    <xf numFmtId="192" fontId="52" fillId="108" borderId="21" xfId="0" applyNumberFormat="1" applyFont="1" applyFill="1" applyBorder="1" applyAlignment="1">
      <alignment horizontal="left" vertical="center" wrapText="1"/>
    </xf>
    <xf numFmtId="192" fontId="52" fillId="108" borderId="21" xfId="0" applyNumberFormat="1" applyFont="1" applyFill="1" applyBorder="1" applyAlignment="1">
      <alignment horizontal="center" vertical="center" wrapText="1"/>
    </xf>
    <xf numFmtId="0" fontId="53" fillId="108" borderId="21" xfId="0" applyFont="1" applyFill="1" applyBorder="1" applyAlignment="1">
      <alignment horizontal="center"/>
    </xf>
    <xf numFmtId="191" fontId="53" fillId="108" borderId="21" xfId="0" applyNumberFormat="1" applyFont="1" applyFill="1" applyBorder="1" applyAlignment="1">
      <alignment horizontal="center"/>
    </xf>
    <xf numFmtId="193" fontId="53" fillId="108" borderId="21" xfId="0" applyNumberFormat="1" applyFont="1" applyFill="1" applyBorder="1" applyAlignment="1">
      <alignment horizontal="center"/>
    </xf>
    <xf numFmtId="194" fontId="53" fillId="108" borderId="21" xfId="0" applyNumberFormat="1" applyFont="1" applyFill="1" applyBorder="1" applyAlignment="1">
      <alignment horizontal="center" vertical="center"/>
    </xf>
    <xf numFmtId="0" fontId="0" fillId="12" borderId="312" xfId="0" applyFill="1" applyBorder="1" applyAlignment="1" applyProtection="1">
      <alignment horizontal="left" vertical="center"/>
      <protection locked="0"/>
    </xf>
    <xf numFmtId="0" fontId="0" fillId="12" borderId="304" xfId="0" applyFill="1" applyBorder="1" applyProtection="1">
      <protection locked="0"/>
    </xf>
    <xf numFmtId="0" fontId="0" fillId="12" borderId="293" xfId="0" applyFill="1" applyBorder="1" applyProtection="1">
      <protection locked="0"/>
    </xf>
    <xf numFmtId="178" fontId="0" fillId="12" borderId="293" xfId="13" applyNumberFormat="1" applyFont="1" applyFill="1" applyBorder="1" applyAlignment="1" applyProtection="1">
      <alignment vertical="center"/>
      <protection locked="0"/>
    </xf>
    <xf numFmtId="0" fontId="0" fillId="108" borderId="285" xfId="0" applyFill="1" applyBorder="1" applyAlignment="1" applyProtection="1">
      <alignment horizontal="left" vertical="center"/>
      <protection locked="0"/>
    </xf>
    <xf numFmtId="0" fontId="0" fillId="108" borderId="285" xfId="0" applyFill="1" applyBorder="1" applyProtection="1">
      <protection locked="0"/>
    </xf>
    <xf numFmtId="0" fontId="0" fillId="12" borderId="286" xfId="0" applyFill="1" applyBorder="1" applyProtection="1">
      <protection locked="0"/>
    </xf>
    <xf numFmtId="178" fontId="0" fillId="12" borderId="285" xfId="13" applyNumberFormat="1" applyFont="1" applyFill="1" applyBorder="1" applyAlignment="1" applyProtection="1">
      <alignment vertical="center"/>
      <protection locked="0"/>
    </xf>
    <xf numFmtId="178" fontId="0" fillId="12" borderId="286" xfId="13" applyNumberFormat="1" applyFont="1" applyFill="1" applyBorder="1" applyAlignment="1" applyProtection="1">
      <alignment vertical="center"/>
      <protection locked="0"/>
    </xf>
    <xf numFmtId="0" fontId="0" fillId="108" borderId="304" xfId="0" applyFill="1" applyBorder="1" applyAlignment="1" applyProtection="1">
      <alignment horizontal="left" vertical="center"/>
      <protection locked="0"/>
    </xf>
    <xf numFmtId="0" fontId="0" fillId="108" borderId="304" xfId="0" applyFill="1" applyBorder="1" applyProtection="1">
      <protection locked="0"/>
    </xf>
    <xf numFmtId="0" fontId="0" fillId="108" borderId="299" xfId="0" applyFill="1" applyBorder="1" applyAlignment="1" applyProtection="1">
      <alignment horizontal="left" vertical="center"/>
      <protection locked="0"/>
    </xf>
    <xf numFmtId="0" fontId="0" fillId="108" borderId="300" xfId="0" applyFill="1" applyBorder="1" applyAlignment="1" applyProtection="1">
      <alignment horizontal="left" vertical="center"/>
      <protection locked="0"/>
    </xf>
    <xf numFmtId="0" fontId="0" fillId="108" borderId="300" xfId="0" applyFill="1" applyBorder="1" applyProtection="1">
      <protection locked="0"/>
    </xf>
    <xf numFmtId="0" fontId="0" fillId="12" borderId="276" xfId="0" applyFill="1" applyBorder="1" applyProtection="1">
      <protection locked="0"/>
    </xf>
    <xf numFmtId="178" fontId="0" fillId="12" borderId="276" xfId="13" applyNumberFormat="1" applyFont="1" applyFill="1" applyBorder="1" applyAlignment="1" applyProtection="1">
      <alignment vertical="center"/>
      <protection locked="0"/>
    </xf>
    <xf numFmtId="0" fontId="0" fillId="108" borderId="283" xfId="0" applyFill="1" applyBorder="1" applyAlignment="1" applyProtection="1">
      <alignment horizontal="left" vertical="center"/>
      <protection locked="0"/>
    </xf>
    <xf numFmtId="0" fontId="0" fillId="12" borderId="285" xfId="0" applyFill="1" applyBorder="1" applyProtection="1">
      <protection locked="0"/>
    </xf>
    <xf numFmtId="0" fontId="0" fillId="108" borderId="312" xfId="0" applyFill="1" applyBorder="1" applyAlignment="1" applyProtection="1">
      <alignment horizontal="left" vertical="center"/>
      <protection locked="0"/>
    </xf>
    <xf numFmtId="9" fontId="0" fillId="12" borderId="312" xfId="0" applyNumberFormat="1" applyFill="1" applyBorder="1" applyAlignment="1" applyProtection="1">
      <alignment horizontal="center" vertical="center"/>
      <protection locked="0"/>
    </xf>
    <xf numFmtId="169" fontId="0" fillId="12" borderId="243" xfId="16" applyFont="1" applyFill="1" applyBorder="1" applyAlignment="1" applyProtection="1">
      <alignment horizontal="center" vertical="center"/>
      <protection locked="0"/>
    </xf>
    <xf numFmtId="169" fontId="0" fillId="12" borderId="314" xfId="16" applyFont="1" applyFill="1" applyBorder="1" applyAlignment="1" applyProtection="1">
      <alignment horizontal="center" vertical="center"/>
      <protection locked="0"/>
    </xf>
    <xf numFmtId="168" fontId="0" fillId="12" borderId="304" xfId="13" applyNumberFormat="1" applyFont="1" applyFill="1" applyBorder="1" applyAlignment="1" applyProtection="1">
      <alignment vertical="center"/>
      <protection locked="0"/>
    </xf>
    <xf numFmtId="168" fontId="0" fillId="12" borderId="304" xfId="26" applyNumberFormat="1" applyFont="1" applyFill="1" applyBorder="1" applyAlignment="1" applyProtection="1">
      <alignment vertical="center"/>
      <protection locked="0"/>
    </xf>
    <xf numFmtId="0" fontId="25" fillId="12" borderId="14" xfId="0" applyFont="1" applyFill="1" applyBorder="1" applyAlignment="1" applyProtection="1">
      <alignment horizontal="center" vertical="center"/>
      <protection locked="0"/>
    </xf>
    <xf numFmtId="0" fontId="12" fillId="17" borderId="304" xfId="0" applyFont="1" applyFill="1" applyBorder="1" applyAlignment="1">
      <alignment horizontal="center" vertical="center"/>
    </xf>
    <xf numFmtId="0" fontId="14" fillId="17" borderId="304" xfId="0" applyFont="1" applyFill="1" applyBorder="1" applyAlignment="1">
      <alignment horizontal="center" vertical="center" wrapText="1"/>
    </xf>
    <xf numFmtId="174" fontId="14" fillId="17" borderId="304" xfId="12" applyNumberFormat="1" applyFont="1" applyFill="1" applyBorder="1" applyAlignment="1">
      <alignment horizontal="center" vertical="center" wrapText="1"/>
    </xf>
    <xf numFmtId="0" fontId="14" fillId="21" borderId="26" xfId="0" applyFont="1" applyFill="1" applyBorder="1" applyAlignment="1">
      <alignment horizontal="center" vertical="center"/>
    </xf>
    <xf numFmtId="0" fontId="12" fillId="23" borderId="14" xfId="0" applyFont="1" applyFill="1" applyBorder="1" applyAlignment="1">
      <alignment horizontal="left" vertical="center"/>
    </xf>
    <xf numFmtId="168" fontId="12" fillId="23" borderId="304" xfId="13" applyNumberFormat="1" applyFont="1" applyFill="1" applyBorder="1" applyAlignment="1">
      <alignment horizontal="center" vertical="center"/>
    </xf>
    <xf numFmtId="168" fontId="12" fillId="24" borderId="304" xfId="13" applyNumberFormat="1" applyFont="1" applyFill="1" applyBorder="1" applyAlignment="1">
      <alignment vertical="center"/>
    </xf>
    <xf numFmtId="168" fontId="14" fillId="41" borderId="304" xfId="13" applyNumberFormat="1" applyFont="1" applyFill="1" applyBorder="1" applyAlignment="1">
      <alignment vertical="center"/>
    </xf>
    <xf numFmtId="168" fontId="12" fillId="23" borderId="26" xfId="13" applyNumberFormat="1" applyFont="1" applyFill="1" applyBorder="1" applyAlignment="1">
      <alignment horizontal="center" vertical="center"/>
    </xf>
    <xf numFmtId="0" fontId="12" fillId="20" borderId="14" xfId="0" applyFont="1" applyFill="1" applyBorder="1" applyAlignment="1">
      <alignment horizontal="left" vertical="center"/>
    </xf>
    <xf numFmtId="168" fontId="12" fillId="20" borderId="304" xfId="13" applyNumberFormat="1" applyFont="1" applyFill="1" applyBorder="1" applyAlignment="1">
      <alignment horizontal="center" vertical="center"/>
    </xf>
    <xf numFmtId="168" fontId="12" fillId="22" borderId="304" xfId="13" applyNumberFormat="1" applyFont="1" applyFill="1" applyBorder="1" applyAlignment="1">
      <alignment vertical="center"/>
    </xf>
    <xf numFmtId="168" fontId="14" fillId="42" borderId="304" xfId="13" applyNumberFormat="1" applyFont="1" applyFill="1" applyBorder="1" applyAlignment="1">
      <alignment vertical="center"/>
    </xf>
    <xf numFmtId="175" fontId="20" fillId="0" borderId="14" xfId="0" applyNumberFormat="1" applyFont="1" applyBorder="1" applyAlignment="1">
      <alignment horizontal="left"/>
    </xf>
    <xf numFmtId="168" fontId="0" fillId="46" borderId="304" xfId="13" applyNumberFormat="1" applyFont="1" applyFill="1" applyBorder="1" applyAlignment="1">
      <alignment vertical="center"/>
    </xf>
    <xf numFmtId="168" fontId="20" fillId="1" borderId="304" xfId="13" applyNumberFormat="1" applyFont="1" applyFill="1" applyBorder="1" applyAlignment="1">
      <alignment vertical="center"/>
    </xf>
    <xf numFmtId="176" fontId="20" fillId="1" borderId="304" xfId="12" applyNumberFormat="1" applyFont="1" applyFill="1" applyBorder="1" applyAlignment="1">
      <alignment vertical="center"/>
    </xf>
    <xf numFmtId="168" fontId="20" fillId="29" borderId="304" xfId="13" applyNumberFormat="1" applyFont="1" applyFill="1" applyBorder="1" applyAlignment="1">
      <alignment vertical="center"/>
    </xf>
    <xf numFmtId="168" fontId="12" fillId="28" borderId="26" xfId="13" applyNumberFormat="1" applyFont="1" applyFill="1" applyBorder="1" applyAlignment="1">
      <alignment vertical="center"/>
    </xf>
    <xf numFmtId="168" fontId="20" fillId="12" borderId="304" xfId="13" applyNumberFormat="1" applyFont="1" applyFill="1" applyBorder="1" applyAlignment="1" applyProtection="1">
      <alignment vertical="center"/>
      <protection locked="0"/>
    </xf>
    <xf numFmtId="176" fontId="20" fillId="12" borderId="304" xfId="12" applyNumberFormat="1" applyFont="1" applyFill="1" applyBorder="1" applyAlignment="1" applyProtection="1">
      <alignment vertical="center"/>
      <protection locked="0"/>
    </xf>
    <xf numFmtId="168" fontId="12" fillId="20" borderId="304" xfId="13" applyNumberFormat="1" applyFont="1" applyFill="1" applyBorder="1" applyAlignment="1" applyProtection="1">
      <alignment horizontal="center" vertical="center"/>
      <protection locked="0"/>
    </xf>
    <xf numFmtId="168" fontId="12" fillId="22" borderId="304" xfId="13" applyNumberFormat="1" applyFont="1" applyFill="1" applyBorder="1" applyAlignment="1" applyProtection="1">
      <alignment vertical="center"/>
      <protection locked="0"/>
    </xf>
    <xf numFmtId="175" fontId="32" fillId="0" borderId="14" xfId="0" applyNumberFormat="1" applyFont="1" applyBorder="1" applyAlignment="1">
      <alignment horizontal="left"/>
    </xf>
    <xf numFmtId="168" fontId="15" fillId="12" borderId="304" xfId="13" applyNumberFormat="1" applyFill="1" applyBorder="1" applyAlignment="1" applyProtection="1">
      <alignment vertical="center"/>
      <protection locked="0"/>
    </xf>
    <xf numFmtId="41" fontId="20" fillId="12" borderId="304" xfId="32" applyFont="1" applyFill="1" applyBorder="1" applyAlignment="1" applyProtection="1">
      <alignment vertical="center"/>
      <protection locked="0"/>
    </xf>
    <xf numFmtId="168" fontId="20" fillId="51" borderId="304" xfId="13" applyNumberFormat="1" applyFont="1" applyFill="1" applyBorder="1" applyAlignment="1" applyProtection="1">
      <alignment vertical="center"/>
      <protection locked="0"/>
    </xf>
    <xf numFmtId="41" fontId="12" fillId="51" borderId="304" xfId="32" applyFont="1" applyFill="1" applyBorder="1" applyAlignment="1" applyProtection="1">
      <alignment vertical="center"/>
      <protection locked="0"/>
    </xf>
    <xf numFmtId="168" fontId="20" fillId="50" borderId="304" xfId="13" applyNumberFormat="1" applyFont="1" applyFill="1" applyBorder="1" applyAlignment="1" applyProtection="1">
      <alignment vertical="center"/>
      <protection locked="0"/>
    </xf>
    <xf numFmtId="41" fontId="20" fillId="50" borderId="304" xfId="32" applyFont="1" applyFill="1" applyBorder="1" applyAlignment="1" applyProtection="1">
      <alignment vertical="center"/>
      <protection locked="0"/>
    </xf>
    <xf numFmtId="168" fontId="12" fillId="51" borderId="304" xfId="13" applyNumberFormat="1" applyFont="1" applyFill="1" applyBorder="1" applyAlignment="1" applyProtection="1">
      <alignment vertical="center"/>
      <protection locked="0"/>
    </xf>
    <xf numFmtId="168" fontId="12" fillId="23" borderId="304" xfId="13" applyNumberFormat="1" applyFont="1" applyFill="1" applyBorder="1" applyAlignment="1" applyProtection="1">
      <alignment horizontal="center" vertical="center"/>
      <protection locked="0"/>
    </xf>
    <xf numFmtId="168" fontId="12" fillId="41" borderId="304" xfId="13" applyNumberFormat="1" applyFont="1" applyFill="1" applyBorder="1" applyAlignment="1" applyProtection="1">
      <alignment vertical="center"/>
      <protection locked="0"/>
    </xf>
    <xf numFmtId="168" fontId="12" fillId="42" borderId="304" xfId="13" applyNumberFormat="1" applyFont="1" applyFill="1" applyBorder="1" applyAlignment="1" applyProtection="1">
      <alignment vertical="center"/>
      <protection locked="0"/>
    </xf>
    <xf numFmtId="168" fontId="12" fillId="20" borderId="304" xfId="13" applyNumberFormat="1" applyFont="1" applyFill="1" applyBorder="1" applyAlignment="1">
      <alignment vertical="center"/>
    </xf>
    <xf numFmtId="168" fontId="12" fillId="20" borderId="26" xfId="13" applyNumberFormat="1" applyFont="1" applyFill="1" applyBorder="1" applyAlignment="1">
      <alignment vertical="center"/>
    </xf>
    <xf numFmtId="41" fontId="12" fillId="42" borderId="304" xfId="32" applyFont="1" applyFill="1" applyBorder="1" applyAlignment="1" applyProtection="1">
      <alignment vertical="center"/>
      <protection locked="0"/>
    </xf>
    <xf numFmtId="168" fontId="0" fillId="50" borderId="304" xfId="13" applyNumberFormat="1" applyFont="1" applyFill="1" applyBorder="1" applyAlignment="1">
      <alignment vertical="center"/>
    </xf>
    <xf numFmtId="168" fontId="0" fillId="29" borderId="304" xfId="13" applyNumberFormat="1" applyFont="1" applyFill="1" applyBorder="1" applyAlignment="1">
      <alignment vertical="center"/>
    </xf>
    <xf numFmtId="41" fontId="20" fillId="29" borderId="304" xfId="32" applyFont="1" applyFill="1" applyBorder="1" applyAlignment="1" applyProtection="1">
      <alignment vertical="center"/>
    </xf>
    <xf numFmtId="168" fontId="20" fillId="50" borderId="304" xfId="13" applyNumberFormat="1" applyFont="1" applyFill="1" applyBorder="1" applyAlignment="1">
      <alignment vertical="center"/>
    </xf>
    <xf numFmtId="168" fontId="14" fillId="43" borderId="304" xfId="13" applyNumberFormat="1" applyFont="1" applyFill="1" applyBorder="1" applyAlignment="1">
      <alignment horizontal="center" vertical="center"/>
    </xf>
    <xf numFmtId="167" fontId="14" fillId="32" borderId="304" xfId="13" applyNumberFormat="1" applyFont="1" applyFill="1" applyBorder="1" applyAlignment="1">
      <alignment vertical="center"/>
    </xf>
    <xf numFmtId="167" fontId="14" fillId="33" borderId="304" xfId="13" applyNumberFormat="1" applyFont="1" applyFill="1" applyBorder="1" applyAlignment="1">
      <alignment vertical="center"/>
    </xf>
    <xf numFmtId="0" fontId="14" fillId="43" borderId="304" xfId="0" applyFont="1" applyFill="1" applyBorder="1" applyAlignment="1">
      <alignment horizontal="center" vertical="center"/>
    </xf>
    <xf numFmtId="181" fontId="15" fillId="12" borderId="304" xfId="13" applyNumberFormat="1" applyFill="1" applyBorder="1"/>
    <xf numFmtId="0" fontId="14" fillId="20" borderId="351" xfId="0" applyFont="1" applyFill="1" applyBorder="1" applyAlignment="1">
      <alignment horizontal="center" vertical="center" wrapText="1"/>
    </xf>
    <xf numFmtId="168" fontId="12" fillId="20" borderId="351" xfId="13" applyNumberFormat="1" applyFont="1" applyFill="1" applyBorder="1" applyAlignment="1">
      <alignment horizontal="center" vertical="center"/>
    </xf>
    <xf numFmtId="1" fontId="0" fillId="0" borderId="351" xfId="0" applyNumberFormat="1" applyBorder="1" applyAlignment="1">
      <alignment horizontal="center" vertical="center" wrapText="1"/>
    </xf>
    <xf numFmtId="41" fontId="20" fillId="51" borderId="304" xfId="32" applyFont="1" applyFill="1" applyBorder="1" applyAlignment="1" applyProtection="1">
      <alignment vertical="center"/>
      <protection locked="0"/>
    </xf>
    <xf numFmtId="41" fontId="12" fillId="41" borderId="304" xfId="32" applyFont="1" applyFill="1" applyBorder="1" applyAlignment="1" applyProtection="1">
      <alignment vertical="center"/>
      <protection locked="0"/>
    </xf>
    <xf numFmtId="1" fontId="0" fillId="43" borderId="351" xfId="0" applyNumberFormat="1" applyFill="1" applyBorder="1" applyAlignment="1">
      <alignment horizontal="center" vertical="center" wrapText="1"/>
    </xf>
    <xf numFmtId="175" fontId="20" fillId="0" borderId="352" xfId="0" applyNumberFormat="1" applyFont="1" applyBorder="1" applyAlignment="1">
      <alignment horizontal="left"/>
    </xf>
    <xf numFmtId="168" fontId="12" fillId="28" borderId="353" xfId="13" applyNumberFormat="1" applyFont="1" applyFill="1" applyBorder="1" applyAlignment="1">
      <alignment vertical="center"/>
    </xf>
    <xf numFmtId="0" fontId="14" fillId="31" borderId="354" xfId="0" applyFont="1" applyFill="1" applyBorder="1" applyAlignment="1">
      <alignment horizontal="center" vertical="center" wrapText="1"/>
    </xf>
    <xf numFmtId="0" fontId="14" fillId="32" borderId="355" xfId="0" applyFont="1" applyFill="1" applyBorder="1" applyAlignment="1">
      <alignment vertical="center"/>
    </xf>
    <xf numFmtId="167" fontId="14" fillId="32" borderId="356" xfId="13" applyNumberFormat="1" applyFont="1" applyFill="1" applyBorder="1" applyAlignment="1">
      <alignment vertical="center"/>
    </xf>
    <xf numFmtId="0" fontId="12" fillId="64" borderId="304" xfId="0" applyFont="1" applyFill="1" applyBorder="1" applyAlignment="1">
      <alignment horizontal="center" vertical="center"/>
    </xf>
    <xf numFmtId="0" fontId="14" fillId="64" borderId="304" xfId="0" applyFont="1" applyFill="1" applyBorder="1" applyAlignment="1">
      <alignment horizontal="center" vertical="center" wrapText="1"/>
    </xf>
    <xf numFmtId="174" fontId="14" fillId="64" borderId="304" xfId="12" applyNumberFormat="1" applyFont="1" applyFill="1" applyBorder="1" applyAlignment="1">
      <alignment horizontal="center" vertical="center" wrapText="1"/>
    </xf>
    <xf numFmtId="42" fontId="0" fillId="12" borderId="304" xfId="31" applyFont="1" applyFill="1" applyBorder="1" applyAlignment="1" applyProtection="1">
      <alignment horizontal="center" vertical="center"/>
      <protection locked="0"/>
    </xf>
    <xf numFmtId="181" fontId="15" fillId="87" borderId="304" xfId="13" applyNumberFormat="1" applyFill="1" applyBorder="1" applyAlignment="1">
      <alignment vertical="center"/>
    </xf>
    <xf numFmtId="181" fontId="15" fillId="87" borderId="304" xfId="13" applyNumberFormat="1" applyFill="1" applyBorder="1"/>
    <xf numFmtId="42" fontId="0" fillId="50" borderId="304" xfId="31" applyFont="1" applyFill="1" applyBorder="1" applyAlignment="1" applyProtection="1">
      <alignment horizontal="center" vertical="center"/>
      <protection locked="0"/>
    </xf>
    <xf numFmtId="175" fontId="20" fillId="92" borderId="14" xfId="0" applyNumberFormat="1" applyFont="1" applyFill="1" applyBorder="1" applyAlignment="1">
      <alignment horizontal="left"/>
    </xf>
    <xf numFmtId="175" fontId="20" fillId="92" borderId="14" xfId="0" applyNumberFormat="1" applyFont="1" applyFill="1" applyBorder="1" applyAlignment="1">
      <alignment horizontal="left" wrapText="1"/>
    </xf>
    <xf numFmtId="0" fontId="12" fillId="75" borderId="304" xfId="0" applyFont="1" applyFill="1" applyBorder="1" applyAlignment="1">
      <alignment horizontal="center" vertical="center"/>
    </xf>
    <xf numFmtId="0" fontId="14" fillId="75" borderId="304" xfId="0" applyFont="1" applyFill="1" applyBorder="1" applyAlignment="1">
      <alignment horizontal="center" vertical="center" wrapText="1"/>
    </xf>
    <xf numFmtId="174" fontId="14" fillId="75" borderId="304" xfId="12" applyNumberFormat="1" applyFont="1" applyFill="1" applyBorder="1" applyAlignment="1">
      <alignment horizontal="center" vertical="center" wrapText="1"/>
    </xf>
    <xf numFmtId="168" fontId="12" fillId="54" borderId="304" xfId="13" applyNumberFormat="1" applyFont="1" applyFill="1" applyBorder="1" applyAlignment="1">
      <alignment vertical="center"/>
    </xf>
    <xf numFmtId="168" fontId="12" fillId="82" borderId="304" xfId="13" applyNumberFormat="1" applyFont="1" applyFill="1" applyBorder="1" applyAlignment="1">
      <alignment vertical="center"/>
    </xf>
    <xf numFmtId="176" fontId="20" fillId="29" borderId="304" xfId="12" applyNumberFormat="1" applyFont="1" applyFill="1" applyBorder="1" applyAlignment="1">
      <alignment vertical="center"/>
    </xf>
    <xf numFmtId="168" fontId="12" fillId="82" borderId="304" xfId="13" applyNumberFormat="1" applyFont="1" applyFill="1" applyBorder="1" applyAlignment="1" applyProtection="1">
      <alignment vertical="center"/>
      <protection locked="0"/>
    </xf>
    <xf numFmtId="176" fontId="15" fillId="12" borderId="304" xfId="12" applyNumberFormat="1" applyFill="1" applyBorder="1" applyProtection="1">
      <protection locked="0"/>
    </xf>
    <xf numFmtId="176" fontId="15" fillId="50" borderId="304" xfId="12" applyNumberFormat="1" applyFill="1" applyBorder="1" applyProtection="1">
      <protection locked="0"/>
    </xf>
    <xf numFmtId="168" fontId="12" fillId="23" borderId="351" xfId="13" applyNumberFormat="1" applyFont="1" applyFill="1" applyBorder="1" applyAlignment="1" applyProtection="1">
      <alignment horizontal="center" vertical="center"/>
      <protection locked="0"/>
    </xf>
    <xf numFmtId="168" fontId="12" fillId="83" borderId="304" xfId="13" applyNumberFormat="1" applyFont="1" applyFill="1" applyBorder="1" applyAlignment="1" applyProtection="1">
      <alignment vertical="center"/>
      <protection locked="0"/>
    </xf>
    <xf numFmtId="168" fontId="12" fillId="23" borderId="351" xfId="13" applyNumberFormat="1" applyFont="1" applyFill="1" applyBorder="1" applyAlignment="1">
      <alignment horizontal="center" vertical="center"/>
    </xf>
    <xf numFmtId="168" fontId="20" fillId="57" borderId="304" xfId="13" applyNumberFormat="1" applyFont="1" applyFill="1" applyBorder="1" applyAlignment="1">
      <alignment vertical="center"/>
    </xf>
    <xf numFmtId="176" fontId="15" fillId="29" borderId="304" xfId="12" applyNumberFormat="1" applyFill="1" applyBorder="1"/>
    <xf numFmtId="0" fontId="14" fillId="32" borderId="361" xfId="0" applyFont="1" applyFill="1" applyBorder="1" applyAlignment="1">
      <alignment vertical="center"/>
    </xf>
    <xf numFmtId="167" fontId="14" fillId="84" borderId="304" xfId="13" applyNumberFormat="1" applyFont="1" applyFill="1" applyBorder="1" applyAlignment="1">
      <alignment vertical="center"/>
    </xf>
    <xf numFmtId="168" fontId="12" fillId="69" borderId="304" xfId="13" applyNumberFormat="1" applyFont="1" applyFill="1" applyBorder="1" applyAlignment="1">
      <alignment horizontal="center" vertical="center"/>
    </xf>
    <xf numFmtId="168" fontId="12" fillId="77" borderId="304" xfId="13" applyNumberFormat="1" applyFont="1" applyFill="1" applyBorder="1" applyAlignment="1">
      <alignment vertical="center"/>
    </xf>
    <xf numFmtId="168" fontId="14" fillId="24" borderId="304" xfId="13" applyNumberFormat="1" applyFont="1" applyFill="1" applyBorder="1" applyAlignment="1">
      <alignment vertical="center"/>
    </xf>
    <xf numFmtId="168" fontId="12" fillId="69" borderId="26" xfId="13" applyNumberFormat="1" applyFont="1" applyFill="1" applyBorder="1" applyAlignment="1">
      <alignment horizontal="center" vertical="center"/>
    </xf>
    <xf numFmtId="168" fontId="12" fillId="70" borderId="304" xfId="13" applyNumberFormat="1" applyFont="1" applyFill="1" applyBorder="1" applyAlignment="1">
      <alignment horizontal="center" vertical="center"/>
    </xf>
    <xf numFmtId="168" fontId="12" fillId="55" borderId="304" xfId="13" applyNumberFormat="1" applyFont="1" applyFill="1" applyBorder="1" applyAlignment="1">
      <alignment vertical="center"/>
    </xf>
    <xf numFmtId="168" fontId="14" fillId="22" borderId="304" xfId="13" applyNumberFormat="1" applyFont="1" applyFill="1" applyBorder="1" applyAlignment="1">
      <alignment vertical="center"/>
    </xf>
    <xf numFmtId="168" fontId="12" fillId="70" borderId="351" xfId="13" applyNumberFormat="1" applyFont="1" applyFill="1" applyBorder="1" applyAlignment="1">
      <alignment horizontal="center" vertical="center"/>
    </xf>
    <xf numFmtId="168" fontId="0" fillId="67" borderId="304" xfId="13" applyNumberFormat="1" applyFont="1" applyFill="1" applyBorder="1" applyAlignment="1">
      <alignment vertical="center"/>
    </xf>
    <xf numFmtId="168" fontId="20" fillId="68" borderId="304" xfId="13" applyNumberFormat="1" applyFont="1" applyFill="1" applyBorder="1" applyAlignment="1">
      <alignment vertical="center"/>
    </xf>
    <xf numFmtId="176" fontId="20" fillId="68" borderId="304" xfId="12" applyNumberFormat="1" applyFont="1" applyFill="1" applyBorder="1" applyAlignment="1">
      <alignment vertical="center"/>
    </xf>
    <xf numFmtId="168" fontId="12" fillId="71" borderId="26" xfId="13" applyNumberFormat="1" applyFont="1" applyFill="1" applyBorder="1" applyAlignment="1">
      <alignment vertical="center"/>
    </xf>
    <xf numFmtId="168" fontId="0" fillId="53" borderId="304" xfId="13" applyNumberFormat="1" applyFont="1" applyFill="1" applyBorder="1" applyAlignment="1">
      <alignment vertical="center"/>
    </xf>
    <xf numFmtId="168" fontId="20" fillId="53" borderId="304" xfId="13" applyNumberFormat="1" applyFont="1" applyFill="1" applyBorder="1" applyAlignment="1">
      <alignment vertical="center"/>
    </xf>
    <xf numFmtId="176" fontId="20" fillId="53" borderId="304" xfId="12" applyNumberFormat="1" applyFont="1" applyFill="1" applyBorder="1" applyAlignment="1">
      <alignment vertical="center"/>
    </xf>
    <xf numFmtId="176" fontId="15" fillId="68" borderId="304" xfId="12" applyNumberFormat="1" applyFill="1" applyBorder="1"/>
    <xf numFmtId="168" fontId="12" fillId="69" borderId="351" xfId="13" applyNumberFormat="1" applyFont="1" applyFill="1" applyBorder="1" applyAlignment="1">
      <alignment horizontal="center" vertical="center"/>
    </xf>
    <xf numFmtId="168" fontId="12" fillId="56" borderId="304" xfId="13" applyNumberFormat="1" applyFont="1" applyFill="1" applyBorder="1" applyAlignment="1">
      <alignment vertical="center"/>
    </xf>
    <xf numFmtId="176" fontId="15" fillId="53" borderId="304" xfId="12" applyNumberFormat="1" applyFill="1" applyBorder="1"/>
    <xf numFmtId="168" fontId="20" fillId="66" borderId="304" xfId="13" applyNumberFormat="1" applyFont="1" applyFill="1" applyBorder="1" applyAlignment="1">
      <alignment vertical="center"/>
    </xf>
    <xf numFmtId="176" fontId="15" fillId="66" borderId="304" xfId="12" applyNumberFormat="1" applyFill="1" applyBorder="1"/>
    <xf numFmtId="168" fontId="12" fillId="70" borderId="304" xfId="13" applyNumberFormat="1" applyFont="1" applyFill="1" applyBorder="1" applyAlignment="1">
      <alignment vertical="center"/>
    </xf>
    <xf numFmtId="168" fontId="20" fillId="78" borderId="304" xfId="13" applyNumberFormat="1" applyFont="1" applyFill="1" applyBorder="1" applyAlignment="1">
      <alignment vertical="center"/>
    </xf>
    <xf numFmtId="168" fontId="0" fillId="72" borderId="304" xfId="13" applyNumberFormat="1" applyFont="1" applyFill="1" applyBorder="1" applyAlignment="1">
      <alignment vertical="center"/>
    </xf>
    <xf numFmtId="176" fontId="15" fillId="72" borderId="304" xfId="12" applyNumberFormat="1" applyFill="1" applyBorder="1"/>
    <xf numFmtId="168" fontId="12" fillId="71" borderId="353" xfId="13" applyNumberFormat="1" applyFont="1" applyFill="1" applyBorder="1" applyAlignment="1">
      <alignment vertical="center"/>
    </xf>
    <xf numFmtId="167" fontId="14" fillId="73" borderId="304" xfId="13" applyNumberFormat="1" applyFont="1" applyFill="1" applyBorder="1" applyAlignment="1">
      <alignment vertical="center"/>
    </xf>
    <xf numFmtId="167" fontId="14" fillId="73" borderId="356" xfId="13" applyNumberFormat="1" applyFont="1" applyFill="1" applyBorder="1" applyAlignment="1">
      <alignment vertical="center"/>
    </xf>
    <xf numFmtId="175" fontId="20" fillId="0" borderId="14" xfId="0" applyNumberFormat="1" applyFont="1" applyBorder="1" applyAlignment="1">
      <alignment horizontal="left" wrapText="1"/>
    </xf>
    <xf numFmtId="176" fontId="15" fillId="57" borderId="304" xfId="12" applyNumberFormat="1" applyFill="1" applyBorder="1"/>
    <xf numFmtId="168" fontId="20" fillId="58" borderId="304" xfId="13" applyNumberFormat="1" applyFont="1" applyFill="1" applyBorder="1" applyAlignment="1">
      <alignment vertical="center"/>
    </xf>
    <xf numFmtId="42" fontId="0" fillId="50" borderId="304" xfId="31" applyFont="1" applyFill="1" applyBorder="1" applyAlignment="1" applyProtection="1">
      <alignment horizontal="center" vertical="center"/>
    </xf>
    <xf numFmtId="176" fontId="15" fillId="50" borderId="304" xfId="12" applyNumberFormat="1" applyFill="1" applyBorder="1"/>
    <xf numFmtId="167" fontId="26" fillId="30" borderId="304" xfId="0" applyNumberFormat="1" applyFont="1" applyFill="1" applyBorder="1" applyAlignment="1">
      <alignment vertical="center"/>
    </xf>
    <xf numFmtId="0" fontId="14" fillId="31" borderId="356" xfId="0" applyFont="1" applyFill="1" applyBorder="1" applyAlignment="1">
      <alignment horizontal="center" vertical="center" wrapText="1"/>
    </xf>
    <xf numFmtId="0" fontId="14" fillId="17" borderId="25" xfId="0" applyFont="1" applyFill="1" applyBorder="1" applyAlignment="1">
      <alignment horizontal="center" vertical="center" wrapText="1"/>
    </xf>
    <xf numFmtId="174" fontId="14" fillId="17" borderId="25" xfId="12" applyNumberFormat="1" applyFont="1" applyFill="1" applyBorder="1" applyAlignment="1">
      <alignment horizontal="center" vertical="center" wrapText="1"/>
    </xf>
    <xf numFmtId="0" fontId="12" fillId="17" borderId="13" xfId="0" applyFont="1" applyFill="1" applyBorder="1" applyAlignment="1">
      <alignment horizontal="center" vertical="center"/>
    </xf>
    <xf numFmtId="0" fontId="14" fillId="0" borderId="104" xfId="0" applyFont="1" applyBorder="1" applyAlignment="1">
      <alignment horizontal="right" vertical="center"/>
    </xf>
    <xf numFmtId="0" fontId="25" fillId="0" borderId="103" xfId="0" applyFont="1" applyBorder="1" applyAlignment="1">
      <alignment horizontal="center" vertical="center"/>
    </xf>
    <xf numFmtId="177" fontId="14" fillId="26" borderId="304" xfId="0" applyNumberFormat="1" applyFont="1" applyFill="1" applyBorder="1" applyAlignment="1">
      <alignment horizontal="center" vertical="center"/>
    </xf>
    <xf numFmtId="170" fontId="14" fillId="19" borderId="304" xfId="16" applyNumberFormat="1" applyFont="1" applyFill="1" applyBorder="1" applyAlignment="1">
      <alignment horizontal="center" vertical="center"/>
    </xf>
    <xf numFmtId="0" fontId="0" fillId="61" borderId="300" xfId="0" applyFill="1" applyBorder="1" applyAlignment="1">
      <alignment horizontal="left" vertical="center"/>
    </xf>
    <xf numFmtId="178" fontId="0" fillId="61" borderId="300" xfId="13" applyNumberFormat="1" applyFont="1" applyFill="1" applyBorder="1" applyAlignment="1">
      <alignment vertical="center"/>
    </xf>
    <xf numFmtId="178" fontId="0" fillId="62" borderId="300" xfId="13" applyNumberFormat="1" applyFont="1" applyFill="1" applyBorder="1" applyAlignment="1">
      <alignment vertical="center"/>
    </xf>
    <xf numFmtId="0" fontId="0" fillId="61" borderId="304" xfId="0" applyFill="1" applyBorder="1" applyAlignment="1">
      <alignment horizontal="left" vertical="center"/>
    </xf>
    <xf numFmtId="178" fontId="0" fillId="61" borderId="304" xfId="13" applyNumberFormat="1" applyFont="1" applyFill="1" applyBorder="1" applyAlignment="1">
      <alignment vertical="center"/>
    </xf>
    <xf numFmtId="178" fontId="0" fillId="62" borderId="304" xfId="13" applyNumberFormat="1" applyFont="1" applyFill="1" applyBorder="1" applyAlignment="1">
      <alignment vertical="center"/>
    </xf>
    <xf numFmtId="177" fontId="0" fillId="62" borderId="293" xfId="0" applyNumberFormat="1" applyFill="1" applyBorder="1" applyAlignment="1">
      <alignment horizontal="right" vertical="center"/>
    </xf>
    <xf numFmtId="0" fontId="31" fillId="12" borderId="304" xfId="0" applyFont="1" applyFill="1" applyBorder="1" applyAlignment="1" applyProtection="1">
      <alignment horizontal="left" vertical="center"/>
      <protection locked="0"/>
    </xf>
    <xf numFmtId="0" fontId="31" fillId="0" borderId="0" xfId="0" applyFont="1"/>
    <xf numFmtId="0" fontId="0" fillId="12" borderId="365" xfId="0" applyFill="1" applyBorder="1" applyAlignment="1" applyProtection="1">
      <alignment horizontal="left" vertical="center"/>
      <protection locked="0"/>
    </xf>
    <xf numFmtId="178" fontId="0" fillId="12" borderId="365" xfId="13" applyNumberFormat="1" applyFont="1" applyFill="1" applyBorder="1" applyAlignment="1" applyProtection="1">
      <alignment vertical="center"/>
      <protection locked="0"/>
    </xf>
    <xf numFmtId="178" fontId="0" fillId="29" borderId="365" xfId="13" applyNumberFormat="1" applyFont="1" applyFill="1" applyBorder="1" applyAlignment="1">
      <alignment vertical="center"/>
    </xf>
    <xf numFmtId="177" fontId="0" fillId="29" borderId="366" xfId="0" applyNumberFormat="1" applyFill="1" applyBorder="1" applyAlignment="1">
      <alignment horizontal="right" vertical="center"/>
    </xf>
    <xf numFmtId="0" fontId="23" fillId="0" borderId="0" xfId="20"/>
    <xf numFmtId="0" fontId="0" fillId="0" borderId="0" xfId="0"/>
    <xf numFmtId="0" fontId="23" fillId="0" borderId="0" xfId="20" applyBorder="1" applyAlignment="1" applyProtection="1">
      <alignment horizontal="left" vertical="center"/>
    </xf>
    <xf numFmtId="0" fontId="23" fillId="0" borderId="0" xfId="20" applyBorder="1" applyAlignment="1" applyProtection="1">
      <alignment horizontal="left" vertical="center" wrapText="1"/>
    </xf>
    <xf numFmtId="0" fontId="23" fillId="0" borderId="0" xfId="20" applyBorder="1" applyAlignment="1" applyProtection="1">
      <alignment horizontal="left" vertical="center" indent="2"/>
    </xf>
    <xf numFmtId="0" fontId="0" fillId="0" borderId="186" xfId="0" applyBorder="1" applyAlignment="1">
      <alignment horizontal="center" vertical="center" wrapText="1"/>
    </xf>
    <xf numFmtId="0" fontId="0" fillId="0" borderId="134" xfId="0" applyBorder="1" applyAlignment="1">
      <alignment horizontal="center" vertical="center" wrapText="1"/>
    </xf>
    <xf numFmtId="168" fontId="24" fillId="32" borderId="138" xfId="0" applyNumberFormat="1" applyFont="1" applyFill="1" applyBorder="1" applyAlignment="1">
      <alignment horizontal="center" vertical="center"/>
    </xf>
    <xf numFmtId="168" fontId="24" fillId="32" borderId="261" xfId="0" applyNumberFormat="1" applyFont="1" applyFill="1" applyBorder="1" applyAlignment="1">
      <alignment horizontal="center" vertical="center"/>
    </xf>
    <xf numFmtId="168" fontId="24" fillId="32" borderId="241" xfId="0" applyNumberFormat="1" applyFont="1" applyFill="1" applyBorder="1" applyAlignment="1">
      <alignment horizontal="center" vertical="center"/>
    </xf>
    <xf numFmtId="0" fontId="25" fillId="37" borderId="131" xfId="0" applyFont="1" applyFill="1" applyBorder="1" applyAlignment="1">
      <alignment horizontal="center" vertical="center" wrapText="1"/>
    </xf>
    <xf numFmtId="0" fontId="25" fillId="37" borderId="187" xfId="0" applyFont="1" applyFill="1" applyBorder="1" applyAlignment="1">
      <alignment horizontal="center" vertical="center" wrapText="1"/>
    </xf>
    <xf numFmtId="0" fontId="25" fillId="37" borderId="193" xfId="0" applyFont="1" applyFill="1" applyBorder="1" applyAlignment="1">
      <alignment horizontal="center" vertical="center" wrapText="1"/>
    </xf>
    <xf numFmtId="0" fontId="25" fillId="37" borderId="260" xfId="0" applyFont="1" applyFill="1" applyBorder="1" applyAlignment="1">
      <alignment horizontal="center" vertical="center" wrapText="1"/>
    </xf>
    <xf numFmtId="168" fontId="24" fillId="32" borderId="251" xfId="0" applyNumberFormat="1" applyFont="1" applyFill="1" applyBorder="1" applyAlignment="1">
      <alignment horizontal="center" vertical="center"/>
    </xf>
    <xf numFmtId="168" fontId="24" fillId="32" borderId="67" xfId="0" applyNumberFormat="1" applyFont="1" applyFill="1" applyBorder="1" applyAlignment="1">
      <alignment horizontal="center" vertical="center"/>
    </xf>
    <xf numFmtId="168" fontId="19" fillId="34" borderId="31" xfId="0" applyNumberFormat="1" applyFont="1" applyFill="1" applyBorder="1" applyAlignment="1">
      <alignment horizontal="center" vertical="center" wrapText="1"/>
    </xf>
    <xf numFmtId="168" fontId="19" fillId="34" borderId="99" xfId="0" applyNumberFormat="1" applyFont="1" applyFill="1" applyBorder="1" applyAlignment="1">
      <alignment horizontal="center" vertical="center" wrapText="1"/>
    </xf>
    <xf numFmtId="168" fontId="19" fillId="34" borderId="58" xfId="0" applyNumberFormat="1" applyFont="1" applyFill="1" applyBorder="1" applyAlignment="1">
      <alignment horizontal="center" vertical="center" wrapText="1"/>
    </xf>
    <xf numFmtId="168" fontId="19" fillId="34" borderId="59" xfId="0" applyNumberFormat="1" applyFont="1" applyFill="1" applyBorder="1" applyAlignment="1">
      <alignment horizontal="center" vertical="center" wrapText="1"/>
    </xf>
    <xf numFmtId="168" fontId="0" fillId="9" borderId="183" xfId="13" applyNumberFormat="1" applyFont="1" applyFill="1" applyBorder="1" applyAlignment="1">
      <alignment horizontal="right" vertical="center"/>
    </xf>
    <xf numFmtId="168" fontId="0" fillId="9" borderId="188" xfId="13" applyNumberFormat="1" applyFont="1" applyFill="1" applyBorder="1" applyAlignment="1">
      <alignment horizontal="right" vertical="center"/>
    </xf>
    <xf numFmtId="0" fontId="25" fillId="0" borderId="187" xfId="0" applyFont="1" applyBorder="1" applyAlignment="1">
      <alignment horizontal="center" vertical="center" wrapText="1"/>
    </xf>
    <xf numFmtId="168" fontId="24" fillId="32" borderId="186" xfId="0" applyNumberFormat="1" applyFont="1" applyFill="1" applyBorder="1" applyAlignment="1">
      <alignment horizontal="center" vertical="center"/>
    </xf>
    <xf numFmtId="168" fontId="24" fillId="32" borderId="199" xfId="0" applyNumberFormat="1" applyFont="1" applyFill="1" applyBorder="1" applyAlignment="1">
      <alignment horizontal="center" vertical="center"/>
    </xf>
    <xf numFmtId="0" fontId="25" fillId="0" borderId="248" xfId="0" applyFont="1" applyBorder="1" applyAlignment="1">
      <alignment horizontal="center" vertical="center" wrapText="1"/>
    </xf>
    <xf numFmtId="0" fontId="0" fillId="0" borderId="182" xfId="0" applyBorder="1" applyAlignment="1">
      <alignment horizontal="center" vertical="center" wrapText="1"/>
    </xf>
    <xf numFmtId="168" fontId="19" fillId="34" borderId="105" xfId="0" applyNumberFormat="1" applyFont="1" applyFill="1" applyBorder="1" applyAlignment="1">
      <alignment horizontal="center" vertical="center" wrapText="1"/>
    </xf>
    <xf numFmtId="168" fontId="19" fillId="34" borderId="104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right" vertical="center"/>
    </xf>
    <xf numFmtId="0" fontId="25" fillId="12" borderId="5" xfId="0" applyFont="1" applyFill="1" applyBorder="1" applyAlignment="1">
      <alignment horizontal="center" vertical="center"/>
    </xf>
    <xf numFmtId="0" fontId="25" fillId="12" borderId="63" xfId="0" applyFont="1" applyFill="1" applyBorder="1" applyAlignment="1">
      <alignment horizontal="center" vertical="center"/>
    </xf>
    <xf numFmtId="0" fontId="25" fillId="12" borderId="6" xfId="0" applyFont="1" applyFill="1" applyBorder="1" applyAlignment="1">
      <alignment horizontal="center" vertical="center"/>
    </xf>
    <xf numFmtId="168" fontId="14" fillId="15" borderId="144" xfId="0" applyNumberFormat="1" applyFont="1" applyFill="1" applyBorder="1" applyAlignment="1">
      <alignment horizontal="center" vertical="center"/>
    </xf>
    <xf numFmtId="168" fontId="14" fillId="15" borderId="254" xfId="0" applyNumberFormat="1" applyFont="1" applyFill="1" applyBorder="1" applyAlignment="1">
      <alignment horizontal="center" vertical="center"/>
    </xf>
    <xf numFmtId="168" fontId="25" fillId="39" borderId="257" xfId="0" applyNumberFormat="1" applyFont="1" applyFill="1" applyBorder="1" applyAlignment="1">
      <alignment horizontal="center" vertical="center" wrapText="1"/>
    </xf>
    <xf numFmtId="168" fontId="25" fillId="39" borderId="258" xfId="0" applyNumberFormat="1" applyFont="1" applyFill="1" applyBorder="1" applyAlignment="1">
      <alignment horizontal="center" vertical="center" wrapText="1"/>
    </xf>
    <xf numFmtId="168" fontId="25" fillId="39" borderId="259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 indent="2"/>
    </xf>
    <xf numFmtId="0" fontId="14" fillId="15" borderId="29" xfId="0" applyFont="1" applyFill="1" applyBorder="1" applyAlignment="1">
      <alignment horizontal="center" vertical="center" wrapText="1"/>
    </xf>
    <xf numFmtId="0" fontId="14" fillId="15" borderId="252" xfId="0" applyFont="1" applyFill="1" applyBorder="1" applyAlignment="1">
      <alignment horizontal="center" vertical="center" wrapText="1"/>
    </xf>
    <xf numFmtId="0" fontId="14" fillId="15" borderId="30" xfId="0" applyFont="1" applyFill="1" applyBorder="1" applyAlignment="1">
      <alignment horizontal="center" vertical="center" wrapText="1"/>
    </xf>
    <xf numFmtId="0" fontId="14" fillId="15" borderId="253" xfId="0" applyFont="1" applyFill="1" applyBorder="1" applyAlignment="1">
      <alignment horizontal="center" vertical="center" wrapText="1"/>
    </xf>
    <xf numFmtId="168" fontId="26" fillId="34" borderId="257" xfId="0" applyNumberFormat="1" applyFont="1" applyFill="1" applyBorder="1" applyAlignment="1">
      <alignment horizontal="center" vertical="center" wrapText="1"/>
    </xf>
    <xf numFmtId="168" fontId="26" fillId="34" borderId="258" xfId="0" applyNumberFormat="1" applyFont="1" applyFill="1" applyBorder="1" applyAlignment="1">
      <alignment horizontal="center" vertical="center" wrapText="1"/>
    </xf>
    <xf numFmtId="168" fontId="26" fillId="34" borderId="259" xfId="0" applyNumberFormat="1" applyFont="1" applyFill="1" applyBorder="1" applyAlignment="1">
      <alignment horizontal="center" vertical="center" wrapText="1"/>
    </xf>
    <xf numFmtId="168" fontId="0" fillId="9" borderId="284" xfId="13" applyNumberFormat="1" applyFont="1" applyFill="1" applyBorder="1" applyAlignment="1">
      <alignment horizontal="right" vertical="center"/>
    </xf>
    <xf numFmtId="168" fontId="29" fillId="44" borderId="32" xfId="0" applyNumberFormat="1" applyFont="1" applyFill="1" applyBorder="1" applyAlignment="1">
      <alignment horizontal="center" vertical="center" wrapText="1"/>
    </xf>
    <xf numFmtId="168" fontId="29" fillId="44" borderId="100" xfId="0" applyNumberFormat="1" applyFont="1" applyFill="1" applyBorder="1" applyAlignment="1">
      <alignment horizontal="center" vertical="center" wrapText="1"/>
    </xf>
    <xf numFmtId="168" fontId="0" fillId="9" borderId="222" xfId="13" applyNumberFormat="1" applyFont="1" applyFill="1" applyBorder="1" applyAlignment="1">
      <alignment horizontal="right" vertical="center"/>
    </xf>
    <xf numFmtId="0" fontId="25" fillId="0" borderId="193" xfId="0" applyFont="1" applyBorder="1" applyAlignment="1">
      <alignment horizontal="center" vertical="center" wrapText="1"/>
    </xf>
    <xf numFmtId="168" fontId="24" fillId="32" borderId="191" xfId="0" applyNumberFormat="1" applyFont="1" applyFill="1" applyBorder="1" applyAlignment="1">
      <alignment horizontal="center" vertical="center"/>
    </xf>
    <xf numFmtId="168" fontId="24" fillId="32" borderId="178" xfId="0" applyNumberFormat="1" applyFont="1" applyFill="1" applyBorder="1" applyAlignment="1">
      <alignment horizontal="center" vertical="center"/>
    </xf>
    <xf numFmtId="0" fontId="24" fillId="0" borderId="216" xfId="0" applyFont="1" applyBorder="1" applyAlignment="1">
      <alignment horizontal="center" vertical="center" wrapText="1"/>
    </xf>
    <xf numFmtId="0" fontId="24" fillId="0" borderId="217" xfId="0" applyFont="1" applyBorder="1" applyAlignment="1">
      <alignment horizontal="center" vertical="center" wrapText="1"/>
    </xf>
    <xf numFmtId="0" fontId="24" fillId="0" borderId="218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168" fontId="26" fillId="34" borderId="288" xfId="0" applyNumberFormat="1" applyFont="1" applyFill="1" applyBorder="1" applyAlignment="1">
      <alignment horizontal="center" vertical="center" wrapText="1"/>
    </xf>
    <xf numFmtId="168" fontId="26" fillId="34" borderId="102" xfId="0" applyNumberFormat="1" applyFont="1" applyFill="1" applyBorder="1" applyAlignment="1">
      <alignment horizontal="center" vertical="center" wrapText="1"/>
    </xf>
    <xf numFmtId="168" fontId="26" fillId="34" borderId="213" xfId="0" applyNumberFormat="1" applyFont="1" applyFill="1" applyBorder="1" applyAlignment="1">
      <alignment horizontal="center" vertical="center" wrapText="1"/>
    </xf>
    <xf numFmtId="0" fontId="25" fillId="16" borderId="183" xfId="0" applyFont="1" applyFill="1" applyBorder="1" applyAlignment="1">
      <alignment horizontal="center" vertical="center" wrapText="1"/>
    </xf>
    <xf numFmtId="0" fontId="25" fillId="16" borderId="281" xfId="0" applyFont="1" applyFill="1" applyBorder="1" applyAlignment="1">
      <alignment horizontal="center" vertical="center" wrapText="1"/>
    </xf>
    <xf numFmtId="0" fontId="24" fillId="46" borderId="248" xfId="0" applyFont="1" applyFill="1" applyBorder="1" applyAlignment="1">
      <alignment horizontal="center" vertical="center" wrapText="1"/>
    </xf>
    <xf numFmtId="0" fontId="24" fillId="46" borderId="278" xfId="0" applyFont="1" applyFill="1" applyBorder="1" applyAlignment="1">
      <alignment horizontal="center" vertical="center" wrapText="1"/>
    </xf>
    <xf numFmtId="0" fontId="27" fillId="11" borderId="0" xfId="0" applyFont="1" applyFill="1" applyAlignment="1">
      <alignment horizontal="left" vertical="center" indent="2"/>
    </xf>
    <xf numFmtId="0" fontId="25" fillId="15" borderId="248" xfId="0" applyFont="1" applyFill="1" applyBorder="1" applyAlignment="1">
      <alignment horizontal="center" vertical="center" wrapText="1"/>
    </xf>
    <xf numFmtId="0" fontId="25" fillId="15" borderId="280" xfId="0" applyFont="1" applyFill="1" applyBorder="1" applyAlignment="1">
      <alignment horizontal="center" vertical="center" wrapText="1"/>
    </xf>
    <xf numFmtId="0" fontId="25" fillId="16" borderId="204" xfId="0" applyFont="1" applyFill="1" applyBorder="1" applyAlignment="1">
      <alignment horizontal="center" vertical="center" wrapText="1"/>
    </xf>
    <xf numFmtId="0" fontId="25" fillId="16" borderId="22" xfId="0" applyFont="1" applyFill="1" applyBorder="1" applyAlignment="1">
      <alignment horizontal="center" vertical="center" wrapText="1"/>
    </xf>
    <xf numFmtId="0" fontId="25" fillId="15" borderId="216" xfId="0" applyFont="1" applyFill="1" applyBorder="1" applyAlignment="1">
      <alignment horizontal="center" vertical="center" wrapText="1"/>
    </xf>
    <xf numFmtId="0" fontId="25" fillId="15" borderId="200" xfId="0" applyFont="1" applyFill="1" applyBorder="1" applyAlignment="1">
      <alignment horizontal="center" vertical="center" wrapText="1"/>
    </xf>
    <xf numFmtId="0" fontId="25" fillId="13" borderId="214" xfId="0" applyFont="1" applyFill="1" applyBorder="1" applyAlignment="1" applyProtection="1">
      <alignment horizontal="center" vertical="center"/>
      <protection locked="0"/>
    </xf>
    <xf numFmtId="0" fontId="25" fillId="13" borderId="215" xfId="0" applyFont="1" applyFill="1" applyBorder="1" applyAlignment="1" applyProtection="1">
      <alignment horizontal="center" vertical="center"/>
      <protection locked="0"/>
    </xf>
    <xf numFmtId="0" fontId="24" fillId="46" borderId="273" xfId="0" applyFont="1" applyFill="1" applyBorder="1" applyAlignment="1">
      <alignment horizontal="center" vertical="center" wrapText="1"/>
    </xf>
    <xf numFmtId="0" fontId="24" fillId="46" borderId="193" xfId="0" applyFont="1" applyFill="1" applyBorder="1" applyAlignment="1">
      <alignment horizontal="center" vertical="center" wrapText="1"/>
    </xf>
    <xf numFmtId="0" fontId="25" fillId="15" borderId="69" xfId="0" applyFont="1" applyFill="1" applyBorder="1" applyAlignment="1">
      <alignment horizontal="center" vertical="center" wrapText="1"/>
    </xf>
    <xf numFmtId="0" fontId="25" fillId="15" borderId="194" xfId="0" applyFont="1" applyFill="1" applyBorder="1" applyAlignment="1">
      <alignment horizontal="center" vertical="center" wrapText="1"/>
    </xf>
    <xf numFmtId="0" fontId="24" fillId="0" borderId="195" xfId="0" applyFont="1" applyBorder="1" applyAlignment="1">
      <alignment horizontal="center" vertical="center" wrapText="1"/>
    </xf>
    <xf numFmtId="0" fontId="24" fillId="0" borderId="196" xfId="0" applyFont="1" applyBorder="1" applyAlignment="1">
      <alignment horizontal="center" vertical="center" wrapText="1"/>
    </xf>
    <xf numFmtId="0" fontId="24" fillId="0" borderId="197" xfId="0" applyFont="1" applyBorder="1" applyAlignment="1">
      <alignment horizontal="center" vertical="center" wrapText="1"/>
    </xf>
    <xf numFmtId="0" fontId="24" fillId="46" borderId="283" xfId="0" applyFont="1" applyFill="1" applyBorder="1" applyAlignment="1">
      <alignment horizontal="center" vertical="center" wrapText="1"/>
    </xf>
    <xf numFmtId="0" fontId="24" fillId="46" borderId="282" xfId="0" applyFont="1" applyFill="1" applyBorder="1" applyAlignment="1">
      <alignment horizontal="center" vertical="center" wrapText="1"/>
    </xf>
    <xf numFmtId="179" fontId="0" fillId="53" borderId="296" xfId="13" applyNumberFormat="1" applyFont="1" applyFill="1" applyBorder="1" applyAlignment="1">
      <alignment horizontal="center" vertical="center"/>
    </xf>
    <xf numFmtId="179" fontId="0" fillId="53" borderId="294" xfId="13" applyNumberFormat="1" applyFont="1" applyFill="1" applyBorder="1" applyAlignment="1">
      <alignment horizontal="center" vertical="center"/>
    </xf>
    <xf numFmtId="179" fontId="0" fillId="53" borderId="295" xfId="13" applyNumberFormat="1" applyFont="1" applyFill="1" applyBorder="1" applyAlignment="1">
      <alignment horizontal="center" vertical="center"/>
    </xf>
    <xf numFmtId="0" fontId="25" fillId="16" borderId="276" xfId="0" applyFont="1" applyFill="1" applyBorder="1" applyAlignment="1">
      <alignment horizontal="center" vertical="center" wrapText="1"/>
    </xf>
    <xf numFmtId="0" fontId="25" fillId="16" borderId="277" xfId="0" applyFont="1" applyFill="1" applyBorder="1" applyAlignment="1">
      <alignment horizontal="center" vertical="center" wrapText="1"/>
    </xf>
    <xf numFmtId="178" fontId="0" fillId="68" borderId="296" xfId="13" applyNumberFormat="1" applyFont="1" applyFill="1" applyBorder="1" applyAlignment="1">
      <alignment horizontal="center" vertical="center"/>
    </xf>
    <xf numFmtId="178" fontId="0" fillId="68" borderId="294" xfId="13" applyNumberFormat="1" applyFont="1" applyFill="1" applyBorder="1" applyAlignment="1">
      <alignment horizontal="center" vertical="center"/>
    </xf>
    <xf numFmtId="178" fontId="0" fillId="68" borderId="295" xfId="13" applyNumberFormat="1" applyFont="1" applyFill="1" applyBorder="1" applyAlignment="1">
      <alignment horizontal="center" vertical="center"/>
    </xf>
    <xf numFmtId="170" fontId="0" fillId="53" borderId="296" xfId="13" applyNumberFormat="1" applyFont="1" applyFill="1" applyBorder="1" applyAlignment="1">
      <alignment horizontal="center" vertical="center"/>
    </xf>
    <xf numFmtId="170" fontId="0" fillId="53" borderId="294" xfId="13" applyNumberFormat="1" applyFont="1" applyFill="1" applyBorder="1" applyAlignment="1">
      <alignment horizontal="center" vertical="center"/>
    </xf>
    <xf numFmtId="170" fontId="0" fillId="53" borderId="295" xfId="13" applyNumberFormat="1" applyFont="1" applyFill="1" applyBorder="1" applyAlignment="1">
      <alignment horizontal="center" vertical="center"/>
    </xf>
    <xf numFmtId="168" fontId="26" fillId="34" borderId="77" xfId="0" applyNumberFormat="1" applyFont="1" applyFill="1" applyBorder="1" applyAlignment="1">
      <alignment horizontal="center" vertical="center" wrapText="1"/>
    </xf>
    <xf numFmtId="168" fontId="26" fillId="34" borderId="78" xfId="0" applyNumberFormat="1" applyFont="1" applyFill="1" applyBorder="1" applyAlignment="1">
      <alignment horizontal="center" vertical="center" wrapText="1"/>
    </xf>
    <xf numFmtId="168" fontId="26" fillId="34" borderId="79" xfId="0" applyNumberFormat="1" applyFont="1" applyFill="1" applyBorder="1" applyAlignment="1">
      <alignment horizontal="center" vertical="center" wrapText="1"/>
    </xf>
    <xf numFmtId="168" fontId="14" fillId="15" borderId="83" xfId="0" applyNumberFormat="1" applyFont="1" applyFill="1" applyBorder="1" applyAlignment="1">
      <alignment horizontal="center" vertical="center" wrapText="1"/>
    </xf>
    <xf numFmtId="168" fontId="14" fillId="15" borderId="84" xfId="0" applyNumberFormat="1" applyFont="1" applyFill="1" applyBorder="1" applyAlignment="1">
      <alignment horizontal="center" vertical="center" wrapText="1"/>
    </xf>
    <xf numFmtId="168" fontId="14" fillId="15" borderId="85" xfId="0" applyNumberFormat="1" applyFont="1" applyFill="1" applyBorder="1" applyAlignment="1">
      <alignment horizontal="center" vertical="center" wrapText="1"/>
    </xf>
    <xf numFmtId="168" fontId="14" fillId="15" borderId="90" xfId="0" applyNumberFormat="1" applyFont="1" applyFill="1" applyBorder="1" applyAlignment="1">
      <alignment horizontal="center" vertical="center" wrapText="1"/>
    </xf>
    <xf numFmtId="168" fontId="14" fillId="15" borderId="52" xfId="0" applyNumberFormat="1" applyFont="1" applyFill="1" applyBorder="1" applyAlignment="1">
      <alignment horizontal="center" vertical="center" wrapText="1"/>
    </xf>
    <xf numFmtId="168" fontId="26" fillId="34" borderId="248" xfId="0" applyNumberFormat="1" applyFont="1" applyFill="1" applyBorder="1" applyAlignment="1">
      <alignment horizontal="center" vertical="center" wrapText="1"/>
    </xf>
    <xf numFmtId="168" fontId="26" fillId="34" borderId="182" xfId="0" applyNumberFormat="1" applyFont="1" applyFill="1" applyBorder="1" applyAlignment="1">
      <alignment horizontal="center" vertical="center" wrapText="1"/>
    </xf>
    <xf numFmtId="168" fontId="26" fillId="34" borderId="183" xfId="0" applyNumberFormat="1" applyFont="1" applyFill="1" applyBorder="1" applyAlignment="1">
      <alignment horizontal="center" vertical="center" wrapText="1"/>
    </xf>
    <xf numFmtId="178" fontId="0" fillId="66" borderId="293" xfId="13" applyNumberFormat="1" applyFont="1" applyFill="1" applyBorder="1" applyAlignment="1">
      <alignment horizontal="center" vertical="center"/>
    </xf>
    <xf numFmtId="178" fontId="0" fillId="66" borderId="294" xfId="13" applyNumberFormat="1" applyFont="1" applyFill="1" applyBorder="1" applyAlignment="1">
      <alignment horizontal="center" vertical="center"/>
    </xf>
    <xf numFmtId="178" fontId="0" fillId="66" borderId="295" xfId="13" applyNumberFormat="1" applyFont="1" applyFill="1" applyBorder="1" applyAlignment="1">
      <alignment horizontal="center" vertical="center"/>
    </xf>
    <xf numFmtId="170" fontId="0" fillId="67" borderId="293" xfId="13" applyNumberFormat="1" applyFont="1" applyFill="1" applyBorder="1" applyAlignment="1">
      <alignment horizontal="center" vertical="center"/>
    </xf>
    <xf numFmtId="170" fontId="0" fillId="67" borderId="294" xfId="13" applyNumberFormat="1" applyFont="1" applyFill="1" applyBorder="1" applyAlignment="1">
      <alignment horizontal="center" vertical="center"/>
    </xf>
    <xf numFmtId="170" fontId="0" fillId="67" borderId="295" xfId="13" applyNumberFormat="1" applyFont="1" applyFill="1" applyBorder="1" applyAlignment="1">
      <alignment horizontal="center" vertical="center"/>
    </xf>
    <xf numFmtId="0" fontId="25" fillId="0" borderId="28" xfId="0" applyFont="1" applyBorder="1" applyAlignment="1">
      <alignment horizontal="center" vertical="top" wrapText="1"/>
    </xf>
    <xf numFmtId="0" fontId="25" fillId="0" borderId="12" xfId="0" applyFont="1" applyBorder="1" applyAlignment="1">
      <alignment horizontal="center" vertical="top" wrapText="1"/>
    </xf>
    <xf numFmtId="0" fontId="25" fillId="0" borderId="362" xfId="0" applyFont="1" applyBorder="1" applyAlignment="1">
      <alignment horizontal="center" vertical="top" wrapText="1"/>
    </xf>
    <xf numFmtId="0" fontId="12" fillId="16" borderId="25" xfId="0" applyFont="1" applyFill="1" applyBorder="1" applyAlignment="1">
      <alignment horizontal="center" vertical="center"/>
    </xf>
    <xf numFmtId="0" fontId="12" fillId="16" borderId="99" xfId="0" applyFont="1" applyFill="1" applyBorder="1" applyAlignment="1">
      <alignment horizontal="center" vertical="center"/>
    </xf>
    <xf numFmtId="0" fontId="14" fillId="17" borderId="347" xfId="0" applyFont="1" applyFill="1" applyBorder="1" applyAlignment="1">
      <alignment horizontal="center" vertical="center"/>
    </xf>
    <xf numFmtId="0" fontId="14" fillId="17" borderId="357" xfId="0" applyFont="1" applyFill="1" applyBorder="1" applyAlignment="1">
      <alignment horizontal="center" vertical="center"/>
    </xf>
    <xf numFmtId="0" fontId="12" fillId="15" borderId="348" xfId="0" applyFont="1" applyFill="1" applyBorder="1" applyAlignment="1">
      <alignment horizontal="center" vertical="center"/>
    </xf>
    <xf numFmtId="0" fontId="12" fillId="15" borderId="363" xfId="0" applyFont="1" applyFill="1" applyBorder="1" applyAlignment="1">
      <alignment horizontal="center" vertical="center"/>
    </xf>
    <xf numFmtId="0" fontId="14" fillId="17" borderId="25" xfId="0" applyFont="1" applyFill="1" applyBorder="1" applyAlignment="1">
      <alignment horizontal="center" vertical="center"/>
    </xf>
    <xf numFmtId="0" fontId="12" fillId="15" borderId="25" xfId="0" applyFont="1" applyFill="1" applyBorder="1" applyAlignment="1">
      <alignment horizontal="center" vertical="center"/>
    </xf>
    <xf numFmtId="0" fontId="12" fillId="15" borderId="357" xfId="0" applyFont="1" applyFill="1" applyBorder="1" applyAlignment="1">
      <alignment horizontal="center" vertical="center"/>
    </xf>
    <xf numFmtId="0" fontId="12" fillId="15" borderId="352" xfId="0" applyFont="1" applyFill="1" applyBorder="1" applyAlignment="1">
      <alignment horizontal="center" vertical="center"/>
    </xf>
    <xf numFmtId="0" fontId="12" fillId="15" borderId="358" xfId="0" applyFont="1" applyFill="1" applyBorder="1" applyAlignment="1">
      <alignment horizontal="center" vertical="center"/>
    </xf>
    <xf numFmtId="0" fontId="12" fillId="63" borderId="304" xfId="0" applyFont="1" applyFill="1" applyBorder="1" applyAlignment="1">
      <alignment horizontal="center" vertical="center" wrapText="1"/>
    </xf>
    <xf numFmtId="166" fontId="14" fillId="18" borderId="353" xfId="13" applyFont="1" applyFill="1" applyBorder="1" applyAlignment="1">
      <alignment horizontal="center" vertical="center" wrapText="1"/>
    </xf>
    <xf numFmtId="166" fontId="14" fillId="18" borderId="104" xfId="13" applyFont="1" applyFill="1" applyBorder="1" applyAlignment="1">
      <alignment horizontal="center" vertical="center" wrapText="1"/>
    </xf>
    <xf numFmtId="0" fontId="12" fillId="74" borderId="304" xfId="0" applyFont="1" applyFill="1" applyBorder="1" applyAlignment="1">
      <alignment horizontal="center" vertical="center" wrapText="1"/>
    </xf>
    <xf numFmtId="0" fontId="12" fillId="75" borderId="304" xfId="0" applyFont="1" applyFill="1" applyBorder="1" applyAlignment="1">
      <alignment horizontal="center" vertical="center"/>
    </xf>
    <xf numFmtId="0" fontId="12" fillId="16" borderId="304" xfId="0" applyFont="1" applyFill="1" applyBorder="1" applyAlignment="1">
      <alignment horizontal="center" vertical="center" wrapText="1"/>
    </xf>
    <xf numFmtId="166" fontId="14" fillId="76" borderId="353" xfId="13" applyFont="1" applyFill="1" applyBorder="1" applyAlignment="1">
      <alignment horizontal="center" vertical="center" wrapText="1"/>
    </xf>
    <xf numFmtId="166" fontId="14" fillId="76" borderId="104" xfId="13" applyFont="1" applyFill="1" applyBorder="1" applyAlignment="1">
      <alignment horizontal="center" vertical="center" wrapText="1"/>
    </xf>
    <xf numFmtId="0" fontId="12" fillId="17" borderId="304" xfId="0" applyFont="1" applyFill="1" applyBorder="1" applyAlignment="1">
      <alignment horizontal="center" vertical="center"/>
    </xf>
    <xf numFmtId="174" fontId="26" fillId="30" borderId="22" xfId="12" applyNumberFormat="1" applyFont="1" applyFill="1" applyBorder="1" applyAlignment="1">
      <alignment horizontal="right" vertical="center" wrapText="1"/>
    </xf>
    <xf numFmtId="174" fontId="26" fillId="30" borderId="305" xfId="12" applyNumberFormat="1" applyFont="1" applyFill="1" applyBorder="1" applyAlignment="1">
      <alignment horizontal="right" vertical="center" wrapText="1"/>
    </xf>
    <xf numFmtId="0" fontId="12" fillId="17" borderId="293" xfId="0" applyFont="1" applyFill="1" applyBorder="1" applyAlignment="1">
      <alignment horizontal="center" vertical="center"/>
    </xf>
    <xf numFmtId="0" fontId="12" fillId="17" borderId="294" xfId="0" applyFont="1" applyFill="1" applyBorder="1" applyAlignment="1">
      <alignment horizontal="center" vertical="center"/>
    </xf>
    <xf numFmtId="0" fontId="12" fillId="17" borderId="314" xfId="0" applyFont="1" applyFill="1" applyBorder="1" applyAlignment="1">
      <alignment horizontal="center" vertical="center"/>
    </xf>
    <xf numFmtId="166" fontId="14" fillId="18" borderId="349" xfId="13" applyFont="1" applyFill="1" applyBorder="1" applyAlignment="1">
      <alignment horizontal="center" vertical="center" wrapText="1"/>
    </xf>
    <xf numFmtId="166" fontId="14" fillId="18" borderId="350" xfId="13" applyFont="1" applyFill="1" applyBorder="1" applyAlignment="1">
      <alignment horizontal="center" vertical="center" wrapText="1"/>
    </xf>
    <xf numFmtId="0" fontId="12" fillId="16" borderId="25" xfId="0" applyFont="1" applyFill="1" applyBorder="1" applyAlignment="1">
      <alignment horizontal="center" vertical="center" wrapText="1"/>
    </xf>
    <xf numFmtId="0" fontId="12" fillId="16" borderId="357" xfId="0" applyFont="1" applyFill="1" applyBorder="1" applyAlignment="1">
      <alignment horizontal="center" vertical="center" wrapText="1"/>
    </xf>
    <xf numFmtId="0" fontId="12" fillId="17" borderId="14" xfId="0" applyFont="1" applyFill="1" applyBorder="1" applyAlignment="1">
      <alignment horizontal="center" vertical="center"/>
    </xf>
    <xf numFmtId="0" fontId="12" fillId="17" borderId="24" xfId="0" applyFont="1" applyFill="1" applyBorder="1" applyAlignment="1">
      <alignment horizontal="center" vertical="center"/>
    </xf>
    <xf numFmtId="0" fontId="12" fillId="17" borderId="26" xfId="0" applyFont="1" applyFill="1" applyBorder="1" applyAlignment="1">
      <alignment horizontal="center" vertical="center"/>
    </xf>
    <xf numFmtId="166" fontId="14" fillId="18" borderId="25" xfId="13" applyFont="1" applyFill="1" applyBorder="1" applyAlignment="1">
      <alignment horizontal="center" vertical="center" wrapText="1"/>
    </xf>
    <xf numFmtId="166" fontId="14" fillId="18" borderId="99" xfId="13" applyFont="1" applyFill="1" applyBorder="1" applyAlignment="1">
      <alignment horizontal="center" vertical="center" wrapText="1"/>
    </xf>
    <xf numFmtId="168" fontId="12" fillId="20" borderId="304" xfId="13" applyNumberFormat="1" applyFont="1" applyFill="1" applyBorder="1" applyAlignment="1">
      <alignment horizontal="center" vertical="center"/>
    </xf>
    <xf numFmtId="0" fontId="25" fillId="12" borderId="14" xfId="0" applyFont="1" applyFill="1" applyBorder="1" applyAlignment="1" applyProtection="1">
      <alignment horizontal="center" vertical="center"/>
      <protection locked="0"/>
    </xf>
    <xf numFmtId="0" fontId="25" fillId="12" borderId="26" xfId="0" applyFont="1" applyFill="1" applyBorder="1" applyAlignment="1" applyProtection="1">
      <alignment horizontal="center" vertical="center"/>
      <protection locked="0"/>
    </xf>
    <xf numFmtId="0" fontId="33" fillId="49" borderId="34" xfId="0" applyFont="1" applyFill="1" applyBorder="1" applyAlignment="1">
      <alignment horizontal="center" vertical="center" wrapText="1"/>
    </xf>
    <xf numFmtId="0" fontId="33" fillId="49" borderId="359" xfId="0" applyFont="1" applyFill="1" applyBorder="1" applyAlignment="1">
      <alignment horizontal="center" vertical="center" wrapText="1"/>
    </xf>
    <xf numFmtId="0" fontId="36" fillId="37" borderId="342" xfId="0" applyFont="1" applyFill="1" applyBorder="1" applyAlignment="1">
      <alignment horizontal="center" vertical="center"/>
    </xf>
    <xf numFmtId="0" fontId="36" fillId="37" borderId="360" xfId="0" applyFont="1" applyFill="1" applyBorder="1" applyAlignment="1">
      <alignment horizontal="center" vertical="center"/>
    </xf>
    <xf numFmtId="0" fontId="36" fillId="93" borderId="342" xfId="0" applyFont="1" applyFill="1" applyBorder="1" applyAlignment="1">
      <alignment horizontal="center" vertical="center"/>
    </xf>
    <xf numFmtId="0" fontId="36" fillId="93" borderId="360" xfId="0" applyFont="1" applyFill="1" applyBorder="1" applyAlignment="1">
      <alignment horizontal="center" vertical="center"/>
    </xf>
    <xf numFmtId="0" fontId="12" fillId="16" borderId="342" xfId="0" applyFont="1" applyFill="1" applyBorder="1" applyAlignment="1">
      <alignment horizontal="center" vertical="center" wrapText="1"/>
    </xf>
    <xf numFmtId="0" fontId="12" fillId="16" borderId="360" xfId="0" applyFont="1" applyFill="1" applyBorder="1" applyAlignment="1">
      <alignment horizontal="center" vertical="center" wrapText="1"/>
    </xf>
    <xf numFmtId="166" fontId="14" fillId="65" borderId="353" xfId="13" applyFont="1" applyFill="1" applyBorder="1" applyAlignment="1">
      <alignment horizontal="center" vertical="center" wrapText="1"/>
    </xf>
    <xf numFmtId="166" fontId="14" fillId="65" borderId="104" xfId="13" applyFont="1" applyFill="1" applyBorder="1" applyAlignment="1">
      <alignment horizontal="center" vertical="center" wrapText="1"/>
    </xf>
    <xf numFmtId="0" fontId="12" fillId="64" borderId="304" xfId="0" applyFont="1" applyFill="1" applyBorder="1" applyAlignment="1">
      <alignment horizontal="center" vertical="center"/>
    </xf>
    <xf numFmtId="168" fontId="12" fillId="20" borderId="293" xfId="13" applyNumberFormat="1" applyFont="1" applyFill="1" applyBorder="1" applyAlignment="1">
      <alignment horizontal="center" vertical="center"/>
    </xf>
    <xf numFmtId="168" fontId="12" fillId="20" borderId="294" xfId="13" applyNumberFormat="1" applyFont="1" applyFill="1" applyBorder="1" applyAlignment="1">
      <alignment horizontal="center" vertical="center"/>
    </xf>
    <xf numFmtId="168" fontId="12" fillId="20" borderId="314" xfId="13" applyNumberFormat="1" applyFont="1" applyFill="1" applyBorder="1" applyAlignment="1">
      <alignment horizontal="center" vertical="center"/>
    </xf>
    <xf numFmtId="168" fontId="12" fillId="23" borderId="294" xfId="13" applyNumberFormat="1" applyFont="1" applyFill="1" applyBorder="1" applyAlignment="1">
      <alignment horizontal="center" vertical="center"/>
    </xf>
    <xf numFmtId="168" fontId="12" fillId="23" borderId="314" xfId="13" applyNumberFormat="1" applyFont="1" applyFill="1" applyBorder="1" applyAlignment="1">
      <alignment horizontal="center" vertical="center"/>
    </xf>
    <xf numFmtId="0" fontId="12" fillId="23" borderId="103" xfId="0" applyFont="1" applyFill="1" applyBorder="1" applyAlignment="1">
      <alignment horizontal="left" vertical="center"/>
    </xf>
    <xf numFmtId="0" fontId="12" fillId="23" borderId="0" xfId="0" applyFont="1" applyFill="1" applyAlignment="1">
      <alignment horizontal="left" vertical="center"/>
    </xf>
    <xf numFmtId="168" fontId="12" fillId="23" borderId="304" xfId="13" applyNumberFormat="1" applyFont="1" applyFill="1" applyBorder="1" applyAlignment="1">
      <alignment horizontal="center" vertical="center"/>
    </xf>
    <xf numFmtId="177" fontId="0" fillId="26" borderId="138" xfId="0" applyNumberFormat="1" applyFill="1" applyBorder="1" applyAlignment="1">
      <alignment horizontal="center" vertical="center"/>
    </xf>
    <xf numFmtId="177" fontId="0" fillId="26" borderId="241" xfId="0" applyNumberFormat="1" applyFill="1" applyBorder="1" applyAlignment="1">
      <alignment horizontal="center" vertical="center"/>
    </xf>
    <xf numFmtId="0" fontId="11" fillId="48" borderId="197" xfId="0" applyFont="1" applyFill="1" applyBorder="1" applyAlignment="1">
      <alignment horizontal="center" vertical="center"/>
    </xf>
    <xf numFmtId="0" fontId="11" fillId="48" borderId="207" xfId="0" applyFont="1" applyFill="1" applyBorder="1" applyAlignment="1">
      <alignment horizontal="center" vertical="center"/>
    </xf>
    <xf numFmtId="0" fontId="11" fillId="47" borderId="197" xfId="0" applyFont="1" applyFill="1" applyBorder="1" applyAlignment="1">
      <alignment horizontal="center" vertical="center"/>
    </xf>
    <xf numFmtId="0" fontId="11" fillId="47" borderId="207" xfId="0" applyFont="1" applyFill="1" applyBorder="1" applyAlignment="1">
      <alignment horizontal="center" vertical="center"/>
    </xf>
    <xf numFmtId="0" fontId="14" fillId="16" borderId="203" xfId="0" applyFont="1" applyFill="1" applyBorder="1" applyAlignment="1">
      <alignment horizontal="center" vertical="center" wrapText="1"/>
    </xf>
    <xf numFmtId="0" fontId="14" fillId="16" borderId="66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12" fillId="16" borderId="110" xfId="0" applyFont="1" applyFill="1" applyBorder="1" applyAlignment="1">
      <alignment horizontal="center" vertical="center" wrapText="1"/>
    </xf>
    <xf numFmtId="0" fontId="19" fillId="48" borderId="195" xfId="0" applyFont="1" applyFill="1" applyBorder="1" applyAlignment="1">
      <alignment horizontal="center" vertical="center"/>
    </xf>
    <xf numFmtId="0" fontId="19" fillId="48" borderId="125" xfId="0" applyFont="1" applyFill="1" applyBorder="1" applyAlignment="1">
      <alignment horizontal="center" vertical="center"/>
    </xf>
    <xf numFmtId="0" fontId="19" fillId="47" borderId="195" xfId="0" applyFont="1" applyFill="1" applyBorder="1" applyAlignment="1">
      <alignment horizontal="center" vertical="center"/>
    </xf>
    <xf numFmtId="0" fontId="19" fillId="47" borderId="125" xfId="0" applyFont="1" applyFill="1" applyBorder="1" applyAlignment="1">
      <alignment horizontal="center" vertical="center"/>
    </xf>
    <xf numFmtId="0" fontId="11" fillId="14" borderId="197" xfId="0" applyFont="1" applyFill="1" applyBorder="1" applyAlignment="1">
      <alignment horizontal="center" vertical="center"/>
    </xf>
    <xf numFmtId="0" fontId="11" fillId="14" borderId="207" xfId="0" applyFont="1" applyFill="1" applyBorder="1" applyAlignment="1">
      <alignment horizontal="center" vertical="center"/>
    </xf>
    <xf numFmtId="0" fontId="19" fillId="14" borderId="124" xfId="0" applyFont="1" applyFill="1" applyBorder="1" applyAlignment="1">
      <alignment horizontal="center" vertical="center"/>
    </xf>
    <xf numFmtId="0" fontId="19" fillId="14" borderId="114" xfId="0" applyFont="1" applyFill="1" applyBorder="1" applyAlignment="1">
      <alignment horizontal="center" vertical="center"/>
    </xf>
    <xf numFmtId="0" fontId="19" fillId="48" borderId="124" xfId="0" applyFont="1" applyFill="1" applyBorder="1" applyAlignment="1">
      <alignment horizontal="center" vertical="center"/>
    </xf>
    <xf numFmtId="0" fontId="19" fillId="48" borderId="183" xfId="0" applyFont="1" applyFill="1" applyBorder="1" applyAlignment="1">
      <alignment horizontal="center" vertical="center"/>
    </xf>
    <xf numFmtId="0" fontId="19" fillId="47" borderId="126" xfId="0" applyFont="1" applyFill="1" applyBorder="1" applyAlignment="1">
      <alignment horizontal="center" vertical="center"/>
    </xf>
    <xf numFmtId="0" fontId="19" fillId="47" borderId="183" xfId="0" applyFont="1" applyFill="1" applyBorder="1" applyAlignment="1">
      <alignment horizontal="center" vertical="center"/>
    </xf>
    <xf numFmtId="0" fontId="19" fillId="14" borderId="195" xfId="0" applyFont="1" applyFill="1" applyBorder="1" applyAlignment="1">
      <alignment horizontal="center" vertical="center"/>
    </xf>
    <xf numFmtId="0" fontId="19" fillId="14" borderId="125" xfId="0" applyFont="1" applyFill="1" applyBorder="1" applyAlignment="1">
      <alignment horizontal="center" vertical="center"/>
    </xf>
    <xf numFmtId="0" fontId="24" fillId="16" borderId="204" xfId="0" applyFont="1" applyFill="1" applyBorder="1" applyAlignment="1">
      <alignment horizontal="center" vertical="center"/>
    </xf>
    <xf numFmtId="0" fontId="24" fillId="16" borderId="221" xfId="0" applyFont="1" applyFill="1" applyBorder="1" applyAlignment="1">
      <alignment horizontal="center" vertical="center"/>
    </xf>
    <xf numFmtId="0" fontId="28" fillId="47" borderId="118" xfId="0" applyFont="1" applyFill="1" applyBorder="1" applyAlignment="1">
      <alignment horizontal="center" vertical="center" textRotation="90" wrapText="1"/>
    </xf>
    <xf numFmtId="0" fontId="28" fillId="47" borderId="106" xfId="0" applyFont="1" applyFill="1" applyBorder="1" applyAlignment="1">
      <alignment horizontal="center" vertical="center" textRotation="90" wrapText="1"/>
    </xf>
    <xf numFmtId="0" fontId="28" fillId="47" borderId="101" xfId="0" applyFont="1" applyFill="1" applyBorder="1" applyAlignment="1">
      <alignment horizontal="center" vertical="center" textRotation="90" wrapText="1"/>
    </xf>
    <xf numFmtId="0" fontId="25" fillId="12" borderId="119" xfId="0" applyFont="1" applyFill="1" applyBorder="1" applyAlignment="1" applyProtection="1">
      <alignment horizontal="left" vertical="center" wrapText="1"/>
      <protection locked="0"/>
    </xf>
    <xf numFmtId="0" fontId="25" fillId="12" borderId="120" xfId="0" applyFont="1" applyFill="1" applyBorder="1" applyAlignment="1" applyProtection="1">
      <alignment horizontal="left" vertical="center" wrapText="1"/>
      <protection locked="0"/>
    </xf>
    <xf numFmtId="0" fontId="25" fillId="12" borderId="117" xfId="0" applyFont="1" applyFill="1" applyBorder="1" applyAlignment="1" applyProtection="1">
      <alignment horizontal="left" vertical="center" wrapText="1"/>
      <protection locked="0"/>
    </xf>
    <xf numFmtId="0" fontId="25" fillId="12" borderId="113" xfId="0" applyFont="1" applyFill="1" applyBorder="1" applyAlignment="1" applyProtection="1">
      <alignment horizontal="left" vertical="center" wrapText="1"/>
      <protection locked="0"/>
    </xf>
    <xf numFmtId="0" fontId="25" fillId="12" borderId="198" xfId="0" applyFont="1" applyFill="1" applyBorder="1" applyAlignment="1" applyProtection="1">
      <alignment horizontal="left" vertical="center" wrapText="1"/>
      <protection locked="0"/>
    </xf>
    <xf numFmtId="0" fontId="25" fillId="12" borderId="115" xfId="0" applyFont="1" applyFill="1" applyBorder="1" applyAlignment="1" applyProtection="1">
      <alignment horizontal="left" vertical="center" wrapText="1"/>
      <protection locked="0"/>
    </xf>
    <xf numFmtId="0" fontId="25" fillId="12" borderId="66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center" vertical="center"/>
    </xf>
    <xf numFmtId="0" fontId="25" fillId="47" borderId="203" xfId="0" applyFont="1" applyFill="1" applyBorder="1" applyAlignment="1">
      <alignment horizontal="center" vertical="center" textRotation="90" wrapText="1"/>
    </xf>
    <xf numFmtId="0" fontId="25" fillId="47" borderId="198" xfId="0" applyFont="1" applyFill="1" applyBorder="1" applyAlignment="1">
      <alignment horizontal="center" vertical="center" textRotation="90" wrapText="1"/>
    </xf>
    <xf numFmtId="0" fontId="25" fillId="47" borderId="66" xfId="0" applyFont="1" applyFill="1" applyBorder="1" applyAlignment="1">
      <alignment horizontal="center" vertical="center" textRotation="90" wrapText="1"/>
    </xf>
    <xf numFmtId="0" fontId="25" fillId="47" borderId="203" xfId="0" applyFont="1" applyFill="1" applyBorder="1" applyAlignment="1">
      <alignment horizontal="left" vertical="center" wrapText="1"/>
    </xf>
    <xf numFmtId="0" fontId="25" fillId="47" borderId="198" xfId="0" applyFont="1" applyFill="1" applyBorder="1" applyAlignment="1">
      <alignment horizontal="left" vertical="center" wrapText="1"/>
    </xf>
    <xf numFmtId="0" fontId="25" fillId="47" borderId="66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center" vertical="center"/>
    </xf>
    <xf numFmtId="0" fontId="14" fillId="17" borderId="28" xfId="0" applyFont="1" applyFill="1" applyBorder="1" applyAlignment="1">
      <alignment horizontal="center" vertical="center" wrapText="1"/>
    </xf>
    <xf numFmtId="0" fontId="14" fillId="17" borderId="134" xfId="0" applyFont="1" applyFill="1" applyBorder="1" applyAlignment="1">
      <alignment horizontal="center" vertical="center" wrapText="1"/>
    </xf>
    <xf numFmtId="0" fontId="12" fillId="15" borderId="28" xfId="0" applyFont="1" applyFill="1" applyBorder="1" applyAlignment="1">
      <alignment horizontal="center" vertical="center" wrapText="1"/>
    </xf>
    <xf numFmtId="0" fontId="12" fillId="15" borderId="134" xfId="0" applyFont="1" applyFill="1" applyBorder="1" applyAlignment="1">
      <alignment horizontal="center" vertical="center" wrapText="1"/>
    </xf>
    <xf numFmtId="0" fontId="14" fillId="27" borderId="203" xfId="0" applyFont="1" applyFill="1" applyBorder="1" applyAlignment="1">
      <alignment horizontal="center" vertical="center" wrapText="1"/>
    </xf>
    <xf numFmtId="0" fontId="14" fillId="27" borderId="66" xfId="0" applyFont="1" applyFill="1" applyBorder="1" applyAlignment="1">
      <alignment horizontal="center" vertical="center" wrapText="1"/>
    </xf>
    <xf numFmtId="0" fontId="19" fillId="14" borderId="204" xfId="0" applyFont="1" applyFill="1" applyBorder="1" applyAlignment="1">
      <alignment horizontal="center" vertical="center"/>
    </xf>
    <xf numFmtId="0" fontId="19" fillId="47" borderId="204" xfId="0" applyFont="1" applyFill="1" applyBorder="1" applyAlignment="1">
      <alignment horizontal="center" vertical="center"/>
    </xf>
    <xf numFmtId="0" fontId="14" fillId="16" borderId="47" xfId="0" applyFont="1" applyFill="1" applyBorder="1" applyAlignment="1">
      <alignment horizontal="center" vertical="center" wrapText="1"/>
    </xf>
    <xf numFmtId="0" fontId="14" fillId="16" borderId="51" xfId="0" applyFont="1" applyFill="1" applyBorder="1" applyAlignment="1">
      <alignment horizontal="center" vertical="center" wrapText="1"/>
    </xf>
    <xf numFmtId="0" fontId="14" fillId="16" borderId="53" xfId="0" applyFont="1" applyFill="1" applyBorder="1" applyAlignment="1">
      <alignment horizontal="center" vertical="center" wrapText="1"/>
    </xf>
    <xf numFmtId="0" fontId="14" fillId="16" borderId="54" xfId="0" applyFont="1" applyFill="1" applyBorder="1" applyAlignment="1">
      <alignment horizontal="center" vertical="center" wrapText="1"/>
    </xf>
    <xf numFmtId="0" fontId="14" fillId="16" borderId="46" xfId="0" applyFont="1" applyFill="1" applyBorder="1" applyAlignment="1">
      <alignment horizontal="center" vertical="center"/>
    </xf>
    <xf numFmtId="0" fontId="14" fillId="16" borderId="12" xfId="0" applyFont="1" applyFill="1" applyBorder="1" applyAlignment="1">
      <alignment horizontal="center" vertical="center"/>
    </xf>
    <xf numFmtId="0" fontId="14" fillId="16" borderId="46" xfId="0" applyFont="1" applyFill="1" applyBorder="1" applyAlignment="1">
      <alignment horizontal="center" vertical="center" wrapText="1"/>
    </xf>
    <xf numFmtId="0" fontId="14" fillId="16" borderId="12" xfId="0" applyFont="1" applyFill="1" applyBorder="1" applyAlignment="1">
      <alignment horizontal="center" vertical="center" wrapText="1"/>
    </xf>
    <xf numFmtId="0" fontId="25" fillId="0" borderId="113" xfId="0" applyFont="1" applyBorder="1" applyAlignment="1">
      <alignment horizontal="left" vertical="center" wrapText="1"/>
    </xf>
    <xf numFmtId="0" fontId="25" fillId="0" borderId="115" xfId="0" applyFont="1" applyBorder="1" applyAlignment="1">
      <alignment horizontal="left" vertical="center" wrapText="1"/>
    </xf>
    <xf numFmtId="0" fontId="25" fillId="0" borderId="66" xfId="0" applyFont="1" applyBorder="1" applyAlignment="1">
      <alignment horizontal="left" vertical="center" wrapText="1"/>
    </xf>
    <xf numFmtId="0" fontId="14" fillId="15" borderId="119" xfId="0" applyFont="1" applyFill="1" applyBorder="1" applyAlignment="1">
      <alignment horizontal="center" vertical="center" wrapText="1"/>
    </xf>
    <xf numFmtId="0" fontId="14" fillId="15" borderId="121" xfId="0" applyFont="1" applyFill="1" applyBorder="1" applyAlignment="1">
      <alignment horizontal="center" vertical="center" wrapText="1"/>
    </xf>
    <xf numFmtId="0" fontId="14" fillId="15" borderId="125" xfId="0" applyFont="1" applyFill="1" applyBorder="1" applyAlignment="1">
      <alignment horizontal="center" vertical="center" wrapText="1"/>
    </xf>
    <xf numFmtId="0" fontId="14" fillId="15" borderId="50" xfId="0" applyFont="1" applyFill="1" applyBorder="1" applyAlignment="1">
      <alignment horizontal="center" vertical="center" wrapText="1"/>
    </xf>
    <xf numFmtId="0" fontId="25" fillId="16" borderId="35" xfId="0" applyFont="1" applyFill="1" applyBorder="1" applyAlignment="1">
      <alignment horizontal="center" vertical="center"/>
    </xf>
    <xf numFmtId="0" fontId="25" fillId="16" borderId="36" xfId="0" applyFont="1" applyFill="1" applyBorder="1" applyAlignment="1">
      <alignment horizontal="center" vertical="center"/>
    </xf>
    <xf numFmtId="0" fontId="25" fillId="12" borderId="17" xfId="0" applyFont="1" applyFill="1" applyBorder="1" applyAlignment="1" applyProtection="1">
      <alignment horizontal="center" vertical="center"/>
      <protection locked="0"/>
    </xf>
    <xf numFmtId="0" fontId="25" fillId="12" borderId="18" xfId="0" applyFont="1" applyFill="1" applyBorder="1" applyAlignment="1" applyProtection="1">
      <alignment horizontal="center" vertical="center"/>
      <protection locked="0"/>
    </xf>
    <xf numFmtId="168" fontId="25" fillId="17" borderId="41" xfId="0" applyNumberFormat="1" applyFont="1" applyFill="1" applyBorder="1" applyAlignment="1">
      <alignment horizontal="center" vertical="center" wrapText="1"/>
    </xf>
    <xf numFmtId="168" fontId="25" fillId="17" borderId="30" xfId="0" applyNumberFormat="1" applyFont="1" applyFill="1" applyBorder="1" applyAlignment="1">
      <alignment horizontal="center" vertical="center" wrapText="1"/>
    </xf>
    <xf numFmtId="168" fontId="25" fillId="17" borderId="42" xfId="0" applyNumberFormat="1" applyFont="1" applyFill="1" applyBorder="1" applyAlignment="1">
      <alignment horizontal="center" vertical="center" wrapText="1"/>
    </xf>
    <xf numFmtId="168" fontId="26" fillId="34" borderId="41" xfId="0" applyNumberFormat="1" applyFont="1" applyFill="1" applyBorder="1" applyAlignment="1">
      <alignment horizontal="center" vertical="center" wrapText="1"/>
    </xf>
    <xf numFmtId="168" fontId="26" fillId="34" borderId="30" xfId="0" applyNumberFormat="1" applyFont="1" applyFill="1" applyBorder="1" applyAlignment="1">
      <alignment horizontal="center" vertical="center" wrapText="1"/>
    </xf>
    <xf numFmtId="168" fontId="26" fillId="34" borderId="42" xfId="0" applyNumberFormat="1" applyFont="1" applyFill="1" applyBorder="1" applyAlignment="1">
      <alignment horizontal="center" vertical="center" wrapText="1"/>
    </xf>
    <xf numFmtId="170" fontId="0" fillId="1" borderId="296" xfId="0" applyNumberFormat="1" applyFill="1" applyBorder="1" applyAlignment="1">
      <alignment horizontal="center" vertical="center"/>
    </xf>
    <xf numFmtId="170" fontId="0" fillId="1" borderId="294" xfId="0" applyNumberFormat="1" applyFill="1" applyBorder="1" applyAlignment="1">
      <alignment horizontal="center" vertical="center"/>
    </xf>
    <xf numFmtId="170" fontId="0" fillId="1" borderId="295" xfId="0" applyNumberFormat="1" applyFill="1" applyBorder="1" applyAlignment="1">
      <alignment horizontal="center" vertical="center"/>
    </xf>
    <xf numFmtId="170" fontId="0" fillId="1" borderId="293" xfId="0" applyNumberFormat="1" applyFill="1" applyBorder="1" applyAlignment="1">
      <alignment horizontal="center" vertical="center"/>
    </xf>
    <xf numFmtId="168" fontId="0" fillId="66" borderId="293" xfId="13" applyNumberFormat="1" applyFont="1" applyFill="1" applyBorder="1" applyAlignment="1">
      <alignment horizontal="center" vertical="center"/>
    </xf>
    <xf numFmtId="168" fontId="0" fillId="66" borderId="294" xfId="13" applyNumberFormat="1" applyFont="1" applyFill="1" applyBorder="1" applyAlignment="1">
      <alignment horizontal="center" vertical="center"/>
    </xf>
    <xf numFmtId="168" fontId="0" fillId="66" borderId="295" xfId="13" applyNumberFormat="1" applyFont="1" applyFill="1" applyBorder="1" applyAlignment="1">
      <alignment horizontal="center" vertical="center"/>
    </xf>
    <xf numFmtId="168" fontId="0" fillId="1" borderId="296" xfId="13" applyNumberFormat="1" applyFont="1" applyFill="1" applyBorder="1" applyAlignment="1">
      <alignment horizontal="center" vertical="center"/>
    </xf>
    <xf numFmtId="168" fontId="0" fillId="1" borderId="294" xfId="13" applyNumberFormat="1" applyFont="1" applyFill="1" applyBorder="1" applyAlignment="1">
      <alignment horizontal="center" vertical="center"/>
    </xf>
    <xf numFmtId="168" fontId="0" fillId="1" borderId="295" xfId="13" applyNumberFormat="1" applyFont="1" applyFill="1" applyBorder="1" applyAlignment="1">
      <alignment horizontal="center" vertical="center"/>
    </xf>
    <xf numFmtId="168" fontId="0" fillId="90" borderId="296" xfId="13" applyNumberFormat="1" applyFont="1" applyFill="1" applyBorder="1" applyAlignment="1">
      <alignment horizontal="center" vertical="center"/>
    </xf>
    <xf numFmtId="168" fontId="0" fillId="90" borderId="294" xfId="13" applyNumberFormat="1" applyFont="1" applyFill="1" applyBorder="1" applyAlignment="1">
      <alignment horizontal="center" vertical="center"/>
    </xf>
    <xf numFmtId="168" fontId="0" fillId="90" borderId="295" xfId="13" applyNumberFormat="1" applyFont="1" applyFill="1" applyBorder="1" applyAlignment="1">
      <alignment horizontal="center" vertical="center"/>
    </xf>
    <xf numFmtId="168" fontId="0" fillId="68" borderId="296" xfId="13" applyNumberFormat="1" applyFont="1" applyFill="1" applyBorder="1" applyAlignment="1">
      <alignment horizontal="center" vertical="center"/>
    </xf>
    <xf numFmtId="168" fontId="0" fillId="68" borderId="294" xfId="13" applyNumberFormat="1" applyFont="1" applyFill="1" applyBorder="1" applyAlignment="1">
      <alignment horizontal="center" vertical="center"/>
    </xf>
    <xf numFmtId="168" fontId="0" fillId="68" borderId="295" xfId="13" applyNumberFormat="1" applyFont="1" applyFill="1" applyBorder="1" applyAlignment="1">
      <alignment horizontal="center" vertical="center"/>
    </xf>
    <xf numFmtId="168" fontId="0" fillId="91" borderId="293" xfId="13" applyNumberFormat="1" applyFont="1" applyFill="1" applyBorder="1" applyAlignment="1">
      <alignment horizontal="center" vertical="center"/>
    </xf>
    <xf numFmtId="168" fontId="0" fillId="91" borderId="294" xfId="13" applyNumberFormat="1" applyFont="1" applyFill="1" applyBorder="1" applyAlignment="1">
      <alignment horizontal="center" vertical="center"/>
    </xf>
    <xf numFmtId="168" fontId="0" fillId="91" borderId="295" xfId="13" applyNumberFormat="1" applyFont="1" applyFill="1" applyBorder="1" applyAlignment="1">
      <alignment horizontal="center" vertical="center"/>
    </xf>
    <xf numFmtId="168" fontId="0" fillId="1" borderId="293" xfId="13" applyNumberFormat="1" applyFont="1" applyFill="1" applyBorder="1" applyAlignment="1">
      <alignment horizontal="center" vertical="center"/>
    </xf>
    <xf numFmtId="0" fontId="25" fillId="11" borderId="299" xfId="0" applyFont="1" applyFill="1" applyBorder="1" applyAlignment="1">
      <alignment horizontal="center" vertical="center" wrapText="1"/>
    </xf>
    <xf numFmtId="0" fontId="25" fillId="11" borderId="312" xfId="0" applyFont="1" applyFill="1" applyBorder="1" applyAlignment="1">
      <alignment horizontal="center" vertical="center" wrapText="1"/>
    </xf>
    <xf numFmtId="0" fontId="25" fillId="11" borderId="364" xfId="0" applyFont="1" applyFill="1" applyBorder="1" applyAlignment="1">
      <alignment horizontal="center" vertical="center" wrapText="1"/>
    </xf>
    <xf numFmtId="0" fontId="25" fillId="11" borderId="193" xfId="0" applyFont="1" applyFill="1" applyBorder="1" applyAlignment="1">
      <alignment horizontal="center" vertical="center" wrapText="1"/>
    </xf>
    <xf numFmtId="177" fontId="25" fillId="29" borderId="216" xfId="0" applyNumberFormat="1" applyFont="1" applyFill="1" applyBorder="1" applyAlignment="1">
      <alignment horizontal="right" vertical="center"/>
    </xf>
    <xf numFmtId="177" fontId="25" fillId="29" borderId="313" xfId="0" applyNumberFormat="1" applyFont="1" applyFill="1" applyBorder="1" applyAlignment="1">
      <alignment horizontal="right" vertical="center"/>
    </xf>
    <xf numFmtId="177" fontId="25" fillId="29" borderId="367" xfId="0" applyNumberFormat="1" applyFont="1" applyFill="1" applyBorder="1" applyAlignment="1">
      <alignment horizontal="right" vertical="center"/>
    </xf>
    <xf numFmtId="177" fontId="25" fillId="29" borderId="218" xfId="0" applyNumberFormat="1" applyFont="1" applyFill="1" applyBorder="1" applyAlignment="1">
      <alignment horizontal="right" vertical="center"/>
    </xf>
    <xf numFmtId="0" fontId="14" fillId="27" borderId="52" xfId="0" applyFont="1" applyFill="1" applyBorder="1" applyAlignment="1">
      <alignment horizontal="center" vertical="center" wrapText="1"/>
    </xf>
    <xf numFmtId="0" fontId="14" fillId="27" borderId="0" xfId="0" applyFont="1" applyFill="1" applyAlignment="1">
      <alignment horizontal="center" vertical="center" wrapText="1"/>
    </xf>
    <xf numFmtId="0" fontId="14" fillId="27" borderId="198" xfId="0" applyFont="1" applyFill="1" applyBorder="1" applyAlignment="1">
      <alignment horizontal="center" vertical="center" wrapText="1"/>
    </xf>
    <xf numFmtId="177" fontId="25" fillId="57" borderId="216" xfId="0" applyNumberFormat="1" applyFont="1" applyFill="1" applyBorder="1" applyAlignment="1">
      <alignment horizontal="right" vertical="center"/>
    </xf>
    <xf numFmtId="177" fontId="25" fillId="57" borderId="313" xfId="0" applyNumberFormat="1" applyFont="1" applyFill="1" applyBorder="1" applyAlignment="1">
      <alignment horizontal="right" vertical="center"/>
    </xf>
    <xf numFmtId="177" fontId="25" fillId="57" borderId="218" xfId="0" applyNumberFormat="1" applyFont="1" applyFill="1" applyBorder="1" applyAlignment="1">
      <alignment horizontal="right" vertical="center"/>
    </xf>
    <xf numFmtId="0" fontId="14" fillId="16" borderId="299" xfId="0" applyFont="1" applyFill="1" applyBorder="1" applyAlignment="1">
      <alignment horizontal="center" vertical="center" wrapText="1"/>
    </xf>
    <xf numFmtId="0" fontId="14" fillId="16" borderId="193" xfId="0" applyFont="1" applyFill="1" applyBorder="1" applyAlignment="1">
      <alignment horizontal="center" vertical="center" wrapText="1"/>
    </xf>
    <xf numFmtId="0" fontId="14" fillId="16" borderId="300" xfId="0" applyFont="1" applyFill="1" applyBorder="1" applyAlignment="1">
      <alignment horizontal="center" vertical="center"/>
    </xf>
    <xf numFmtId="0" fontId="14" fillId="16" borderId="191" xfId="0" applyFont="1" applyFill="1" applyBorder="1" applyAlignment="1">
      <alignment horizontal="center" vertical="center"/>
    </xf>
    <xf numFmtId="0" fontId="14" fillId="16" borderId="300" xfId="0" applyFont="1" applyFill="1" applyBorder="1" applyAlignment="1">
      <alignment horizontal="center" vertical="center" wrapText="1"/>
    </xf>
    <xf numFmtId="0" fontId="14" fillId="16" borderId="191" xfId="0" applyFont="1" applyFill="1" applyBorder="1" applyAlignment="1">
      <alignment horizontal="center" vertical="center" wrapText="1"/>
    </xf>
    <xf numFmtId="0" fontId="14" fillId="16" borderId="34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4" fillId="16" borderId="220" xfId="0" applyFont="1" applyFill="1" applyBorder="1" applyAlignment="1">
      <alignment horizontal="center" vertical="center" wrapText="1"/>
    </xf>
    <xf numFmtId="0" fontId="14" fillId="16" borderId="292" xfId="0" applyFont="1" applyFill="1" applyBorder="1" applyAlignment="1">
      <alignment horizontal="center" vertical="center" wrapText="1"/>
    </xf>
    <xf numFmtId="0" fontId="14" fillId="16" borderId="338" xfId="0" applyFont="1" applyFill="1" applyBorder="1" applyAlignment="1">
      <alignment horizontal="center" vertical="center" wrapText="1"/>
    </xf>
    <xf numFmtId="0" fontId="14" fillId="16" borderId="291" xfId="0" applyFont="1" applyFill="1" applyBorder="1" applyAlignment="1">
      <alignment horizontal="center" vertical="center" wrapText="1"/>
    </xf>
    <xf numFmtId="0" fontId="14" fillId="16" borderId="302" xfId="0" applyFont="1" applyFill="1" applyBorder="1" applyAlignment="1">
      <alignment horizontal="center" vertical="center"/>
    </xf>
    <xf numFmtId="0" fontId="14" fillId="16" borderId="236" xfId="0" applyFont="1" applyFill="1" applyBorder="1" applyAlignment="1">
      <alignment horizontal="center" vertical="center"/>
    </xf>
    <xf numFmtId="0" fontId="14" fillId="16" borderId="302" xfId="0" applyFont="1" applyFill="1" applyBorder="1" applyAlignment="1">
      <alignment horizontal="center" vertical="center" wrapText="1"/>
    </xf>
    <xf numFmtId="0" fontId="14" fillId="16" borderId="236" xfId="0" applyFont="1" applyFill="1" applyBorder="1" applyAlignment="1">
      <alignment horizontal="center" vertical="center" wrapText="1"/>
    </xf>
    <xf numFmtId="177" fontId="25" fillId="66" borderId="216" xfId="0" applyNumberFormat="1" applyFont="1" applyFill="1" applyBorder="1" applyAlignment="1">
      <alignment horizontal="right" vertical="center"/>
    </xf>
    <xf numFmtId="177" fontId="25" fillId="66" borderId="313" xfId="0" applyNumberFormat="1" applyFont="1" applyFill="1" applyBorder="1" applyAlignment="1">
      <alignment horizontal="right" vertical="center"/>
    </xf>
    <xf numFmtId="177" fontId="25" fillId="66" borderId="218" xfId="0" applyNumberFormat="1" applyFont="1" applyFill="1" applyBorder="1" applyAlignment="1">
      <alignment horizontal="right" vertical="center"/>
    </xf>
    <xf numFmtId="0" fontId="24" fillId="0" borderId="168" xfId="0" applyFont="1" applyBorder="1" applyAlignment="1">
      <alignment horizontal="center" vertical="center" wrapText="1"/>
    </xf>
    <xf numFmtId="0" fontId="24" fillId="0" borderId="158" xfId="0" applyFont="1" applyBorder="1" applyAlignment="1">
      <alignment horizontal="center" vertical="center" wrapText="1"/>
    </xf>
    <xf numFmtId="0" fontId="24" fillId="0" borderId="176" xfId="0" applyFont="1" applyBorder="1" applyAlignment="1">
      <alignment horizontal="center" vertical="center" wrapText="1"/>
    </xf>
    <xf numFmtId="0" fontId="24" fillId="0" borderId="149" xfId="0" applyFont="1" applyBorder="1" applyAlignment="1">
      <alignment horizontal="center" vertical="center" wrapText="1"/>
    </xf>
    <xf numFmtId="0" fontId="24" fillId="0" borderId="160" xfId="0" applyFont="1" applyBorder="1" applyAlignment="1">
      <alignment horizontal="center" vertical="center" wrapText="1"/>
    </xf>
    <xf numFmtId="0" fontId="24" fillId="0" borderId="145" xfId="0" applyFont="1" applyBorder="1" applyAlignment="1">
      <alignment horizontal="center" vertical="center" wrapText="1"/>
    </xf>
    <xf numFmtId="0" fontId="24" fillId="0" borderId="164" xfId="0" applyFont="1" applyBorder="1" applyAlignment="1">
      <alignment horizontal="center" vertical="center" wrapText="1"/>
    </xf>
    <xf numFmtId="0" fontId="24" fillId="0" borderId="165" xfId="0" applyFont="1" applyBorder="1" applyAlignment="1">
      <alignment horizontal="center" vertical="center" wrapText="1"/>
    </xf>
    <xf numFmtId="0" fontId="25" fillId="15" borderId="145" xfId="0" applyFont="1" applyFill="1" applyBorder="1" applyAlignment="1">
      <alignment horizontal="center" vertical="center" wrapText="1"/>
    </xf>
    <xf numFmtId="0" fontId="25" fillId="15" borderId="149" xfId="0" applyFont="1" applyFill="1" applyBorder="1" applyAlignment="1">
      <alignment horizontal="center" vertical="center" wrapText="1"/>
    </xf>
    <xf numFmtId="0" fontId="14" fillId="16" borderId="154" xfId="0" applyFont="1" applyFill="1" applyBorder="1" applyAlignment="1">
      <alignment horizontal="center" vertical="center" wrapText="1"/>
    </xf>
    <xf numFmtId="0" fontId="14" fillId="16" borderId="174" xfId="0" applyFont="1" applyFill="1" applyBorder="1" applyAlignment="1">
      <alignment horizontal="center" vertical="center" wrapText="1"/>
    </xf>
    <xf numFmtId="0" fontId="25" fillId="12" borderId="63" xfId="0" applyFont="1" applyFill="1" applyBorder="1" applyAlignment="1" applyProtection="1">
      <alignment horizontal="center" vertical="center"/>
      <protection locked="0"/>
    </xf>
    <xf numFmtId="0" fontId="25" fillId="12" borderId="15" xfId="0" applyFont="1" applyFill="1" applyBorder="1" applyAlignment="1" applyProtection="1">
      <alignment horizontal="center" vertical="center"/>
      <protection locked="0"/>
    </xf>
    <xf numFmtId="0" fontId="14" fillId="16" borderId="225" xfId="0" applyFont="1" applyFill="1" applyBorder="1" applyAlignment="1">
      <alignment horizontal="center" vertical="center"/>
    </xf>
    <xf numFmtId="0" fontId="14" fillId="16" borderId="153" xfId="0" applyFont="1" applyFill="1" applyBorder="1" applyAlignment="1">
      <alignment horizontal="center" vertical="center"/>
    </xf>
    <xf numFmtId="0" fontId="25" fillId="15" borderId="168" xfId="0" applyFont="1" applyFill="1" applyBorder="1" applyAlignment="1">
      <alignment horizontal="center" vertical="center" wrapText="1"/>
    </xf>
    <xf numFmtId="0" fontId="25" fillId="15" borderId="150" xfId="0" applyFont="1" applyFill="1" applyBorder="1" applyAlignment="1">
      <alignment horizontal="center" vertical="center" wrapText="1"/>
    </xf>
    <xf numFmtId="0" fontId="25" fillId="15" borderId="169" xfId="0" applyFont="1" applyFill="1" applyBorder="1" applyAlignment="1">
      <alignment horizontal="center" vertical="center" wrapText="1"/>
    </xf>
    <xf numFmtId="0" fontId="14" fillId="16" borderId="227" xfId="0" applyFont="1" applyFill="1" applyBorder="1" applyAlignment="1">
      <alignment horizontal="center" vertical="center"/>
    </xf>
    <xf numFmtId="0" fontId="14" fillId="16" borderId="148" xfId="0" applyFont="1" applyFill="1" applyBorder="1" applyAlignment="1">
      <alignment horizontal="center" vertical="center"/>
    </xf>
    <xf numFmtId="168" fontId="26" fillId="34" borderId="145" xfId="0" applyNumberFormat="1" applyFont="1" applyFill="1" applyBorder="1" applyAlignment="1">
      <alignment horizontal="center" vertical="center" wrapText="1"/>
    </xf>
    <xf numFmtId="168" fontId="26" fillId="34" borderId="147" xfId="0" applyNumberFormat="1" applyFont="1" applyFill="1" applyBorder="1" applyAlignment="1">
      <alignment horizontal="center" vertical="center" wrapText="1"/>
    </xf>
    <xf numFmtId="168" fontId="26" fillId="34" borderId="151" xfId="0" applyNumberFormat="1" applyFont="1" applyFill="1" applyBorder="1" applyAlignment="1">
      <alignment horizontal="center" vertical="center" wrapText="1"/>
    </xf>
    <xf numFmtId="168" fontId="14" fillId="17" borderId="152" xfId="0" applyNumberFormat="1" applyFont="1" applyFill="1" applyBorder="1" applyAlignment="1">
      <alignment horizontal="center" vertical="center" wrapText="1"/>
    </xf>
    <xf numFmtId="168" fontId="14" fillId="17" borderId="147" xfId="0" applyNumberFormat="1" applyFont="1" applyFill="1" applyBorder="1" applyAlignment="1">
      <alignment horizontal="center" vertical="center" wrapText="1"/>
    </xf>
    <xf numFmtId="168" fontId="14" fillId="17" borderId="146" xfId="0" applyNumberFormat="1" applyFont="1" applyFill="1" applyBorder="1" applyAlignment="1">
      <alignment horizontal="center" vertical="center" wrapText="1"/>
    </xf>
    <xf numFmtId="0" fontId="0" fillId="38" borderId="37" xfId="0" applyFill="1" applyBorder="1" applyAlignment="1">
      <alignment horizontal="left" vertical="center" wrapText="1"/>
    </xf>
    <xf numFmtId="0" fontId="0" fillId="38" borderId="22" xfId="0" applyFill="1" applyBorder="1" applyAlignment="1">
      <alignment horizontal="left" vertical="center" wrapText="1"/>
    </xf>
    <xf numFmtId="0" fontId="0" fillId="38" borderId="44" xfId="0" applyFill="1" applyBorder="1" applyAlignment="1">
      <alignment horizontal="left" vertical="center" wrapText="1"/>
    </xf>
    <xf numFmtId="0" fontId="0" fillId="38" borderId="38" xfId="0" applyFill="1" applyBorder="1" applyAlignment="1">
      <alignment horizontal="left" vertical="center" wrapText="1"/>
    </xf>
    <xf numFmtId="0" fontId="0" fillId="38" borderId="0" xfId="0" applyFill="1" applyAlignment="1">
      <alignment horizontal="left" vertical="center" wrapText="1"/>
    </xf>
    <xf numFmtId="0" fontId="0" fillId="38" borderId="45" xfId="0" applyFill="1" applyBorder="1" applyAlignment="1">
      <alignment horizontal="left" vertical="center" wrapText="1"/>
    </xf>
    <xf numFmtId="0" fontId="0" fillId="38" borderId="23" xfId="0" applyFill="1" applyBorder="1" applyAlignment="1">
      <alignment horizontal="left" vertical="center" wrapText="1"/>
    </xf>
    <xf numFmtId="0" fontId="0" fillId="38" borderId="19" xfId="0" applyFill="1" applyBorder="1" applyAlignment="1">
      <alignment horizontal="left" vertical="center" wrapText="1"/>
    </xf>
    <xf numFmtId="0" fontId="0" fillId="38" borderId="21" xfId="0" applyFill="1" applyBorder="1" applyAlignment="1">
      <alignment horizontal="left" vertical="center" wrapText="1"/>
    </xf>
    <xf numFmtId="0" fontId="14" fillId="16" borderId="213" xfId="0" applyFont="1" applyFill="1" applyBorder="1" applyAlignment="1">
      <alignment horizontal="center" vertical="center" wrapText="1"/>
    </xf>
    <xf numFmtId="0" fontId="14" fillId="16" borderId="106" xfId="0" applyFont="1" applyFill="1" applyBorder="1" applyAlignment="1">
      <alignment horizontal="center" vertical="center" wrapText="1"/>
    </xf>
    <xf numFmtId="0" fontId="25" fillId="15" borderId="155" xfId="0" applyFont="1" applyFill="1" applyBorder="1" applyAlignment="1">
      <alignment horizontal="center" vertical="center" wrapText="1"/>
    </xf>
    <xf numFmtId="0" fontId="14" fillId="16" borderId="124" xfId="0" applyFont="1" applyFill="1" applyBorder="1" applyAlignment="1">
      <alignment horizontal="center" vertical="center"/>
    </xf>
    <xf numFmtId="0" fontId="14" fillId="16" borderId="183" xfId="0" applyFont="1" applyFill="1" applyBorder="1" applyAlignment="1">
      <alignment horizontal="center" vertical="center"/>
    </xf>
    <xf numFmtId="0" fontId="14" fillId="16" borderId="232" xfId="0" applyFont="1" applyFill="1" applyBorder="1" applyAlignment="1">
      <alignment horizontal="center" vertical="center"/>
    </xf>
    <xf numFmtId="0" fontId="0" fillId="61" borderId="296" xfId="0" applyFill="1" applyBorder="1" applyAlignment="1" applyProtection="1">
      <alignment horizontal="center" vertical="center"/>
      <protection locked="0"/>
    </xf>
    <xf numFmtId="0" fontId="0" fillId="61" borderId="295" xfId="0" applyFill="1" applyBorder="1" applyAlignment="1" applyProtection="1">
      <alignment horizontal="center" vertical="center"/>
      <protection locked="0"/>
    </xf>
    <xf numFmtId="180" fontId="15" fillId="60" borderId="296" xfId="16" applyNumberFormat="1" applyFill="1" applyBorder="1" applyAlignment="1">
      <alignment horizontal="center" vertical="center"/>
    </xf>
    <xf numFmtId="180" fontId="15" fillId="60" borderId="294" xfId="16" applyNumberFormat="1" applyFill="1" applyBorder="1" applyAlignment="1">
      <alignment horizontal="center" vertical="center"/>
    </xf>
    <xf numFmtId="180" fontId="15" fillId="60" borderId="295" xfId="16" applyNumberFormat="1" applyFill="1" applyBorder="1" applyAlignment="1">
      <alignment horizontal="center" vertical="center"/>
    </xf>
    <xf numFmtId="168" fontId="0" fillId="62" borderId="296" xfId="13" applyNumberFormat="1" applyFont="1" applyFill="1" applyBorder="1" applyAlignment="1">
      <alignment horizontal="center" vertical="center"/>
    </xf>
    <xf numFmtId="168" fontId="0" fillId="62" borderId="294" xfId="13" applyNumberFormat="1" applyFont="1" applyFill="1" applyBorder="1" applyAlignment="1">
      <alignment horizontal="center" vertical="center"/>
    </xf>
    <xf numFmtId="168" fontId="0" fillId="62" borderId="295" xfId="13" applyNumberFormat="1" applyFont="1" applyFill="1" applyBorder="1" applyAlignment="1">
      <alignment horizontal="center" vertical="center"/>
    </xf>
    <xf numFmtId="180" fontId="15" fillId="91" borderId="293" xfId="16" applyNumberFormat="1" applyFill="1" applyBorder="1" applyAlignment="1">
      <alignment horizontal="center" vertical="center"/>
    </xf>
    <xf numFmtId="180" fontId="15" fillId="91" borderId="294" xfId="16" applyNumberFormat="1" applyFill="1" applyBorder="1" applyAlignment="1">
      <alignment horizontal="center" vertical="center"/>
    </xf>
    <xf numFmtId="180" fontId="15" fillId="91" borderId="295" xfId="16" applyNumberFormat="1" applyFill="1" applyBorder="1" applyAlignment="1">
      <alignment horizontal="center" vertical="center"/>
    </xf>
    <xf numFmtId="0" fontId="59" fillId="0" borderId="338" xfId="0" applyFont="1" applyBorder="1" applyAlignment="1">
      <alignment horizontal="center" vertical="center"/>
    </xf>
    <xf numFmtId="0" fontId="59" fillId="0" borderId="291" xfId="0" applyFont="1" applyBorder="1" applyAlignment="1">
      <alignment horizontal="center" vertical="center"/>
    </xf>
    <xf numFmtId="0" fontId="51" fillId="0" borderId="338" xfId="0" applyFont="1" applyBorder="1" applyAlignment="1">
      <alignment horizontal="center" vertical="center"/>
    </xf>
    <xf numFmtId="0" fontId="59" fillId="0" borderId="340" xfId="0" applyFont="1" applyBorder="1" applyAlignment="1">
      <alignment horizontal="center" vertical="center"/>
    </xf>
    <xf numFmtId="0" fontId="59" fillId="0" borderId="296" xfId="0" applyFont="1" applyBorder="1" applyAlignment="1">
      <alignment horizontal="center" vertical="center"/>
    </xf>
    <xf numFmtId="0" fontId="59" fillId="0" borderId="341" xfId="0" applyFont="1" applyBorder="1" applyAlignment="1">
      <alignment horizontal="center" vertical="center"/>
    </xf>
    <xf numFmtId="0" fontId="59" fillId="0" borderId="299" xfId="0" applyFont="1" applyBorder="1" applyAlignment="1">
      <alignment horizontal="center" vertical="center"/>
    </xf>
    <xf numFmtId="0" fontId="59" fillId="0" borderId="312" xfId="0" applyFont="1" applyBorder="1" applyAlignment="1">
      <alignment horizontal="center" vertical="center"/>
    </xf>
    <xf numFmtId="0" fontId="59" fillId="0" borderId="315" xfId="0" applyFont="1" applyBorder="1" applyAlignment="1">
      <alignment horizontal="center" vertical="center"/>
    </xf>
    <xf numFmtId="0" fontId="59" fillId="0" borderId="283" xfId="0" applyFont="1" applyBorder="1" applyAlignment="1">
      <alignment horizontal="center" vertical="center"/>
    </xf>
    <xf numFmtId="0" fontId="59" fillId="0" borderId="278" xfId="0" applyFont="1" applyBorder="1" applyAlignment="1">
      <alignment horizontal="center" vertical="center"/>
    </xf>
    <xf numFmtId="0" fontId="51" fillId="0" borderId="132" xfId="0" applyFont="1" applyBorder="1" applyAlignment="1">
      <alignment horizontal="center" vertical="center"/>
    </xf>
    <xf numFmtId="0" fontId="51" fillId="0" borderId="72" xfId="0" applyFont="1" applyBorder="1" applyAlignment="1">
      <alignment horizontal="center" vertical="center"/>
    </xf>
    <xf numFmtId="0" fontId="40" fillId="0" borderId="291" xfId="0" applyFont="1" applyBorder="1" applyAlignment="1">
      <alignment horizontal="center" vertical="center"/>
    </xf>
    <xf numFmtId="0" fontId="40" fillId="0" borderId="338" xfId="0" applyFont="1" applyBorder="1" applyAlignment="1">
      <alignment horizontal="center" vertical="center"/>
    </xf>
    <xf numFmtId="0" fontId="59" fillId="0" borderId="132" xfId="0" applyFont="1" applyBorder="1" applyAlignment="1">
      <alignment horizontal="center" vertical="center"/>
    </xf>
    <xf numFmtId="0" fontId="51" fillId="0" borderId="346" xfId="0" applyFont="1" applyBorder="1" applyAlignment="1">
      <alignment horizontal="center" vertical="center"/>
    </xf>
    <xf numFmtId="0" fontId="51" fillId="0" borderId="343" xfId="0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58" fillId="12" borderId="0" xfId="0" applyFont="1" applyFill="1" applyAlignment="1">
      <alignment horizontal="left"/>
    </xf>
    <xf numFmtId="0" fontId="16" fillId="12" borderId="0" xfId="0" applyFont="1" applyFill="1" applyAlignment="1">
      <alignment horizontal="left"/>
    </xf>
    <xf numFmtId="0" fontId="51" fillId="0" borderId="316" xfId="0" applyFont="1" applyBorder="1" applyAlignment="1">
      <alignment horizontal="left" vertical="center" wrapText="1"/>
    </xf>
    <xf numFmtId="0" fontId="51" fillId="0" borderId="12" xfId="0" applyFont="1" applyBorder="1" applyAlignment="1">
      <alignment horizontal="left" vertical="center" wrapText="1"/>
    </xf>
    <xf numFmtId="0" fontId="51" fillId="0" borderId="285" xfId="0" applyFont="1" applyBorder="1" applyAlignment="1">
      <alignment horizontal="left" vertical="center" wrapText="1"/>
    </xf>
    <xf numFmtId="0" fontId="51" fillId="0" borderId="316" xfId="0" applyFont="1" applyBorder="1" applyAlignment="1">
      <alignment horizontal="center" vertical="center" wrapText="1"/>
    </xf>
    <xf numFmtId="0" fontId="51" fillId="0" borderId="12" xfId="0" applyFont="1" applyBorder="1" applyAlignment="1">
      <alignment horizontal="center" vertical="center" wrapText="1"/>
    </xf>
    <xf numFmtId="0" fontId="51" fillId="0" borderId="285" xfId="0" applyFont="1" applyBorder="1" applyAlignment="1">
      <alignment horizontal="center" vertical="center" wrapText="1"/>
    </xf>
    <xf numFmtId="0" fontId="57" fillId="43" borderId="0" xfId="0" applyFont="1" applyFill="1" applyAlignment="1">
      <alignment vertical="center" wrapText="1"/>
    </xf>
    <xf numFmtId="0" fontId="40" fillId="43" borderId="0" xfId="0" applyFont="1" applyFill="1" applyAlignment="1" applyProtection="1">
      <alignment horizontal="center" vertical="center" wrapText="1"/>
      <protection locked="0"/>
    </xf>
    <xf numFmtId="0" fontId="58" fillId="0" borderId="0" xfId="0" applyFont="1" applyAlignment="1">
      <alignment horizontal="left"/>
    </xf>
    <xf numFmtId="0" fontId="51" fillId="0" borderId="304" xfId="0" applyFont="1" applyBorder="1" applyAlignment="1">
      <alignment horizontal="left" vertical="center" wrapText="1"/>
    </xf>
    <xf numFmtId="0" fontId="51" fillId="0" borderId="304" xfId="0" applyFont="1" applyBorder="1" applyAlignment="1">
      <alignment horizontal="center" vertical="center" wrapText="1"/>
    </xf>
    <xf numFmtId="0" fontId="51" fillId="12" borderId="304" xfId="0" applyFont="1" applyFill="1" applyBorder="1" applyAlignment="1">
      <alignment horizontal="left" vertical="center" wrapText="1"/>
    </xf>
    <xf numFmtId="0" fontId="51" fillId="12" borderId="304" xfId="0" applyFont="1" applyFill="1" applyBorder="1" applyAlignment="1">
      <alignment horizontal="center" vertical="center" wrapText="1"/>
    </xf>
    <xf numFmtId="0" fontId="46" fillId="96" borderId="107" xfId="0" applyFont="1" applyFill="1" applyBorder="1" applyAlignment="1">
      <alignment horizontal="center" vertical="center" wrapText="1"/>
    </xf>
    <xf numFmtId="0" fontId="46" fillId="96" borderId="138" xfId="0" applyFont="1" applyFill="1" applyBorder="1" applyAlignment="1">
      <alignment horizontal="center" vertical="center" wrapText="1"/>
    </xf>
    <xf numFmtId="0" fontId="44" fillId="0" borderId="107" xfId="0" applyFont="1" applyBorder="1" applyAlignment="1">
      <alignment vertical="center" wrapText="1"/>
    </xf>
    <xf numFmtId="0" fontId="45" fillId="97" borderId="107" xfId="0" applyFont="1" applyFill="1" applyBorder="1" applyAlignment="1">
      <alignment horizontal="center" vertical="center" wrapText="1"/>
    </xf>
    <xf numFmtId="0" fontId="46" fillId="96" borderId="107" xfId="0" applyFont="1" applyFill="1" applyBorder="1" applyAlignment="1">
      <alignment horizontal="justify" vertical="center" wrapText="1"/>
    </xf>
    <xf numFmtId="0" fontId="42" fillId="0" borderId="337" xfId="0" applyFont="1" applyBorder="1" applyAlignment="1" applyProtection="1">
      <alignment horizontal="center" vertical="center" wrapText="1"/>
      <protection locked="0"/>
    </xf>
    <xf numFmtId="0" fontId="42" fillId="0" borderId="52" xfId="0" applyFont="1" applyBorder="1" applyAlignment="1" applyProtection="1">
      <alignment horizontal="center" vertical="center" wrapText="1"/>
      <protection locked="0"/>
    </xf>
    <xf numFmtId="0" fontId="42" fillId="0" borderId="213" xfId="0" applyFont="1" applyBorder="1" applyAlignment="1" applyProtection="1">
      <alignment horizontal="center" vertical="center" wrapText="1"/>
      <protection locked="0"/>
    </xf>
    <xf numFmtId="0" fontId="42" fillId="0" borderId="201" xfId="0" applyFont="1" applyBorder="1" applyAlignment="1" applyProtection="1">
      <alignment horizontal="center" vertical="center" wrapText="1"/>
      <protection locked="0"/>
    </xf>
    <xf numFmtId="0" fontId="42" fillId="0" borderId="0" xfId="0" applyFont="1" applyAlignment="1" applyProtection="1">
      <alignment horizontal="center" vertical="center" wrapText="1"/>
      <protection locked="0"/>
    </xf>
    <xf numFmtId="0" fontId="42" fillId="0" borderId="106" xfId="0" applyFont="1" applyBorder="1" applyAlignment="1" applyProtection="1">
      <alignment horizontal="center" vertical="center" wrapText="1"/>
      <protection locked="0"/>
    </xf>
    <xf numFmtId="0" fontId="42" fillId="0" borderId="202" xfId="0" applyFont="1" applyBorder="1" applyAlignment="1" applyProtection="1">
      <alignment horizontal="center" vertical="center" wrapText="1"/>
      <protection locked="0"/>
    </xf>
    <xf numFmtId="0" fontId="42" fillId="0" borderId="208" xfId="0" applyFont="1" applyBorder="1" applyAlignment="1" applyProtection="1">
      <alignment horizontal="center" vertical="center" wrapText="1"/>
      <protection locked="0"/>
    </xf>
    <xf numFmtId="0" fontId="42" fillId="0" borderId="101" xfId="0" applyFont="1" applyBorder="1" applyAlignment="1" applyProtection="1">
      <alignment horizontal="center" vertical="center" wrapText="1"/>
      <protection locked="0"/>
    </xf>
    <xf numFmtId="0" fontId="45" fillId="95" borderId="107" xfId="0" applyFont="1" applyFill="1" applyBorder="1" applyAlignment="1">
      <alignment horizontal="center" vertical="center" wrapText="1"/>
    </xf>
  </cellXfs>
  <cellStyles count="299">
    <cellStyle name="Accent" xfId="1" xr:uid="{00000000-0005-0000-0000-000000000000}"/>
    <cellStyle name="Accent 1" xfId="2" xr:uid="{00000000-0005-0000-0000-000001000000}"/>
    <cellStyle name="Accent 1 1" xfId="46" xr:uid="{00000000-0005-0000-0000-000002000000}"/>
    <cellStyle name="Accent 2" xfId="3" xr:uid="{00000000-0005-0000-0000-000003000000}"/>
    <cellStyle name="Accent 2 1" xfId="47" xr:uid="{00000000-0005-0000-0000-000004000000}"/>
    <cellStyle name="Accent 3" xfId="4" xr:uid="{00000000-0005-0000-0000-000005000000}"/>
    <cellStyle name="Accent 3 1" xfId="48" xr:uid="{00000000-0005-0000-0000-000006000000}"/>
    <cellStyle name="Accent 4" xfId="49" xr:uid="{00000000-0005-0000-0000-000007000000}"/>
    <cellStyle name="Bad" xfId="5" xr:uid="{00000000-0005-0000-0000-000008000000}"/>
    <cellStyle name="Bad 1" xfId="50" xr:uid="{00000000-0005-0000-0000-000009000000}"/>
    <cellStyle name="Error" xfId="6" xr:uid="{00000000-0005-0000-0000-00000A000000}"/>
    <cellStyle name="Error 1" xfId="51" xr:uid="{00000000-0005-0000-0000-00000B000000}"/>
    <cellStyle name="Euro" xfId="21" xr:uid="{00000000-0005-0000-0000-00000C000000}"/>
    <cellStyle name="Euro 2" xfId="22" xr:uid="{00000000-0005-0000-0000-00000D000000}"/>
    <cellStyle name="Euro 2 2" xfId="53" xr:uid="{00000000-0005-0000-0000-00000E000000}"/>
    <cellStyle name="Euro 3" xfId="23" xr:uid="{00000000-0005-0000-0000-00000F000000}"/>
    <cellStyle name="Euro 3 2" xfId="54" xr:uid="{00000000-0005-0000-0000-000010000000}"/>
    <cellStyle name="Euro 4" xfId="52" xr:uid="{00000000-0005-0000-0000-000011000000}"/>
    <cellStyle name="Footnote" xfId="7" xr:uid="{00000000-0005-0000-0000-000012000000}"/>
    <cellStyle name="Footnote 1" xfId="55" xr:uid="{00000000-0005-0000-0000-000013000000}"/>
    <cellStyle name="Good" xfId="8" xr:uid="{00000000-0005-0000-0000-000014000000}"/>
    <cellStyle name="Good 1" xfId="56" xr:uid="{00000000-0005-0000-0000-000015000000}"/>
    <cellStyle name="Heading" xfId="9" xr:uid="{00000000-0005-0000-0000-000016000000}"/>
    <cellStyle name="Heading 1" xfId="10" xr:uid="{00000000-0005-0000-0000-000017000000}"/>
    <cellStyle name="Heading 1 1" xfId="57" xr:uid="{00000000-0005-0000-0000-000018000000}"/>
    <cellStyle name="Heading 2" xfId="11" xr:uid="{00000000-0005-0000-0000-000019000000}"/>
    <cellStyle name="Heading 2 1" xfId="58" xr:uid="{00000000-0005-0000-0000-00001A000000}"/>
    <cellStyle name="Heading 3" xfId="59" xr:uid="{00000000-0005-0000-0000-00001B000000}"/>
    <cellStyle name="Hipervínculo" xfId="20" builtinId="8"/>
    <cellStyle name="Hipervínculo 2" xfId="60" xr:uid="{00000000-0005-0000-0000-00001D000000}"/>
    <cellStyle name="Millares" xfId="12" builtinId="3"/>
    <cellStyle name="Millares [0]" xfId="32" builtinId="6"/>
    <cellStyle name="Millares [0] 2" xfId="67" xr:uid="{00000000-0005-0000-0000-000020000000}"/>
    <cellStyle name="Millares 2" xfId="24" xr:uid="{00000000-0005-0000-0000-000021000000}"/>
    <cellStyle name="Millares 3" xfId="80" xr:uid="{00000000-0005-0000-0000-000022000000}"/>
    <cellStyle name="Millares 3 2" xfId="111" xr:uid="{00000000-0005-0000-0000-000023000000}"/>
    <cellStyle name="Moneda" xfId="13" builtinId="4"/>
    <cellStyle name="Moneda [0]" xfId="31" builtinId="7"/>
    <cellStyle name="Moneda [0] 2" xfId="40" xr:uid="{00000000-0005-0000-0000-000026000000}"/>
    <cellStyle name="Moneda [0] 2 2" xfId="35" xr:uid="{00000000-0005-0000-0000-000027000000}"/>
    <cellStyle name="Moneda 2" xfId="26" xr:uid="{00000000-0005-0000-0000-000028000000}"/>
    <cellStyle name="Moneda 2 2" xfId="61" xr:uid="{00000000-0005-0000-0000-000029000000}"/>
    <cellStyle name="Moneda 3" xfId="25" xr:uid="{00000000-0005-0000-0000-00002A000000}"/>
    <cellStyle name="Neutral" xfId="14" builtinId="28" customBuiltin="1"/>
    <cellStyle name="Normal" xfId="0" builtinId="0"/>
    <cellStyle name="Normal 2" xfId="27" xr:uid="{00000000-0005-0000-0000-00002D000000}"/>
    <cellStyle name="Normal 3" xfId="28" xr:uid="{00000000-0005-0000-0000-00002E000000}"/>
    <cellStyle name="Normal 4" xfId="29" xr:uid="{00000000-0005-0000-0000-00002F000000}"/>
    <cellStyle name="Normal 5" xfId="79" xr:uid="{00000000-0005-0000-0000-000030000000}"/>
    <cellStyle name="Normal 5 2" xfId="110" xr:uid="{00000000-0005-0000-0000-000031000000}"/>
    <cellStyle name="Note" xfId="15" xr:uid="{00000000-0005-0000-0000-000032000000}"/>
    <cellStyle name="Note 1" xfId="62" xr:uid="{00000000-0005-0000-0000-000033000000}"/>
    <cellStyle name="Note 1 10" xfId="257" xr:uid="{00000000-0005-0000-0000-000034000000}"/>
    <cellStyle name="Note 1 11" xfId="274" xr:uid="{00000000-0005-0000-0000-000035000000}"/>
    <cellStyle name="Note 1 12" xfId="286" xr:uid="{00000000-0005-0000-0000-000036000000}"/>
    <cellStyle name="Note 1 2" xfId="77" xr:uid="{00000000-0005-0000-0000-000037000000}"/>
    <cellStyle name="Note 1 2 10" xfId="296" xr:uid="{00000000-0005-0000-0000-000038000000}"/>
    <cellStyle name="Note 1 2 2" xfId="108" xr:uid="{00000000-0005-0000-0000-000039000000}"/>
    <cellStyle name="Note 1 2 3" xfId="172" xr:uid="{00000000-0005-0000-0000-00003A000000}"/>
    <cellStyle name="Note 1 2 4" xfId="197" xr:uid="{00000000-0005-0000-0000-00003B000000}"/>
    <cellStyle name="Note 1 2 5" xfId="219" xr:uid="{00000000-0005-0000-0000-00003C000000}"/>
    <cellStyle name="Note 1 2 6" xfId="237" xr:uid="{00000000-0005-0000-0000-00003D000000}"/>
    <cellStyle name="Note 1 2 7" xfId="254" xr:uid="{00000000-0005-0000-0000-00003E000000}"/>
    <cellStyle name="Note 1 2 8" xfId="268" xr:uid="{00000000-0005-0000-0000-00003F000000}"/>
    <cellStyle name="Note 1 2 9" xfId="284" xr:uid="{00000000-0005-0000-0000-000040000000}"/>
    <cellStyle name="Note 1 3" xfId="78" xr:uid="{00000000-0005-0000-0000-000041000000}"/>
    <cellStyle name="Note 1 3 10" xfId="297" xr:uid="{00000000-0005-0000-0000-000042000000}"/>
    <cellStyle name="Note 1 3 2" xfId="109" xr:uid="{00000000-0005-0000-0000-000043000000}"/>
    <cellStyle name="Note 1 3 3" xfId="173" xr:uid="{00000000-0005-0000-0000-000044000000}"/>
    <cellStyle name="Note 1 3 4" xfId="198" xr:uid="{00000000-0005-0000-0000-000045000000}"/>
    <cellStyle name="Note 1 3 5" xfId="220" xr:uid="{00000000-0005-0000-0000-000046000000}"/>
    <cellStyle name="Note 1 3 6" xfId="238" xr:uid="{00000000-0005-0000-0000-000047000000}"/>
    <cellStyle name="Note 1 3 7" xfId="255" xr:uid="{00000000-0005-0000-0000-000048000000}"/>
    <cellStyle name="Note 1 3 8" xfId="269" xr:uid="{00000000-0005-0000-0000-000049000000}"/>
    <cellStyle name="Note 1 3 9" xfId="285" xr:uid="{00000000-0005-0000-0000-00004A000000}"/>
    <cellStyle name="Note 1 4" xfId="98" xr:uid="{00000000-0005-0000-0000-00004B000000}"/>
    <cellStyle name="Note 1 5" xfId="160" xr:uid="{00000000-0005-0000-0000-00004C000000}"/>
    <cellStyle name="Note 1 6" xfId="184" xr:uid="{00000000-0005-0000-0000-00004D000000}"/>
    <cellStyle name="Note 1 7" xfId="205" xr:uid="{00000000-0005-0000-0000-00004E000000}"/>
    <cellStyle name="Note 1 8" xfId="224" xr:uid="{00000000-0005-0000-0000-00004F000000}"/>
    <cellStyle name="Note 1 9" xfId="241" xr:uid="{00000000-0005-0000-0000-000050000000}"/>
    <cellStyle name="Note 10" xfId="33" xr:uid="{00000000-0005-0000-0000-000051000000}"/>
    <cellStyle name="Note 10 10" xfId="157" xr:uid="{00000000-0005-0000-0000-000052000000}"/>
    <cellStyle name="Note 10 2" xfId="86" xr:uid="{00000000-0005-0000-0000-000053000000}"/>
    <cellStyle name="Note 10 3" xfId="133" xr:uid="{00000000-0005-0000-0000-000054000000}"/>
    <cellStyle name="Note 10 4" xfId="155" xr:uid="{00000000-0005-0000-0000-000055000000}"/>
    <cellStyle name="Note 10 5" xfId="179" xr:uid="{00000000-0005-0000-0000-000056000000}"/>
    <cellStyle name="Note 10 6" xfId="115" xr:uid="{00000000-0005-0000-0000-000057000000}"/>
    <cellStyle name="Note 10 7" xfId="201" xr:uid="{00000000-0005-0000-0000-000058000000}"/>
    <cellStyle name="Note 10 8" xfId="203" xr:uid="{00000000-0005-0000-0000-000059000000}"/>
    <cellStyle name="Note 10 9" xfId="222" xr:uid="{00000000-0005-0000-0000-00005A000000}"/>
    <cellStyle name="Note 11" xfId="36" xr:uid="{00000000-0005-0000-0000-00005B000000}"/>
    <cellStyle name="Note 11 10" xfId="256" xr:uid="{00000000-0005-0000-0000-00005C000000}"/>
    <cellStyle name="Note 11 2" xfId="88" xr:uid="{00000000-0005-0000-0000-00005D000000}"/>
    <cellStyle name="Note 11 3" xfId="136" xr:uid="{00000000-0005-0000-0000-00005E000000}"/>
    <cellStyle name="Note 11 4" xfId="154" xr:uid="{00000000-0005-0000-0000-00005F000000}"/>
    <cellStyle name="Note 11 5" xfId="178" xr:uid="{00000000-0005-0000-0000-000060000000}"/>
    <cellStyle name="Note 11 6" xfId="131" xr:uid="{00000000-0005-0000-0000-000061000000}"/>
    <cellStyle name="Note 11 7" xfId="83" xr:uid="{00000000-0005-0000-0000-000062000000}"/>
    <cellStyle name="Note 11 8" xfId="162" xr:uid="{00000000-0005-0000-0000-000063000000}"/>
    <cellStyle name="Note 11 9" xfId="185" xr:uid="{00000000-0005-0000-0000-000064000000}"/>
    <cellStyle name="Note 12" xfId="85" xr:uid="{00000000-0005-0000-0000-000065000000}"/>
    <cellStyle name="Note 13" xfId="119" xr:uid="{00000000-0005-0000-0000-000066000000}"/>
    <cellStyle name="Note 14" xfId="140" xr:uid="{00000000-0005-0000-0000-000067000000}"/>
    <cellStyle name="Note 15" xfId="187" xr:uid="{00000000-0005-0000-0000-000068000000}"/>
    <cellStyle name="Note 16" xfId="227" xr:uid="{00000000-0005-0000-0000-000069000000}"/>
    <cellStyle name="Note 17" xfId="239" xr:uid="{00000000-0005-0000-0000-00006A000000}"/>
    <cellStyle name="Note 18" xfId="242" xr:uid="{00000000-0005-0000-0000-00006B000000}"/>
    <cellStyle name="Note 19" xfId="273" xr:uid="{00000000-0005-0000-0000-00006C000000}"/>
    <cellStyle name="Note 2" xfId="42" xr:uid="{00000000-0005-0000-0000-00006D000000}"/>
    <cellStyle name="Note 2 10" xfId="208" xr:uid="{00000000-0005-0000-0000-00006E000000}"/>
    <cellStyle name="Note 2 11" xfId="207" xr:uid="{00000000-0005-0000-0000-00006F000000}"/>
    <cellStyle name="Note 2 12" xfId="202" xr:uid="{00000000-0005-0000-0000-000070000000}"/>
    <cellStyle name="Note 2 2" xfId="69" xr:uid="{00000000-0005-0000-0000-000071000000}"/>
    <cellStyle name="Note 2 2 10" xfId="288" xr:uid="{00000000-0005-0000-0000-000072000000}"/>
    <cellStyle name="Note 2 2 2" xfId="100" xr:uid="{00000000-0005-0000-0000-000073000000}"/>
    <cellStyle name="Note 2 2 3" xfId="164" xr:uid="{00000000-0005-0000-0000-000074000000}"/>
    <cellStyle name="Note 2 2 4" xfId="189" xr:uid="{00000000-0005-0000-0000-000075000000}"/>
    <cellStyle name="Note 2 2 5" xfId="211" xr:uid="{00000000-0005-0000-0000-000076000000}"/>
    <cellStyle name="Note 2 2 6" xfId="229" xr:uid="{00000000-0005-0000-0000-000077000000}"/>
    <cellStyle name="Note 2 2 7" xfId="246" xr:uid="{00000000-0005-0000-0000-000078000000}"/>
    <cellStyle name="Note 2 2 8" xfId="260" xr:uid="{00000000-0005-0000-0000-000079000000}"/>
    <cellStyle name="Note 2 2 9" xfId="276" xr:uid="{00000000-0005-0000-0000-00007A000000}"/>
    <cellStyle name="Note 2 3" xfId="73" xr:uid="{00000000-0005-0000-0000-00007B000000}"/>
    <cellStyle name="Note 2 3 10" xfId="292" xr:uid="{00000000-0005-0000-0000-00007C000000}"/>
    <cellStyle name="Note 2 3 2" xfId="104" xr:uid="{00000000-0005-0000-0000-00007D000000}"/>
    <cellStyle name="Note 2 3 3" xfId="168" xr:uid="{00000000-0005-0000-0000-00007E000000}"/>
    <cellStyle name="Note 2 3 4" xfId="193" xr:uid="{00000000-0005-0000-0000-00007F000000}"/>
    <cellStyle name="Note 2 3 5" xfId="215" xr:uid="{00000000-0005-0000-0000-000080000000}"/>
    <cellStyle name="Note 2 3 6" xfId="233" xr:uid="{00000000-0005-0000-0000-000081000000}"/>
    <cellStyle name="Note 2 3 7" xfId="250" xr:uid="{00000000-0005-0000-0000-000082000000}"/>
    <cellStyle name="Note 2 3 8" xfId="264" xr:uid="{00000000-0005-0000-0000-000083000000}"/>
    <cellStyle name="Note 2 3 9" xfId="280" xr:uid="{00000000-0005-0000-0000-000084000000}"/>
    <cellStyle name="Note 2 4" xfId="93" xr:uid="{00000000-0005-0000-0000-000085000000}"/>
    <cellStyle name="Note 2 5" xfId="142" xr:uid="{00000000-0005-0000-0000-000086000000}"/>
    <cellStyle name="Note 2 6" xfId="112" xr:uid="{00000000-0005-0000-0000-000087000000}"/>
    <cellStyle name="Note 2 7" xfId="159" xr:uid="{00000000-0005-0000-0000-000088000000}"/>
    <cellStyle name="Note 2 8" xfId="130" xr:uid="{00000000-0005-0000-0000-000089000000}"/>
    <cellStyle name="Note 2 9" xfId="116" xr:uid="{00000000-0005-0000-0000-00008A000000}"/>
    <cellStyle name="Note 3" xfId="43" xr:uid="{00000000-0005-0000-0000-00008B000000}"/>
    <cellStyle name="Note 3 10" xfId="240" xr:uid="{00000000-0005-0000-0000-00008C000000}"/>
    <cellStyle name="Note 3 11" xfId="223" xr:uid="{00000000-0005-0000-0000-00008D000000}"/>
    <cellStyle name="Note 3 12" xfId="270" xr:uid="{00000000-0005-0000-0000-00008E000000}"/>
    <cellStyle name="Note 3 2" xfId="70" xr:uid="{00000000-0005-0000-0000-00008F000000}"/>
    <cellStyle name="Note 3 2 10" xfId="289" xr:uid="{00000000-0005-0000-0000-000090000000}"/>
    <cellStyle name="Note 3 2 2" xfId="101" xr:uid="{00000000-0005-0000-0000-000091000000}"/>
    <cellStyle name="Note 3 2 3" xfId="165" xr:uid="{00000000-0005-0000-0000-000092000000}"/>
    <cellStyle name="Note 3 2 4" xfId="190" xr:uid="{00000000-0005-0000-0000-000093000000}"/>
    <cellStyle name="Note 3 2 5" xfId="212" xr:uid="{00000000-0005-0000-0000-000094000000}"/>
    <cellStyle name="Note 3 2 6" xfId="230" xr:uid="{00000000-0005-0000-0000-000095000000}"/>
    <cellStyle name="Note 3 2 7" xfId="247" xr:uid="{00000000-0005-0000-0000-000096000000}"/>
    <cellStyle name="Note 3 2 8" xfId="261" xr:uid="{00000000-0005-0000-0000-000097000000}"/>
    <cellStyle name="Note 3 2 9" xfId="277" xr:uid="{00000000-0005-0000-0000-000098000000}"/>
    <cellStyle name="Note 3 3" xfId="75" xr:uid="{00000000-0005-0000-0000-000099000000}"/>
    <cellStyle name="Note 3 3 10" xfId="294" xr:uid="{00000000-0005-0000-0000-00009A000000}"/>
    <cellStyle name="Note 3 3 2" xfId="106" xr:uid="{00000000-0005-0000-0000-00009B000000}"/>
    <cellStyle name="Note 3 3 3" xfId="170" xr:uid="{00000000-0005-0000-0000-00009C000000}"/>
    <cellStyle name="Note 3 3 4" xfId="195" xr:uid="{00000000-0005-0000-0000-00009D000000}"/>
    <cellStyle name="Note 3 3 5" xfId="217" xr:uid="{00000000-0005-0000-0000-00009E000000}"/>
    <cellStyle name="Note 3 3 6" xfId="235" xr:uid="{00000000-0005-0000-0000-00009F000000}"/>
    <cellStyle name="Note 3 3 7" xfId="252" xr:uid="{00000000-0005-0000-0000-0000A0000000}"/>
    <cellStyle name="Note 3 3 8" xfId="266" xr:uid="{00000000-0005-0000-0000-0000A1000000}"/>
    <cellStyle name="Note 3 3 9" xfId="282" xr:uid="{00000000-0005-0000-0000-0000A2000000}"/>
    <cellStyle name="Note 3 4" xfId="94" xr:uid="{00000000-0005-0000-0000-0000A3000000}"/>
    <cellStyle name="Note 3 5" xfId="143" xr:uid="{00000000-0005-0000-0000-0000A4000000}"/>
    <cellStyle name="Note 3 6" xfId="150" xr:uid="{00000000-0005-0000-0000-0000A5000000}"/>
    <cellStyle name="Note 3 7" xfId="175" xr:uid="{00000000-0005-0000-0000-0000A6000000}"/>
    <cellStyle name="Note 3 8" xfId="200" xr:uid="{00000000-0005-0000-0000-0000A7000000}"/>
    <cellStyle name="Note 3 9" xfId="174" xr:uid="{00000000-0005-0000-0000-0000A8000000}"/>
    <cellStyle name="Note 4" xfId="41" xr:uid="{00000000-0005-0000-0000-0000A9000000}"/>
    <cellStyle name="Note 4 10" xfId="158" xr:uid="{00000000-0005-0000-0000-0000AA000000}"/>
    <cellStyle name="Note 4 11" xfId="146" xr:uid="{00000000-0005-0000-0000-0000AB000000}"/>
    <cellStyle name="Note 4 12" xfId="258" xr:uid="{00000000-0005-0000-0000-0000AC000000}"/>
    <cellStyle name="Note 4 2" xfId="68" xr:uid="{00000000-0005-0000-0000-0000AD000000}"/>
    <cellStyle name="Note 4 2 10" xfId="287" xr:uid="{00000000-0005-0000-0000-0000AE000000}"/>
    <cellStyle name="Note 4 2 2" xfId="99" xr:uid="{00000000-0005-0000-0000-0000AF000000}"/>
    <cellStyle name="Note 4 2 3" xfId="163" xr:uid="{00000000-0005-0000-0000-0000B0000000}"/>
    <cellStyle name="Note 4 2 4" xfId="188" xr:uid="{00000000-0005-0000-0000-0000B1000000}"/>
    <cellStyle name="Note 4 2 5" xfId="210" xr:uid="{00000000-0005-0000-0000-0000B2000000}"/>
    <cellStyle name="Note 4 2 6" xfId="228" xr:uid="{00000000-0005-0000-0000-0000B3000000}"/>
    <cellStyle name="Note 4 2 7" xfId="245" xr:uid="{00000000-0005-0000-0000-0000B4000000}"/>
    <cellStyle name="Note 4 2 8" xfId="259" xr:uid="{00000000-0005-0000-0000-0000B5000000}"/>
    <cellStyle name="Note 4 2 9" xfId="275" xr:uid="{00000000-0005-0000-0000-0000B6000000}"/>
    <cellStyle name="Note 4 3" xfId="39" xr:uid="{00000000-0005-0000-0000-0000B7000000}"/>
    <cellStyle name="Note 4 3 10" xfId="199" xr:uid="{00000000-0005-0000-0000-0000B8000000}"/>
    <cellStyle name="Note 4 3 2" xfId="91" xr:uid="{00000000-0005-0000-0000-0000B9000000}"/>
    <cellStyle name="Note 4 3 3" xfId="139" xr:uid="{00000000-0005-0000-0000-0000BA000000}"/>
    <cellStyle name="Note 4 3 4" xfId="123" xr:uid="{00000000-0005-0000-0000-0000BB000000}"/>
    <cellStyle name="Note 4 3 5" xfId="128" xr:uid="{00000000-0005-0000-0000-0000BC000000}"/>
    <cellStyle name="Note 4 3 6" xfId="148" xr:uid="{00000000-0005-0000-0000-0000BD000000}"/>
    <cellStyle name="Note 4 3 7" xfId="206" xr:uid="{00000000-0005-0000-0000-0000BE000000}"/>
    <cellStyle name="Note 4 3 8" xfId="156" xr:uid="{00000000-0005-0000-0000-0000BF000000}"/>
    <cellStyle name="Note 4 3 9" xfId="204" xr:uid="{00000000-0005-0000-0000-0000C0000000}"/>
    <cellStyle name="Note 4 4" xfId="92" xr:uid="{00000000-0005-0000-0000-0000C1000000}"/>
    <cellStyle name="Note 4 5" xfId="141" xr:uid="{00000000-0005-0000-0000-0000C2000000}"/>
    <cellStyle name="Note 4 6" xfId="151" xr:uid="{00000000-0005-0000-0000-0000C3000000}"/>
    <cellStyle name="Note 4 7" xfId="176" xr:uid="{00000000-0005-0000-0000-0000C4000000}"/>
    <cellStyle name="Note 4 8" xfId="120" xr:uid="{00000000-0005-0000-0000-0000C5000000}"/>
    <cellStyle name="Note 4 9" xfId="129" xr:uid="{00000000-0005-0000-0000-0000C6000000}"/>
    <cellStyle name="Note 5" xfId="45" xr:uid="{00000000-0005-0000-0000-0000C7000000}"/>
    <cellStyle name="Note 5 10" xfId="182" xr:uid="{00000000-0005-0000-0000-0000C8000000}"/>
    <cellStyle name="Note 5 11" xfId="243" xr:uid="{00000000-0005-0000-0000-0000C9000000}"/>
    <cellStyle name="Note 5 12" xfId="209" xr:uid="{00000000-0005-0000-0000-0000CA000000}"/>
    <cellStyle name="Note 5 2" xfId="72" xr:uid="{00000000-0005-0000-0000-0000CB000000}"/>
    <cellStyle name="Note 5 2 10" xfId="291" xr:uid="{00000000-0005-0000-0000-0000CC000000}"/>
    <cellStyle name="Note 5 2 2" xfId="103" xr:uid="{00000000-0005-0000-0000-0000CD000000}"/>
    <cellStyle name="Note 5 2 3" xfId="167" xr:uid="{00000000-0005-0000-0000-0000CE000000}"/>
    <cellStyle name="Note 5 2 4" xfId="192" xr:uid="{00000000-0005-0000-0000-0000CF000000}"/>
    <cellStyle name="Note 5 2 5" xfId="214" xr:uid="{00000000-0005-0000-0000-0000D0000000}"/>
    <cellStyle name="Note 5 2 6" xfId="232" xr:uid="{00000000-0005-0000-0000-0000D1000000}"/>
    <cellStyle name="Note 5 2 7" xfId="249" xr:uid="{00000000-0005-0000-0000-0000D2000000}"/>
    <cellStyle name="Note 5 2 8" xfId="263" xr:uid="{00000000-0005-0000-0000-0000D3000000}"/>
    <cellStyle name="Note 5 2 9" xfId="279" xr:uid="{00000000-0005-0000-0000-0000D4000000}"/>
    <cellStyle name="Note 5 3" xfId="74" xr:uid="{00000000-0005-0000-0000-0000D5000000}"/>
    <cellStyle name="Note 5 3 10" xfId="293" xr:uid="{00000000-0005-0000-0000-0000D6000000}"/>
    <cellStyle name="Note 5 3 2" xfId="105" xr:uid="{00000000-0005-0000-0000-0000D7000000}"/>
    <cellStyle name="Note 5 3 3" xfId="169" xr:uid="{00000000-0005-0000-0000-0000D8000000}"/>
    <cellStyle name="Note 5 3 4" xfId="194" xr:uid="{00000000-0005-0000-0000-0000D9000000}"/>
    <cellStyle name="Note 5 3 5" xfId="216" xr:uid="{00000000-0005-0000-0000-0000DA000000}"/>
    <cellStyle name="Note 5 3 6" xfId="234" xr:uid="{00000000-0005-0000-0000-0000DB000000}"/>
    <cellStyle name="Note 5 3 7" xfId="251" xr:uid="{00000000-0005-0000-0000-0000DC000000}"/>
    <cellStyle name="Note 5 3 8" xfId="265" xr:uid="{00000000-0005-0000-0000-0000DD000000}"/>
    <cellStyle name="Note 5 3 9" xfId="281" xr:uid="{00000000-0005-0000-0000-0000DE000000}"/>
    <cellStyle name="Note 5 4" xfId="96" xr:uid="{00000000-0005-0000-0000-0000DF000000}"/>
    <cellStyle name="Note 5 5" xfId="145" xr:uid="{00000000-0005-0000-0000-0000E0000000}"/>
    <cellStyle name="Note 5 6" xfId="149" xr:uid="{00000000-0005-0000-0000-0000E1000000}"/>
    <cellStyle name="Note 5 7" xfId="132" xr:uid="{00000000-0005-0000-0000-0000E2000000}"/>
    <cellStyle name="Note 5 8" xfId="126" xr:uid="{00000000-0005-0000-0000-0000E3000000}"/>
    <cellStyle name="Note 5 9" xfId="97" xr:uid="{00000000-0005-0000-0000-0000E4000000}"/>
    <cellStyle name="Note 6" xfId="44" xr:uid="{00000000-0005-0000-0000-0000E5000000}"/>
    <cellStyle name="Note 6 10" xfId="147" xr:uid="{00000000-0005-0000-0000-0000E6000000}"/>
    <cellStyle name="Note 6 11" xfId="225" xr:uid="{00000000-0005-0000-0000-0000E7000000}"/>
    <cellStyle name="Note 6 12" xfId="244" xr:uid="{00000000-0005-0000-0000-0000E8000000}"/>
    <cellStyle name="Note 6 2" xfId="71" xr:uid="{00000000-0005-0000-0000-0000E9000000}"/>
    <cellStyle name="Note 6 2 10" xfId="290" xr:uid="{00000000-0005-0000-0000-0000EA000000}"/>
    <cellStyle name="Note 6 2 2" xfId="102" xr:uid="{00000000-0005-0000-0000-0000EB000000}"/>
    <cellStyle name="Note 6 2 3" xfId="166" xr:uid="{00000000-0005-0000-0000-0000EC000000}"/>
    <cellStyle name="Note 6 2 4" xfId="191" xr:uid="{00000000-0005-0000-0000-0000ED000000}"/>
    <cellStyle name="Note 6 2 5" xfId="213" xr:uid="{00000000-0005-0000-0000-0000EE000000}"/>
    <cellStyle name="Note 6 2 6" xfId="231" xr:uid="{00000000-0005-0000-0000-0000EF000000}"/>
    <cellStyle name="Note 6 2 7" xfId="248" xr:uid="{00000000-0005-0000-0000-0000F0000000}"/>
    <cellStyle name="Note 6 2 8" xfId="262" xr:uid="{00000000-0005-0000-0000-0000F1000000}"/>
    <cellStyle name="Note 6 2 9" xfId="278" xr:uid="{00000000-0005-0000-0000-0000F2000000}"/>
    <cellStyle name="Note 6 3" xfId="38" xr:uid="{00000000-0005-0000-0000-0000F3000000}"/>
    <cellStyle name="Note 6 3 10" xfId="84" xr:uid="{00000000-0005-0000-0000-0000F4000000}"/>
    <cellStyle name="Note 6 3 2" xfId="90" xr:uid="{00000000-0005-0000-0000-0000F5000000}"/>
    <cellStyle name="Note 6 3 3" xfId="138" xr:uid="{00000000-0005-0000-0000-0000F6000000}"/>
    <cellStyle name="Note 6 3 4" xfId="153" xr:uid="{00000000-0005-0000-0000-0000F7000000}"/>
    <cellStyle name="Note 6 3 5" xfId="177" xr:uid="{00000000-0005-0000-0000-0000F8000000}"/>
    <cellStyle name="Note 6 3 6" xfId="114" xr:uid="{00000000-0005-0000-0000-0000F9000000}"/>
    <cellStyle name="Note 6 3 7" xfId="186" xr:uid="{00000000-0005-0000-0000-0000FA000000}"/>
    <cellStyle name="Note 6 3 8" xfId="122" xr:uid="{00000000-0005-0000-0000-0000FB000000}"/>
    <cellStyle name="Note 6 3 9" xfId="125" xr:uid="{00000000-0005-0000-0000-0000FC000000}"/>
    <cellStyle name="Note 6 4" xfId="95" xr:uid="{00000000-0005-0000-0000-0000FD000000}"/>
    <cellStyle name="Note 6 5" xfId="144" xr:uid="{00000000-0005-0000-0000-0000FE000000}"/>
    <cellStyle name="Note 6 6" xfId="81" xr:uid="{00000000-0005-0000-0000-0000FF000000}"/>
    <cellStyle name="Note 6 7" xfId="117" xr:uid="{00000000-0005-0000-0000-000000010000}"/>
    <cellStyle name="Note 6 8" xfId="82" xr:uid="{00000000-0005-0000-0000-000001010000}"/>
    <cellStyle name="Note 6 9" xfId="180" xr:uid="{00000000-0005-0000-0000-000002010000}"/>
    <cellStyle name="Note 7" xfId="34" xr:uid="{00000000-0005-0000-0000-000003010000}"/>
    <cellStyle name="Note 7 10" xfId="272" xr:uid="{00000000-0005-0000-0000-000004010000}"/>
    <cellStyle name="Note 7 2" xfId="87" xr:uid="{00000000-0005-0000-0000-000005010000}"/>
    <cellStyle name="Note 7 3" xfId="134" xr:uid="{00000000-0005-0000-0000-000006010000}"/>
    <cellStyle name="Note 7 4" xfId="113" xr:uid="{00000000-0005-0000-0000-000007010000}"/>
    <cellStyle name="Note 7 5" xfId="118" xr:uid="{00000000-0005-0000-0000-000008010000}"/>
    <cellStyle name="Note 7 6" xfId="121" xr:uid="{00000000-0005-0000-0000-000009010000}"/>
    <cellStyle name="Note 7 7" xfId="135" xr:uid="{00000000-0005-0000-0000-00000A010000}"/>
    <cellStyle name="Note 7 8" xfId="152" xr:uid="{00000000-0005-0000-0000-00000B010000}"/>
    <cellStyle name="Note 7 9" xfId="226" xr:uid="{00000000-0005-0000-0000-00000C010000}"/>
    <cellStyle name="Note 8" xfId="37" xr:uid="{00000000-0005-0000-0000-00000D010000}"/>
    <cellStyle name="Note 8 10" xfId="271" xr:uid="{00000000-0005-0000-0000-00000E010000}"/>
    <cellStyle name="Note 8 2" xfId="89" xr:uid="{00000000-0005-0000-0000-00000F010000}"/>
    <cellStyle name="Note 8 3" xfId="137" xr:uid="{00000000-0005-0000-0000-000010010000}"/>
    <cellStyle name="Note 8 4" xfId="124" xr:uid="{00000000-0005-0000-0000-000011010000}"/>
    <cellStyle name="Note 8 5" xfId="127" xr:uid="{00000000-0005-0000-0000-000012010000}"/>
    <cellStyle name="Note 8 6" xfId="161" xr:uid="{00000000-0005-0000-0000-000013010000}"/>
    <cellStyle name="Note 8 7" xfId="181" xr:uid="{00000000-0005-0000-0000-000014010000}"/>
    <cellStyle name="Note 8 8" xfId="221" xr:uid="{00000000-0005-0000-0000-000015010000}"/>
    <cellStyle name="Note 8 9" xfId="183" xr:uid="{00000000-0005-0000-0000-000016010000}"/>
    <cellStyle name="Note 9" xfId="76" xr:uid="{00000000-0005-0000-0000-000017010000}"/>
    <cellStyle name="Note 9 10" xfId="295" xr:uid="{00000000-0005-0000-0000-000018010000}"/>
    <cellStyle name="Note 9 2" xfId="107" xr:uid="{00000000-0005-0000-0000-000019010000}"/>
    <cellStyle name="Note 9 3" xfId="171" xr:uid="{00000000-0005-0000-0000-00001A010000}"/>
    <cellStyle name="Note 9 4" xfId="196" xr:uid="{00000000-0005-0000-0000-00001B010000}"/>
    <cellStyle name="Note 9 5" xfId="218" xr:uid="{00000000-0005-0000-0000-00001C010000}"/>
    <cellStyle name="Note 9 6" xfId="236" xr:uid="{00000000-0005-0000-0000-00001D010000}"/>
    <cellStyle name="Note 9 7" xfId="253" xr:uid="{00000000-0005-0000-0000-00001E010000}"/>
    <cellStyle name="Note 9 8" xfId="267" xr:uid="{00000000-0005-0000-0000-00001F010000}"/>
    <cellStyle name="Note 9 9" xfId="283" xr:uid="{00000000-0005-0000-0000-000020010000}"/>
    <cellStyle name="Porcentaje" xfId="16" builtinId="5"/>
    <cellStyle name="Porcentaje 2" xfId="30" xr:uid="{00000000-0005-0000-0000-000022010000}"/>
    <cellStyle name="Porcentaje 2 2" xfId="63" xr:uid="{00000000-0005-0000-0000-000023010000}"/>
    <cellStyle name="Status" xfId="17" xr:uid="{00000000-0005-0000-0000-000024010000}"/>
    <cellStyle name="Status 1" xfId="64" xr:uid="{00000000-0005-0000-0000-000025010000}"/>
    <cellStyle name="Text" xfId="18" xr:uid="{00000000-0005-0000-0000-000026010000}"/>
    <cellStyle name="Text 1" xfId="65" xr:uid="{00000000-0005-0000-0000-000027010000}"/>
    <cellStyle name="Texto explicativo" xfId="298" builtinId="53"/>
    <cellStyle name="Warning" xfId="19" xr:uid="{00000000-0005-0000-0000-000029010000}"/>
    <cellStyle name="Warning 1" xfId="66" xr:uid="{00000000-0005-0000-0000-00002A010000}"/>
  </cellStyles>
  <dxfs count="4">
    <dxf>
      <font>
        <color rgb="FF9C0006"/>
      </font>
    </dxf>
    <dxf>
      <fill>
        <patternFill>
          <bgColor theme="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FF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3CDDD"/>
      <rgbColor rgb="00FF99CC"/>
      <rgbColor rgb="00CC99FF"/>
      <rgbColor rgb="00FAC090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  <color rgb="FFFF0909"/>
      <color rgb="FF000099"/>
      <color rgb="FF69D8FF"/>
      <color rgb="FFFFFF66"/>
      <color rgb="FF00A249"/>
      <color rgb="FFCCFFCC"/>
      <color rgb="FFCC0000"/>
      <color rgb="FF33CC33"/>
      <color rgb="FFE5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B) Reajuste Tarifas y Ocupaci&#243;n'!A32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D) Costos Indirectos'!Z9"/><Relationship Id="rId2" Type="http://schemas.openxmlformats.org/officeDocument/2006/relationships/hyperlink" Target="#'D) Costos Indirectos'!U9"/><Relationship Id="rId1" Type="http://schemas.openxmlformats.org/officeDocument/2006/relationships/hyperlink" Target="#'D) Costos Indirectos'!M9"/><Relationship Id="rId6" Type="http://schemas.openxmlformats.org/officeDocument/2006/relationships/hyperlink" Target="#'D) Costos Indirectos'!AN9"/><Relationship Id="rId5" Type="http://schemas.openxmlformats.org/officeDocument/2006/relationships/hyperlink" Target="#'D) Costos Indirectos'!A1"/><Relationship Id="rId4" Type="http://schemas.openxmlformats.org/officeDocument/2006/relationships/hyperlink" Target="#'D) Costos Indirectos'!AG9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3</xdr:row>
      <xdr:rowOff>119062</xdr:rowOff>
    </xdr:from>
    <xdr:to>
      <xdr:col>8</xdr:col>
      <xdr:colOff>285751</xdr:colOff>
      <xdr:row>5</xdr:row>
      <xdr:rowOff>71437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D1EAF25-F3E7-4995-B4FA-C183E01E8467}"/>
            </a:ext>
          </a:extLst>
        </xdr:cNvPr>
        <xdr:cNvSpPr txBox="1"/>
      </xdr:nvSpPr>
      <xdr:spPr>
        <a:xfrm>
          <a:off x="285749" y="604837"/>
          <a:ext cx="6096002" cy="276225"/>
        </a:xfrm>
        <a:prstGeom prst="rect">
          <a:avLst/>
        </a:prstGeom>
        <a:solidFill>
          <a:srgbClr val="FFFF00"/>
        </a:solidFill>
        <a:ln w="285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1050" b="1" baseline="0">
              <a:latin typeface="Arial" panose="020B0604020202020204" pitchFamily="34" charset="0"/>
              <a:cs typeface="Arial" panose="020B0604020202020204" pitchFamily="34" charset="0"/>
            </a:rPr>
            <a:t>INGRESE LOS DATOS EN LAS CELDAS DESTACADAS EN COLOR AMARILLO Y NARANJO</a:t>
          </a:r>
          <a:endParaRPr lang="es-CL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5</xdr:row>
      <xdr:rowOff>95249</xdr:rowOff>
    </xdr:from>
    <xdr:to>
      <xdr:col>9</xdr:col>
      <xdr:colOff>232835</xdr:colOff>
      <xdr:row>63</xdr:row>
      <xdr:rowOff>42332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CC51CCE-0BDF-4B10-ADDE-E690F96CE2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6521" t="7408" r="24701" b="3589"/>
        <a:stretch/>
      </xdr:blipFill>
      <xdr:spPr>
        <a:xfrm>
          <a:off x="0" y="904874"/>
          <a:ext cx="7090835" cy="9338733"/>
        </a:xfrm>
        <a:prstGeom prst="rect">
          <a:avLst/>
        </a:prstGeom>
      </xdr:spPr>
    </xdr:pic>
    <xdr:clientData/>
  </xdr:twoCellAnchor>
  <xdr:twoCellAnchor editAs="oneCell">
    <xdr:from>
      <xdr:col>9</xdr:col>
      <xdr:colOff>211667</xdr:colOff>
      <xdr:row>5</xdr:row>
      <xdr:rowOff>158749</xdr:rowOff>
    </xdr:from>
    <xdr:to>
      <xdr:col>18</xdr:col>
      <xdr:colOff>359834</xdr:colOff>
      <xdr:row>63</xdr:row>
      <xdr:rowOff>31749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3230B67-D575-4358-A4E3-32ABDB060E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6637" t="7820" r="25049" b="3896"/>
        <a:stretch/>
      </xdr:blipFill>
      <xdr:spPr>
        <a:xfrm>
          <a:off x="7069667" y="968374"/>
          <a:ext cx="7006167" cy="9264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52916</xdr:rowOff>
    </xdr:from>
    <xdr:to>
      <xdr:col>9</xdr:col>
      <xdr:colOff>179917</xdr:colOff>
      <xdr:row>120</xdr:row>
      <xdr:rowOff>42333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2BD2E2C-2734-4ED4-849C-9D892E98E8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6636" t="8540" r="24875" b="3588"/>
        <a:stretch/>
      </xdr:blipFill>
      <xdr:spPr>
        <a:xfrm>
          <a:off x="0" y="10254191"/>
          <a:ext cx="7037917" cy="9219142"/>
        </a:xfrm>
        <a:prstGeom prst="rect">
          <a:avLst/>
        </a:prstGeom>
      </xdr:spPr>
    </xdr:pic>
    <xdr:clientData/>
  </xdr:twoCellAnchor>
  <xdr:twoCellAnchor editAs="oneCell">
    <xdr:from>
      <xdr:col>9</xdr:col>
      <xdr:colOff>211666</xdr:colOff>
      <xdr:row>63</xdr:row>
      <xdr:rowOff>52916</xdr:rowOff>
    </xdr:from>
    <xdr:to>
      <xdr:col>18</xdr:col>
      <xdr:colOff>412750</xdr:colOff>
      <xdr:row>120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DC2DF83-295C-40BA-919D-C3DBF3E556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6694" t="8746" r="24702" b="3794"/>
        <a:stretch/>
      </xdr:blipFill>
      <xdr:spPr>
        <a:xfrm>
          <a:off x="7069666" y="10254191"/>
          <a:ext cx="7059084" cy="91768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120</xdr:row>
      <xdr:rowOff>63499</xdr:rowOff>
    </xdr:from>
    <xdr:to>
      <xdr:col>9</xdr:col>
      <xdr:colOff>190500</xdr:colOff>
      <xdr:row>176</xdr:row>
      <xdr:rowOff>105834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93298A7-FAB7-4F2C-96D0-1E5999F8E7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36579" t="9363" r="24874" b="3795"/>
        <a:stretch/>
      </xdr:blipFill>
      <xdr:spPr>
        <a:xfrm>
          <a:off x="0" y="19494499"/>
          <a:ext cx="7048500" cy="9110135"/>
        </a:xfrm>
        <a:prstGeom prst="rect">
          <a:avLst/>
        </a:prstGeom>
      </xdr:spPr>
    </xdr:pic>
    <xdr:clientData/>
  </xdr:twoCellAnchor>
  <xdr:twoCellAnchor editAs="oneCell">
    <xdr:from>
      <xdr:col>9</xdr:col>
      <xdr:colOff>201083</xdr:colOff>
      <xdr:row>120</xdr:row>
      <xdr:rowOff>31751</xdr:rowOff>
    </xdr:from>
    <xdr:to>
      <xdr:col>18</xdr:col>
      <xdr:colOff>402167</xdr:colOff>
      <xdr:row>176</xdr:row>
      <xdr:rowOff>42334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F9A84DD-459A-4748-828F-22703C56AC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36521" t="9776" r="24875" b="3692"/>
        <a:stretch/>
      </xdr:blipFill>
      <xdr:spPr>
        <a:xfrm>
          <a:off x="7059083" y="19462751"/>
          <a:ext cx="7059084" cy="90783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176</xdr:row>
      <xdr:rowOff>126999</xdr:rowOff>
    </xdr:from>
    <xdr:to>
      <xdr:col>9</xdr:col>
      <xdr:colOff>190500</xdr:colOff>
      <xdr:row>232</xdr:row>
      <xdr:rowOff>63499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3C51319-D49E-464C-89E5-7C52ABDB33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36463" t="10392" r="24990" b="3795"/>
        <a:stretch/>
      </xdr:blipFill>
      <xdr:spPr>
        <a:xfrm>
          <a:off x="0" y="28625799"/>
          <a:ext cx="7048500" cy="9004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369094</xdr:colOff>
      <xdr:row>1</xdr:row>
      <xdr:rowOff>71437</xdr:rowOff>
    </xdr:from>
    <xdr:to>
      <xdr:col>0</xdr:col>
      <xdr:colOff>1119190</xdr:colOff>
      <xdr:row>5</xdr:row>
      <xdr:rowOff>226217</xdr:rowOff>
    </xdr:to>
    <xdr:sp macro="" textlink="">
      <xdr:nvSpPr>
        <xdr:cNvPr id="2" name="Flecha: a la derech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369094" y="238125"/>
          <a:ext cx="750096" cy="881061"/>
        </a:xfrm>
        <a:prstGeom prst="rightArrow">
          <a:avLst>
            <a:gd name="adj1" fmla="val 50000"/>
            <a:gd name="adj2" fmla="val 50000"/>
          </a:avLst>
        </a:prstGeom>
        <a:solidFill>
          <a:srgbClr val="00B0F0"/>
        </a:solidFill>
        <a:ln>
          <a:headEnd type="none" w="med" len="med"/>
          <a:tailEnd type="none" w="med" len="med"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</a:t>
          </a:r>
        </a:p>
        <a:p>
          <a:pPr algn="ctr"/>
          <a:r>
            <a:rPr lang="es-CL" sz="1200" b="1">
              <a:solidFill>
                <a:srgbClr val="FF0000"/>
              </a:solidFill>
            </a:rPr>
            <a:t>TABLA</a:t>
          </a:r>
          <a:r>
            <a:rPr lang="es-CL" sz="1200" b="1" baseline="0">
              <a:solidFill>
                <a:srgbClr val="FF0000"/>
              </a:solidFill>
            </a:rPr>
            <a:t> 4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</xdr:row>
      <xdr:rowOff>0</xdr:rowOff>
    </xdr:from>
    <xdr:to>
      <xdr:col>1</xdr:col>
      <xdr:colOff>762000</xdr:colOff>
      <xdr:row>4</xdr:row>
      <xdr:rowOff>119062</xdr:rowOff>
    </xdr:to>
    <xdr:sp macro="" textlink="">
      <xdr:nvSpPr>
        <xdr:cNvPr id="2" name="Flecha: hacia abaj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 bwMode="auto">
        <a:xfrm>
          <a:off x="47624" y="166688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7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797719</xdr:colOff>
      <xdr:row>1</xdr:row>
      <xdr:rowOff>23811</xdr:rowOff>
    </xdr:from>
    <xdr:to>
      <xdr:col>2</xdr:col>
      <xdr:colOff>119064</xdr:colOff>
      <xdr:row>4</xdr:row>
      <xdr:rowOff>142873</xdr:rowOff>
    </xdr:to>
    <xdr:sp macro="" textlink="">
      <xdr:nvSpPr>
        <xdr:cNvPr id="3" name="Flecha: hacia abaj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 bwMode="auto">
        <a:xfrm>
          <a:off x="1273969" y="190499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8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154781</xdr:colOff>
      <xdr:row>1</xdr:row>
      <xdr:rowOff>35718</xdr:rowOff>
    </xdr:from>
    <xdr:to>
      <xdr:col>2</xdr:col>
      <xdr:colOff>1345407</xdr:colOff>
      <xdr:row>4</xdr:row>
      <xdr:rowOff>154780</xdr:rowOff>
    </xdr:to>
    <xdr:sp macro="" textlink="">
      <xdr:nvSpPr>
        <xdr:cNvPr id="5" name="Flecha: hacia abajo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 bwMode="auto">
        <a:xfrm>
          <a:off x="2500312" y="202406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9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1404937</xdr:colOff>
      <xdr:row>1</xdr:row>
      <xdr:rowOff>47625</xdr:rowOff>
    </xdr:from>
    <xdr:to>
      <xdr:col>3</xdr:col>
      <xdr:colOff>678656</xdr:colOff>
      <xdr:row>5</xdr:row>
      <xdr:rowOff>83344</xdr:rowOff>
    </xdr:to>
    <xdr:sp macro="" textlink="">
      <xdr:nvSpPr>
        <xdr:cNvPr id="7" name="Flecha: hacia abajo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3750468" y="214313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10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32</xdr:col>
      <xdr:colOff>333375</xdr:colOff>
      <xdr:row>2</xdr:row>
      <xdr:rowOff>47625</xdr:rowOff>
    </xdr:from>
    <xdr:to>
      <xdr:col>32</xdr:col>
      <xdr:colOff>750093</xdr:colOff>
      <xdr:row>3</xdr:row>
      <xdr:rowOff>178593</xdr:rowOff>
    </xdr:to>
    <xdr:sp macro="" textlink="">
      <xdr:nvSpPr>
        <xdr:cNvPr id="8" name="Flecha derecha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 bwMode="auto">
        <a:xfrm rot="10800000">
          <a:off x="37040344" y="381000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24</xdr:col>
      <xdr:colOff>0</xdr:colOff>
      <xdr:row>3</xdr:row>
      <xdr:rowOff>0</xdr:rowOff>
    </xdr:from>
    <xdr:to>
      <xdr:col>24</xdr:col>
      <xdr:colOff>416718</xdr:colOff>
      <xdr:row>4</xdr:row>
      <xdr:rowOff>59531</xdr:rowOff>
    </xdr:to>
    <xdr:sp macro="" textlink="">
      <xdr:nvSpPr>
        <xdr:cNvPr id="9" name="Flecha derecha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 bwMode="auto">
        <a:xfrm rot="10800000">
          <a:off x="29479875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20</xdr:col>
      <xdr:colOff>416718</xdr:colOff>
      <xdr:row>4</xdr:row>
      <xdr:rowOff>59531</xdr:rowOff>
    </xdr:to>
    <xdr:sp macro="" textlink="">
      <xdr:nvSpPr>
        <xdr:cNvPr id="11" name="Flecha derecha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 bwMode="auto">
        <a:xfrm rot="10800000">
          <a:off x="2308621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12</xdr:col>
      <xdr:colOff>369094</xdr:colOff>
      <xdr:row>3</xdr:row>
      <xdr:rowOff>23813</xdr:rowOff>
    </xdr:from>
    <xdr:to>
      <xdr:col>12</xdr:col>
      <xdr:colOff>785812</xdr:colOff>
      <xdr:row>4</xdr:row>
      <xdr:rowOff>83344</xdr:rowOff>
    </xdr:to>
    <xdr:sp macro="" textlink="">
      <xdr:nvSpPr>
        <xdr:cNvPr id="12" name="Flecha derecha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 bwMode="auto">
        <a:xfrm rot="10800000">
          <a:off x="15156657" y="523876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5</xdr:col>
      <xdr:colOff>1321594</xdr:colOff>
      <xdr:row>1</xdr:row>
      <xdr:rowOff>0</xdr:rowOff>
    </xdr:from>
    <xdr:to>
      <xdr:col>7</xdr:col>
      <xdr:colOff>47627</xdr:colOff>
      <xdr:row>5</xdr:row>
      <xdr:rowOff>35719</xdr:rowOff>
    </xdr:to>
    <xdr:sp macro="" textlink="">
      <xdr:nvSpPr>
        <xdr:cNvPr id="13" name="Flecha: hacia abajo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 bwMode="auto">
        <a:xfrm>
          <a:off x="8870157" y="166688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11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39</xdr:col>
      <xdr:colOff>0</xdr:colOff>
      <xdr:row>3</xdr:row>
      <xdr:rowOff>0</xdr:rowOff>
    </xdr:from>
    <xdr:to>
      <xdr:col>39</xdr:col>
      <xdr:colOff>416718</xdr:colOff>
      <xdr:row>4</xdr:row>
      <xdr:rowOff>59531</xdr:rowOff>
    </xdr:to>
    <xdr:sp macro="" textlink="">
      <xdr:nvSpPr>
        <xdr:cNvPr id="14" name="Flecha derech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 bwMode="auto">
        <a:xfrm rot="10800000">
          <a:off x="4318396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03%20PUBLICO\300%20PUBLICO%20ASISTENCIAS\EDUCACIONAL\TARIFAS%202025\Copia%20de%203000%20PROPUESTA%20DIREBIEN%20TARIFA%202025.xlsx" TargetMode="External"/><Relationship Id="rId1" Type="http://schemas.openxmlformats.org/officeDocument/2006/relationships/externalLinkPath" Target="/03%20PUBLICO/300%20PUBLICO%20ASISTENCIAS/EDUCACIONAL/TARIFAS%202025/Copia%20de%203000%20PROPUESTA%20DIREBIEN%20TARIFA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ciones"/>
      <sheetName val="Índice Tablas"/>
      <sheetName val="A) Resumen Ingresos y Egresos"/>
      <sheetName val="B) Reajuste Tarifas y Ocupación"/>
      <sheetName val="C) Costos Directos"/>
      <sheetName val="D) Costos Indirectos"/>
      <sheetName val="E) Resumen Tarifado "/>
      <sheetName val="F) Remuneraciones"/>
      <sheetName val="G) Comparación Mercado"/>
      <sheetName val="H) Detalle Datos"/>
      <sheetName val="I) Proyección Mensual"/>
    </sheetNames>
    <sheetDataSet>
      <sheetData sheetId="0"/>
      <sheetData sheetId="1"/>
      <sheetData sheetId="2">
        <row r="13">
          <cell r="A13" t="str">
            <v>Sala Cuna Caracolito de Mar Diurna</v>
          </cell>
        </row>
        <row r="14">
          <cell r="A14" t="str">
            <v>Sala Cuna Caracolito de Mar Nocturna</v>
          </cell>
        </row>
        <row r="15">
          <cell r="A15" t="str">
            <v>Sala Cuna Mar Azul Diurna</v>
          </cell>
        </row>
        <row r="16">
          <cell r="A16" t="str">
            <v>Sala Cuna Mar Azul Nocturna</v>
          </cell>
        </row>
      </sheetData>
      <sheetData sheetId="3">
        <row r="5">
          <cell r="F5" t="str">
            <v>BIENVALP</v>
          </cell>
        </row>
        <row r="12">
          <cell r="A12" t="str">
            <v>Jardín Infantil Lobito Marino</v>
          </cell>
        </row>
        <row r="14">
          <cell r="A14" t="str">
            <v>Jardín Infantil Los Delfines</v>
          </cell>
        </row>
        <row r="16">
          <cell r="A16" t="str">
            <v>Jardín Infantil Pecesitos de Colores</v>
          </cell>
        </row>
        <row r="17">
          <cell r="A17" t="str">
            <v>Jardín Infantil Caracolito de Mar</v>
          </cell>
        </row>
        <row r="37">
          <cell r="I37">
            <v>120</v>
          </cell>
        </row>
        <row r="39">
          <cell r="I39">
            <v>120</v>
          </cell>
        </row>
        <row r="40">
          <cell r="I40">
            <v>18</v>
          </cell>
        </row>
        <row r="42">
          <cell r="I42">
            <v>34</v>
          </cell>
        </row>
        <row r="48">
          <cell r="I48">
            <v>35</v>
          </cell>
        </row>
        <row r="51">
          <cell r="I51">
            <v>70</v>
          </cell>
        </row>
      </sheetData>
      <sheetData sheetId="4"/>
      <sheetData sheetId="5"/>
      <sheetData sheetId="6"/>
      <sheetData sheetId="7">
        <row r="11">
          <cell r="L11">
            <v>119485814.40000001</v>
          </cell>
        </row>
        <row r="32">
          <cell r="L32">
            <v>128447014.80000001</v>
          </cell>
        </row>
        <row r="51">
          <cell r="L51">
            <v>0</v>
          </cell>
        </row>
        <row r="57">
          <cell r="L57">
            <v>0</v>
          </cell>
        </row>
        <row r="71">
          <cell r="L71">
            <v>113663232.76000002</v>
          </cell>
        </row>
        <row r="86">
          <cell r="L86"/>
        </row>
        <row r="101">
          <cell r="L101">
            <v>243197698.03999993</v>
          </cell>
        </row>
        <row r="129">
          <cell r="L129">
            <v>65350755.120000005</v>
          </cell>
        </row>
      </sheetData>
      <sheetData sheetId="8"/>
      <sheetData sheetId="9">
        <row r="14">
          <cell r="F14">
            <v>70000</v>
          </cell>
        </row>
        <row r="27">
          <cell r="F27">
            <v>350000</v>
          </cell>
        </row>
        <row r="74">
          <cell r="T74">
            <v>6333090</v>
          </cell>
          <cell r="AD74">
            <v>1481890</v>
          </cell>
        </row>
        <row r="76">
          <cell r="AN76">
            <v>4843620</v>
          </cell>
          <cell r="AX76">
            <v>2546880</v>
          </cell>
        </row>
        <row r="82">
          <cell r="J82">
            <v>9111590</v>
          </cell>
        </row>
        <row r="101">
          <cell r="O101">
            <v>1864328</v>
          </cell>
          <cell r="W101">
            <v>718000</v>
          </cell>
        </row>
        <row r="102">
          <cell r="AM102">
            <v>1895256</v>
          </cell>
        </row>
        <row r="103">
          <cell r="G103">
            <v>155770</v>
          </cell>
          <cell r="AE103">
            <v>159000</v>
          </cell>
        </row>
        <row r="121">
          <cell r="O121">
            <v>3017940</v>
          </cell>
          <cell r="W121">
            <v>4052640</v>
          </cell>
        </row>
        <row r="123">
          <cell r="G123">
            <v>0</v>
          </cell>
          <cell r="AE123">
            <v>539000</v>
          </cell>
        </row>
        <row r="128">
          <cell r="AM128">
            <v>813982.48400000005</v>
          </cell>
        </row>
        <row r="187">
          <cell r="O187">
            <v>998290</v>
          </cell>
          <cell r="W187">
            <v>308000</v>
          </cell>
        </row>
        <row r="189">
          <cell r="AE189">
            <v>481080</v>
          </cell>
        </row>
        <row r="192">
          <cell r="G192">
            <v>329200</v>
          </cell>
        </row>
        <row r="200">
          <cell r="AM200">
            <v>732920</v>
          </cell>
        </row>
        <row r="205">
          <cell r="O205">
            <v>189900</v>
          </cell>
          <cell r="W205">
            <v>159990</v>
          </cell>
        </row>
        <row r="207">
          <cell r="AE207">
            <v>416275</v>
          </cell>
        </row>
        <row r="211">
          <cell r="G211">
            <v>159990</v>
          </cell>
        </row>
        <row r="218">
          <cell r="AM218">
            <v>1042530</v>
          </cell>
        </row>
        <row r="232">
          <cell r="O232">
            <v>839370</v>
          </cell>
          <cell r="W232">
            <v>683800</v>
          </cell>
        </row>
        <row r="234">
          <cell r="AE234">
            <v>854600</v>
          </cell>
        </row>
        <row r="239">
          <cell r="G239">
            <v>159980</v>
          </cell>
        </row>
        <row r="248">
          <cell r="AM248">
            <v>944470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C1:J52"/>
  <sheetViews>
    <sheetView showGridLines="0" zoomScale="90" zoomScaleNormal="90" workbookViewId="0">
      <selection activeCell="Y26" sqref="Y26"/>
    </sheetView>
  </sheetViews>
  <sheetFormatPr baseColWidth="10" defaultColWidth="11.42578125" defaultRowHeight="12.75" x14ac:dyDescent="0.2"/>
  <cols>
    <col min="1" max="16384" width="11.42578125" style="654"/>
  </cols>
  <sheetData>
    <row r="1" spans="3:10" x14ac:dyDescent="0.2">
      <c r="J1" s="655"/>
    </row>
    <row r="2" spans="3:10" x14ac:dyDescent="0.2">
      <c r="J2" s="655" t="s">
        <v>272</v>
      </c>
    </row>
    <row r="3" spans="3:10" x14ac:dyDescent="0.2">
      <c r="J3" s="655"/>
    </row>
    <row r="5" spans="3:10" x14ac:dyDescent="0.2">
      <c r="C5" s="656"/>
      <c r="D5" s="656"/>
      <c r="E5" s="656"/>
      <c r="F5" s="656"/>
      <c r="G5" s="656"/>
      <c r="H5" s="656"/>
      <c r="I5" s="656"/>
      <c r="J5" s="656"/>
    </row>
    <row r="6" spans="3:10" x14ac:dyDescent="0.2">
      <c r="C6" s="656"/>
      <c r="D6" s="656"/>
      <c r="E6" s="656"/>
      <c r="F6" s="656"/>
      <c r="G6" s="656"/>
      <c r="H6" s="656"/>
      <c r="I6" s="656"/>
      <c r="J6" s="656"/>
    </row>
    <row r="7" spans="3:10" x14ac:dyDescent="0.2">
      <c r="C7" s="656"/>
      <c r="D7" s="656"/>
      <c r="E7" s="656"/>
      <c r="F7" s="656"/>
      <c r="G7" s="656"/>
      <c r="H7" s="656"/>
      <c r="I7" s="656"/>
      <c r="J7" s="656"/>
    </row>
    <row r="8" spans="3:10" x14ac:dyDescent="0.2">
      <c r="C8" s="656"/>
      <c r="D8" s="656"/>
      <c r="E8" s="656"/>
      <c r="F8" s="656"/>
      <c r="G8" s="656"/>
      <c r="H8" s="656"/>
      <c r="I8" s="656"/>
      <c r="J8" s="656"/>
    </row>
    <row r="9" spans="3:10" x14ac:dyDescent="0.2">
      <c r="C9" s="656"/>
      <c r="D9" s="656"/>
      <c r="E9" s="656"/>
      <c r="F9" s="656"/>
      <c r="G9" s="656"/>
      <c r="H9" s="656"/>
      <c r="I9" s="656"/>
      <c r="J9" s="656"/>
    </row>
    <row r="10" spans="3:10" x14ac:dyDescent="0.2">
      <c r="C10" s="656"/>
      <c r="D10" s="656"/>
      <c r="E10" s="656"/>
      <c r="F10" s="656"/>
      <c r="G10" s="656"/>
      <c r="H10" s="656"/>
      <c r="I10" s="656"/>
      <c r="J10" s="656"/>
    </row>
    <row r="11" spans="3:10" x14ac:dyDescent="0.2">
      <c r="C11" s="656"/>
      <c r="D11" s="656"/>
      <c r="E11" s="656"/>
      <c r="F11" s="656"/>
      <c r="G11" s="656"/>
      <c r="H11" s="656"/>
      <c r="I11" s="656"/>
      <c r="J11" s="656"/>
    </row>
    <row r="12" spans="3:10" x14ac:dyDescent="0.2">
      <c r="C12" s="656"/>
      <c r="D12" s="656"/>
      <c r="E12" s="656"/>
      <c r="F12" s="656"/>
      <c r="G12" s="656"/>
      <c r="H12" s="656"/>
      <c r="I12" s="656"/>
      <c r="J12" s="656"/>
    </row>
    <row r="13" spans="3:10" x14ac:dyDescent="0.2">
      <c r="C13" s="656"/>
      <c r="D13" s="656"/>
      <c r="E13" s="656"/>
      <c r="F13" s="656"/>
      <c r="G13" s="656"/>
      <c r="H13" s="656"/>
      <c r="I13" s="656"/>
      <c r="J13" s="656"/>
    </row>
    <row r="14" spans="3:10" x14ac:dyDescent="0.2">
      <c r="C14" s="656"/>
      <c r="D14" s="656"/>
      <c r="E14" s="656"/>
      <c r="F14" s="656"/>
      <c r="G14" s="656"/>
      <c r="H14" s="656"/>
      <c r="I14" s="656"/>
      <c r="J14" s="656"/>
    </row>
    <row r="15" spans="3:10" x14ac:dyDescent="0.2">
      <c r="C15" s="656"/>
      <c r="D15" s="656"/>
      <c r="E15" s="656"/>
      <c r="F15" s="656"/>
      <c r="G15" s="656"/>
      <c r="H15" s="656"/>
      <c r="I15" s="656"/>
      <c r="J15" s="656"/>
    </row>
    <row r="16" spans="3:10" x14ac:dyDescent="0.2">
      <c r="C16" s="656"/>
      <c r="D16" s="656"/>
      <c r="E16" s="656"/>
      <c r="F16" s="656"/>
      <c r="G16" s="656"/>
      <c r="H16" s="656"/>
      <c r="I16" s="656"/>
      <c r="J16" s="656"/>
    </row>
    <row r="17" spans="3:10" x14ac:dyDescent="0.2">
      <c r="C17" s="656"/>
      <c r="D17" s="656"/>
      <c r="E17" s="656"/>
      <c r="F17" s="656"/>
      <c r="G17" s="656"/>
      <c r="H17" s="656"/>
      <c r="I17" s="656"/>
      <c r="J17" s="656"/>
    </row>
    <row r="18" spans="3:10" x14ac:dyDescent="0.2">
      <c r="C18" s="656"/>
      <c r="D18" s="656"/>
      <c r="E18" s="656"/>
      <c r="F18" s="656"/>
      <c r="G18" s="656"/>
      <c r="H18" s="656"/>
      <c r="I18" s="656"/>
      <c r="J18" s="656"/>
    </row>
    <row r="19" spans="3:10" x14ac:dyDescent="0.2">
      <c r="C19" s="656"/>
      <c r="D19" s="656"/>
      <c r="E19" s="656"/>
      <c r="F19" s="656"/>
      <c r="G19" s="656"/>
      <c r="H19" s="656"/>
      <c r="I19" s="656"/>
      <c r="J19" s="656"/>
    </row>
    <row r="20" spans="3:10" x14ac:dyDescent="0.2">
      <c r="C20" s="656"/>
      <c r="D20" s="656"/>
      <c r="E20" s="656"/>
      <c r="F20" s="656"/>
      <c r="G20" s="656"/>
      <c r="H20" s="656"/>
      <c r="I20" s="656"/>
      <c r="J20" s="656"/>
    </row>
    <row r="21" spans="3:10" x14ac:dyDescent="0.2">
      <c r="C21" s="656"/>
      <c r="D21" s="656"/>
      <c r="E21" s="656"/>
      <c r="F21" s="656"/>
      <c r="G21" s="656"/>
      <c r="H21" s="656"/>
      <c r="I21" s="656"/>
      <c r="J21" s="656"/>
    </row>
    <row r="22" spans="3:10" x14ac:dyDescent="0.2">
      <c r="C22" s="656"/>
      <c r="D22" s="656"/>
      <c r="E22" s="656"/>
      <c r="F22" s="656"/>
      <c r="G22" s="656"/>
      <c r="H22" s="656"/>
      <c r="I22" s="656"/>
      <c r="J22" s="656"/>
    </row>
    <row r="23" spans="3:10" x14ac:dyDescent="0.2">
      <c r="C23" s="656"/>
      <c r="D23" s="656"/>
      <c r="E23" s="656"/>
      <c r="F23" s="656"/>
      <c r="G23" s="656"/>
      <c r="H23" s="656"/>
      <c r="I23" s="656"/>
      <c r="J23" s="656"/>
    </row>
    <row r="24" spans="3:10" x14ac:dyDescent="0.2">
      <c r="C24" s="656"/>
      <c r="D24" s="656"/>
      <c r="E24" s="656"/>
      <c r="F24" s="656"/>
      <c r="G24" s="656"/>
      <c r="H24" s="656"/>
      <c r="I24" s="656"/>
      <c r="J24" s="656"/>
    </row>
    <row r="25" spans="3:10" x14ac:dyDescent="0.2">
      <c r="C25" s="656"/>
      <c r="D25" s="656"/>
      <c r="E25" s="656"/>
      <c r="F25" s="656"/>
      <c r="G25" s="656"/>
      <c r="H25" s="656"/>
      <c r="I25" s="656"/>
      <c r="J25" s="656"/>
    </row>
    <row r="26" spans="3:10" x14ac:dyDescent="0.2">
      <c r="C26" s="656"/>
      <c r="D26" s="656"/>
      <c r="E26" s="656"/>
      <c r="F26" s="656"/>
      <c r="G26" s="656"/>
      <c r="H26" s="656"/>
      <c r="I26" s="656"/>
      <c r="J26" s="656"/>
    </row>
    <row r="27" spans="3:10" x14ac:dyDescent="0.2">
      <c r="C27" s="656"/>
      <c r="D27" s="656"/>
      <c r="E27" s="656"/>
      <c r="F27" s="656"/>
      <c r="G27" s="656"/>
      <c r="H27" s="656"/>
      <c r="I27" s="656"/>
      <c r="J27" s="656"/>
    </row>
    <row r="28" spans="3:10" x14ac:dyDescent="0.2">
      <c r="C28" s="656"/>
      <c r="D28" s="656"/>
      <c r="E28" s="656"/>
      <c r="F28" s="656"/>
      <c r="G28" s="656"/>
      <c r="H28" s="656"/>
      <c r="I28" s="656"/>
      <c r="J28" s="656"/>
    </row>
    <row r="29" spans="3:10" x14ac:dyDescent="0.2">
      <c r="C29" s="656"/>
      <c r="D29" s="656"/>
      <c r="E29" s="656"/>
      <c r="F29" s="656"/>
      <c r="G29" s="656"/>
      <c r="H29" s="656"/>
      <c r="I29" s="656"/>
      <c r="J29" s="656"/>
    </row>
    <row r="30" spans="3:10" x14ac:dyDescent="0.2">
      <c r="C30" s="656"/>
      <c r="D30" s="656"/>
      <c r="E30" s="656"/>
      <c r="F30" s="656"/>
      <c r="G30" s="656"/>
      <c r="H30" s="656"/>
      <c r="I30" s="656"/>
      <c r="J30" s="656"/>
    </row>
    <row r="31" spans="3:10" x14ac:dyDescent="0.2">
      <c r="C31" s="656"/>
      <c r="D31" s="656"/>
      <c r="E31" s="656"/>
      <c r="F31" s="656"/>
      <c r="G31" s="656"/>
      <c r="H31" s="656"/>
      <c r="I31" s="656"/>
      <c r="J31" s="656"/>
    </row>
    <row r="32" spans="3:10" x14ac:dyDescent="0.2">
      <c r="C32" s="656"/>
      <c r="D32" s="656"/>
      <c r="E32" s="656"/>
      <c r="F32" s="656"/>
      <c r="G32" s="656"/>
      <c r="H32" s="656"/>
      <c r="I32" s="656"/>
      <c r="J32" s="656"/>
    </row>
    <row r="33" spans="3:10" x14ac:dyDescent="0.2">
      <c r="C33" s="656"/>
      <c r="D33" s="656"/>
      <c r="E33" s="656"/>
      <c r="F33" s="656"/>
      <c r="G33" s="656"/>
      <c r="H33" s="656"/>
      <c r="I33" s="656"/>
      <c r="J33" s="656"/>
    </row>
    <row r="34" spans="3:10" x14ac:dyDescent="0.2">
      <c r="C34" s="656"/>
      <c r="D34" s="656"/>
      <c r="E34" s="656"/>
      <c r="F34" s="656"/>
      <c r="G34" s="656"/>
      <c r="H34" s="656"/>
      <c r="I34" s="656"/>
      <c r="J34" s="656"/>
    </row>
    <row r="35" spans="3:10" x14ac:dyDescent="0.2">
      <c r="C35" s="656"/>
      <c r="D35" s="656"/>
      <c r="E35" s="656"/>
      <c r="F35" s="656"/>
      <c r="G35" s="656"/>
      <c r="H35" s="656"/>
      <c r="I35" s="656"/>
      <c r="J35" s="656"/>
    </row>
    <row r="36" spans="3:10" x14ac:dyDescent="0.2">
      <c r="C36" s="656"/>
      <c r="D36" s="656"/>
      <c r="E36" s="656"/>
      <c r="F36" s="656"/>
      <c r="G36" s="656"/>
      <c r="H36" s="656"/>
      <c r="I36" s="656"/>
      <c r="J36" s="656"/>
    </row>
    <row r="37" spans="3:10" x14ac:dyDescent="0.2">
      <c r="C37" s="656"/>
      <c r="D37" s="656"/>
      <c r="E37" s="656"/>
      <c r="F37" s="656"/>
      <c r="G37" s="656"/>
      <c r="H37" s="656"/>
      <c r="I37" s="656"/>
      <c r="J37" s="656"/>
    </row>
    <row r="38" spans="3:10" x14ac:dyDescent="0.2">
      <c r="C38" s="656"/>
      <c r="D38" s="656"/>
      <c r="E38" s="656"/>
      <c r="F38" s="656"/>
      <c r="G38" s="656"/>
      <c r="H38" s="656"/>
      <c r="I38" s="656"/>
      <c r="J38" s="656"/>
    </row>
    <row r="39" spans="3:10" x14ac:dyDescent="0.2">
      <c r="C39" s="656"/>
      <c r="D39" s="656"/>
      <c r="E39" s="656"/>
      <c r="F39" s="656"/>
      <c r="G39" s="656"/>
      <c r="H39" s="656"/>
      <c r="I39" s="656"/>
      <c r="J39" s="656"/>
    </row>
    <row r="40" spans="3:10" x14ac:dyDescent="0.2">
      <c r="C40" s="656"/>
      <c r="D40" s="656"/>
      <c r="E40" s="656"/>
      <c r="F40" s="656"/>
      <c r="G40" s="656"/>
      <c r="H40" s="656"/>
      <c r="I40" s="656"/>
      <c r="J40" s="656"/>
    </row>
    <row r="41" spans="3:10" x14ac:dyDescent="0.2">
      <c r="C41" s="656"/>
      <c r="D41" s="656"/>
      <c r="E41" s="656"/>
      <c r="F41" s="656"/>
      <c r="G41" s="656"/>
      <c r="H41" s="656"/>
      <c r="I41" s="656"/>
      <c r="J41" s="656"/>
    </row>
    <row r="42" spans="3:10" x14ac:dyDescent="0.2">
      <c r="C42" s="656"/>
      <c r="D42" s="656"/>
      <c r="E42" s="656"/>
      <c r="F42" s="656"/>
      <c r="G42" s="656"/>
      <c r="H42" s="656"/>
      <c r="I42" s="656"/>
      <c r="J42" s="656"/>
    </row>
    <row r="43" spans="3:10" x14ac:dyDescent="0.2">
      <c r="C43" s="656"/>
      <c r="D43" s="656"/>
      <c r="E43" s="656"/>
      <c r="F43" s="656"/>
      <c r="G43" s="656"/>
      <c r="H43" s="656"/>
      <c r="I43" s="656"/>
      <c r="J43" s="656"/>
    </row>
    <row r="44" spans="3:10" x14ac:dyDescent="0.2">
      <c r="C44" s="656"/>
      <c r="D44" s="656"/>
      <c r="E44" s="656"/>
      <c r="F44" s="656"/>
      <c r="G44" s="656"/>
      <c r="H44" s="656"/>
      <c r="I44" s="656"/>
      <c r="J44" s="656"/>
    </row>
    <row r="45" spans="3:10" x14ac:dyDescent="0.2">
      <c r="C45" s="656"/>
      <c r="D45" s="656"/>
      <c r="E45" s="656"/>
      <c r="F45" s="656"/>
      <c r="G45" s="656"/>
      <c r="H45" s="656"/>
      <c r="I45" s="656"/>
      <c r="J45" s="656"/>
    </row>
    <row r="46" spans="3:10" x14ac:dyDescent="0.2">
      <c r="C46" s="656"/>
      <c r="D46" s="656"/>
      <c r="E46" s="656"/>
      <c r="F46" s="656"/>
      <c r="G46" s="656"/>
      <c r="H46" s="656"/>
      <c r="I46" s="656"/>
      <c r="J46" s="656"/>
    </row>
    <row r="47" spans="3:10" x14ac:dyDescent="0.2">
      <c r="C47" s="656"/>
      <c r="D47" s="656"/>
      <c r="E47" s="656"/>
      <c r="F47" s="656"/>
      <c r="G47" s="656"/>
      <c r="H47" s="656"/>
      <c r="I47" s="656"/>
      <c r="J47" s="656"/>
    </row>
    <row r="48" spans="3:10" x14ac:dyDescent="0.2">
      <c r="C48" s="656"/>
      <c r="D48" s="656"/>
      <c r="E48" s="656"/>
      <c r="F48" s="656"/>
      <c r="G48" s="656"/>
      <c r="H48" s="656"/>
      <c r="I48" s="656"/>
      <c r="J48" s="656"/>
    </row>
    <row r="49" spans="3:10" x14ac:dyDescent="0.2">
      <c r="C49" s="656"/>
      <c r="D49" s="656"/>
      <c r="E49" s="656"/>
      <c r="F49" s="656"/>
      <c r="G49" s="656"/>
      <c r="H49" s="656"/>
      <c r="I49" s="656"/>
      <c r="J49" s="656"/>
    </row>
    <row r="50" spans="3:10" x14ac:dyDescent="0.2">
      <c r="C50" s="656"/>
      <c r="D50" s="656"/>
      <c r="E50" s="656"/>
      <c r="F50" s="656"/>
      <c r="G50" s="656"/>
      <c r="H50" s="656"/>
      <c r="I50" s="656"/>
      <c r="J50" s="656"/>
    </row>
    <row r="51" spans="3:10" x14ac:dyDescent="0.2">
      <c r="C51" s="656"/>
      <c r="D51" s="656"/>
      <c r="E51" s="656"/>
      <c r="F51" s="656"/>
      <c r="G51" s="656"/>
      <c r="H51" s="656"/>
      <c r="I51" s="656"/>
      <c r="J51" s="656"/>
    </row>
    <row r="52" spans="3:10" x14ac:dyDescent="0.2">
      <c r="C52" s="656"/>
      <c r="D52" s="656"/>
      <c r="E52" s="656"/>
      <c r="F52" s="656"/>
      <c r="G52" s="656"/>
      <c r="H52" s="656"/>
      <c r="I52" s="656"/>
      <c r="J52" s="656"/>
    </row>
  </sheetData>
  <sheetProtection algorithmName="SHA-512" hashValue="fJjo0FU+tUzbchYBG1Srv5+W/GzwSecrkssvW5cW77UXyMzvkGU9U4TxtK8sBdTgvLKnfKAPhqXF1m7fLD5c2A==" saltValue="7U0QjAVN+XHEyg3m/iWX+Q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 tint="-0.499984740745262"/>
  </sheetPr>
  <dimension ref="A1:AX262"/>
  <sheetViews>
    <sheetView showGridLines="0" topLeftCell="A35" zoomScaleNormal="100" workbookViewId="0">
      <selection activeCell="F232" sqref="F232"/>
    </sheetView>
  </sheetViews>
  <sheetFormatPr baseColWidth="10" defaultColWidth="11.42578125" defaultRowHeight="12.75" x14ac:dyDescent="0.2"/>
  <cols>
    <col min="1" max="2" width="11.42578125" style="91" customWidth="1"/>
    <col min="3" max="9" width="11.42578125" style="91"/>
    <col min="10" max="11" width="13.140625" style="91" customWidth="1"/>
    <col min="12" max="16384" width="11.42578125" style="91"/>
  </cols>
  <sheetData>
    <row r="1" spans="1:16" x14ac:dyDescent="0.2">
      <c r="J1" s="333"/>
      <c r="K1" s="336"/>
    </row>
    <row r="2" spans="1:16" x14ac:dyDescent="0.2">
      <c r="J2" s="333" t="s">
        <v>220</v>
      </c>
      <c r="K2" s="336"/>
    </row>
    <row r="4" spans="1:16" ht="19.5" customHeight="1" x14ac:dyDescent="0.2">
      <c r="I4" s="334" t="s">
        <v>0</v>
      </c>
      <c r="J4" s="1366" t="str">
        <f>+'B) Reajuste Tarifas y Ocupación'!F5</f>
        <v>BIENVALP</v>
      </c>
      <c r="K4" s="1367"/>
    </row>
    <row r="6" spans="1:16" ht="12.75" customHeight="1" x14ac:dyDescent="0.2">
      <c r="A6" s="335" t="s">
        <v>123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</row>
    <row r="7" spans="1:16" ht="12.75" customHeight="1" thickBot="1" x14ac:dyDescent="0.25">
      <c r="A7" s="697" t="s">
        <v>792</v>
      </c>
      <c r="B7" s="698"/>
      <c r="C7" s="698"/>
      <c r="D7" s="698"/>
      <c r="E7" s="698"/>
      <c r="F7" s="699" t="s">
        <v>793</v>
      </c>
      <c r="G7" s="699"/>
      <c r="H7" s="700"/>
      <c r="I7" s="92"/>
      <c r="J7" s="92"/>
      <c r="K7" s="92"/>
      <c r="L7" s="92"/>
      <c r="M7" s="92"/>
      <c r="N7" s="92"/>
      <c r="O7" s="92"/>
      <c r="P7" s="92"/>
    </row>
    <row r="8" spans="1:16" ht="13.7" customHeight="1" thickBot="1" x14ac:dyDescent="0.25">
      <c r="A8" s="701"/>
      <c r="B8" s="1516" t="s">
        <v>401</v>
      </c>
      <c r="C8" s="1516"/>
      <c r="D8" s="1516"/>
      <c r="E8" s="1516"/>
      <c r="F8" s="1519" t="s">
        <v>402</v>
      </c>
      <c r="G8" s="1520"/>
      <c r="H8" s="1521"/>
    </row>
    <row r="9" spans="1:16" ht="13.5" thickBot="1" x14ac:dyDescent="0.25">
      <c r="A9" s="702"/>
      <c r="B9" s="1516"/>
      <c r="C9" s="1516"/>
      <c r="D9" s="1516"/>
      <c r="E9" s="1516"/>
      <c r="F9" s="1522"/>
      <c r="G9" s="1523"/>
      <c r="H9" s="1524"/>
    </row>
    <row r="10" spans="1:16" ht="24.6" customHeight="1" thickBot="1" x14ac:dyDescent="0.25">
      <c r="A10" s="703" t="s">
        <v>403</v>
      </c>
      <c r="B10" s="1516"/>
      <c r="C10" s="1516"/>
      <c r="D10" s="1516"/>
      <c r="E10" s="1516"/>
      <c r="F10" s="1525"/>
      <c r="G10" s="1526"/>
      <c r="H10" s="1527"/>
    </row>
    <row r="11" spans="1:16" ht="31.35" customHeight="1" thickBot="1" x14ac:dyDescent="0.25">
      <c r="A11" s="704" t="s">
        <v>404</v>
      </c>
      <c r="B11" s="1528" t="s">
        <v>405</v>
      </c>
      <c r="C11" s="705" t="s">
        <v>406</v>
      </c>
      <c r="D11" s="1528" t="s">
        <v>407</v>
      </c>
      <c r="E11" s="1528" t="s">
        <v>408</v>
      </c>
      <c r="F11" s="698"/>
      <c r="G11" s="698"/>
      <c r="H11" s="700"/>
    </row>
    <row r="12" spans="1:16" ht="12.6" customHeight="1" thickBot="1" x14ac:dyDescent="0.25">
      <c r="A12" s="706" t="s">
        <v>409</v>
      </c>
      <c r="B12" s="1528"/>
      <c r="C12" s="707" t="s">
        <v>410</v>
      </c>
      <c r="D12" s="1528"/>
      <c r="E12" s="1528"/>
      <c r="F12" s="698"/>
      <c r="G12" s="698"/>
      <c r="H12" s="700"/>
    </row>
    <row r="13" spans="1:16" ht="13.7" customHeight="1" thickBot="1" x14ac:dyDescent="0.25">
      <c r="A13" s="1518" t="s">
        <v>411</v>
      </c>
      <c r="B13" s="1514" t="s">
        <v>412</v>
      </c>
      <c r="C13" s="1514" t="s">
        <v>428</v>
      </c>
      <c r="D13" s="708" t="s">
        <v>413</v>
      </c>
      <c r="E13" s="1514" t="s">
        <v>414</v>
      </c>
      <c r="F13" s="698"/>
      <c r="G13" s="698"/>
      <c r="H13" s="700"/>
    </row>
    <row r="14" spans="1:16" ht="10.7" customHeight="1" thickBot="1" x14ac:dyDescent="0.25">
      <c r="A14" s="1518"/>
      <c r="B14" s="1514"/>
      <c r="C14" s="1514"/>
      <c r="D14" s="709" t="s">
        <v>415</v>
      </c>
      <c r="E14" s="1514"/>
      <c r="F14" s="710">
        <f>70000</f>
        <v>70000</v>
      </c>
      <c r="G14" s="698"/>
      <c r="H14" s="700"/>
    </row>
    <row r="15" spans="1:16" ht="13.7" customHeight="1" thickBot="1" x14ac:dyDescent="0.25">
      <c r="A15" s="1518" t="s">
        <v>416</v>
      </c>
      <c r="B15" s="1514" t="s">
        <v>412</v>
      </c>
      <c r="C15" s="1514" t="s">
        <v>429</v>
      </c>
      <c r="D15" s="708" t="s">
        <v>417</v>
      </c>
      <c r="E15" s="1514" t="s">
        <v>414</v>
      </c>
      <c r="F15" s="698"/>
      <c r="G15" s="698"/>
      <c r="H15" s="700"/>
    </row>
    <row r="16" spans="1:16" ht="18.600000000000001" customHeight="1" thickBot="1" x14ac:dyDescent="0.25">
      <c r="A16" s="1518"/>
      <c r="B16" s="1514"/>
      <c r="C16" s="1514"/>
      <c r="D16" s="709" t="s">
        <v>418</v>
      </c>
      <c r="E16" s="1514"/>
      <c r="F16" s="711"/>
      <c r="G16" s="698"/>
      <c r="H16" s="700"/>
    </row>
    <row r="17" spans="1:50" x14ac:dyDescent="0.2">
      <c r="A17" s="712"/>
      <c r="B17" s="698"/>
      <c r="C17" s="698"/>
      <c r="D17" s="698"/>
      <c r="E17" s="698"/>
      <c r="F17" s="698"/>
      <c r="G17" s="698"/>
      <c r="H17" s="700"/>
    </row>
    <row r="18" spans="1:50" ht="13.5" thickBot="1" x14ac:dyDescent="0.25">
      <c r="A18" s="712"/>
      <c r="B18" s="698"/>
      <c r="C18" s="698"/>
      <c r="D18" s="698"/>
      <c r="E18" s="698"/>
      <c r="F18" s="698"/>
      <c r="G18" s="698"/>
      <c r="H18" s="700"/>
    </row>
    <row r="19" spans="1:50" ht="13.7" customHeight="1" thickBot="1" x14ac:dyDescent="0.25">
      <c r="A19" s="713"/>
      <c r="B19" s="1516" t="s">
        <v>419</v>
      </c>
      <c r="C19" s="1516"/>
      <c r="D19" s="1516"/>
      <c r="E19" s="1516"/>
      <c r="F19" s="698"/>
      <c r="G19" s="698"/>
      <c r="H19" s="700"/>
    </row>
    <row r="20" spans="1:50" ht="12.6" customHeight="1" thickBot="1" x14ac:dyDescent="0.25">
      <c r="A20" s="714"/>
      <c r="B20" s="1516"/>
      <c r="C20" s="1516"/>
      <c r="D20" s="1516"/>
      <c r="E20" s="1516"/>
      <c r="F20" s="698"/>
      <c r="G20" s="698"/>
      <c r="H20" s="700"/>
    </row>
    <row r="21" spans="1:50" ht="17.25" hidden="1" thickBot="1" x14ac:dyDescent="0.25">
      <c r="A21" s="715" t="s">
        <v>420</v>
      </c>
      <c r="B21" s="1516"/>
      <c r="C21" s="1516"/>
      <c r="D21" s="1516"/>
      <c r="E21" s="1516"/>
      <c r="F21" s="699"/>
      <c r="G21" s="699"/>
      <c r="H21" s="700"/>
    </row>
    <row r="22" spans="1:50" ht="17.25" thickBot="1" x14ac:dyDescent="0.25">
      <c r="A22" s="716" t="s">
        <v>421</v>
      </c>
      <c r="B22" s="1517" t="s">
        <v>405</v>
      </c>
      <c r="C22" s="717" t="s">
        <v>406</v>
      </c>
      <c r="D22" s="1517" t="s">
        <v>407</v>
      </c>
      <c r="E22" s="1517" t="s">
        <v>408</v>
      </c>
      <c r="F22" s="711"/>
      <c r="G22" s="698"/>
      <c r="H22" s="700"/>
    </row>
    <row r="23" spans="1:50" ht="12" customHeight="1" thickBot="1" x14ac:dyDescent="0.25">
      <c r="A23" s="718" t="s">
        <v>433</v>
      </c>
      <c r="B23" s="1517"/>
      <c r="C23" s="719" t="s">
        <v>410</v>
      </c>
      <c r="D23" s="1517"/>
      <c r="E23" s="1517"/>
      <c r="F23" s="698"/>
      <c r="G23" s="698"/>
      <c r="H23" s="700"/>
    </row>
    <row r="24" spans="1:50" ht="13.7" customHeight="1" thickBot="1" x14ac:dyDescent="0.25">
      <c r="A24" s="1514" t="s">
        <v>431</v>
      </c>
      <c r="B24" s="1514" t="s">
        <v>422</v>
      </c>
      <c r="C24" s="1514" t="s">
        <v>430</v>
      </c>
      <c r="D24" s="708" t="s">
        <v>413</v>
      </c>
      <c r="E24" s="1514" t="s">
        <v>423</v>
      </c>
      <c r="F24" s="698"/>
      <c r="G24" s="698"/>
      <c r="H24" s="700"/>
    </row>
    <row r="25" spans="1:50" ht="19.350000000000001" customHeight="1" thickBot="1" x14ac:dyDescent="0.25">
      <c r="A25" s="1514"/>
      <c r="B25" s="1514"/>
      <c r="C25" s="1514"/>
      <c r="D25" s="709" t="s">
        <v>424</v>
      </c>
      <c r="E25" s="1514"/>
      <c r="F25" s="698"/>
      <c r="G25" s="698"/>
      <c r="H25" s="700"/>
    </row>
    <row r="26" spans="1:50" ht="13.7" customHeight="1" thickBot="1" x14ac:dyDescent="0.25">
      <c r="A26" s="1514" t="s">
        <v>432</v>
      </c>
      <c r="B26" s="1514" t="s">
        <v>422</v>
      </c>
      <c r="C26" s="1514" t="s">
        <v>430</v>
      </c>
      <c r="D26" s="708" t="s">
        <v>425</v>
      </c>
      <c r="E26" s="1514" t="s">
        <v>426</v>
      </c>
      <c r="F26" s="698"/>
      <c r="G26" s="698"/>
      <c r="H26" s="700"/>
    </row>
    <row r="27" spans="1:50" ht="9" customHeight="1" thickBot="1" x14ac:dyDescent="0.25">
      <c r="A27" s="1514"/>
      <c r="B27" s="1514"/>
      <c r="C27" s="1514"/>
      <c r="D27" s="709" t="s">
        <v>427</v>
      </c>
      <c r="E27" s="1515"/>
      <c r="F27" s="710">
        <f>350000</f>
        <v>350000</v>
      </c>
      <c r="G27" s="698"/>
      <c r="H27" s="700"/>
    </row>
    <row r="28" spans="1:50" x14ac:dyDescent="0.2">
      <c r="A28" s="698"/>
      <c r="B28" s="698"/>
      <c r="C28" s="698"/>
      <c r="D28" s="698"/>
      <c r="E28" s="698"/>
      <c r="F28" s="698"/>
      <c r="G28" s="698"/>
      <c r="H28" s="698"/>
    </row>
    <row r="30" spans="1:50" x14ac:dyDescent="0.2">
      <c r="A30" s="720" t="s">
        <v>790</v>
      </c>
      <c r="B30" s="721"/>
      <c r="C30" s="721"/>
      <c r="D30" s="721"/>
      <c r="E30" s="721"/>
      <c r="F30" s="721"/>
      <c r="G30" s="721"/>
      <c r="H30" s="721"/>
      <c r="I30" s="721"/>
      <c r="J30" s="721"/>
      <c r="K30" s="721"/>
      <c r="L30" s="721"/>
      <c r="M30" s="721"/>
      <c r="N30" s="721"/>
      <c r="O30" s="721"/>
      <c r="P30" s="721"/>
      <c r="Q30" s="721"/>
      <c r="R30" s="721"/>
      <c r="S30" s="721"/>
      <c r="T30" s="721"/>
      <c r="U30" s="721"/>
      <c r="V30" s="721"/>
      <c r="W30" s="721"/>
      <c r="X30" s="721"/>
      <c r="Y30" s="721"/>
      <c r="Z30" s="721"/>
      <c r="AA30" s="721"/>
      <c r="AB30" s="721"/>
      <c r="AC30" s="721"/>
      <c r="AD30" s="721"/>
      <c r="AE30" s="721"/>
      <c r="AF30" s="721"/>
      <c r="AG30" s="721"/>
      <c r="AH30" s="721"/>
      <c r="AI30" s="721"/>
      <c r="AJ30" s="721"/>
      <c r="AK30" s="721"/>
      <c r="AL30" s="721"/>
      <c r="AM30" s="721"/>
      <c r="AN30" s="721"/>
      <c r="AO30" s="721"/>
      <c r="AP30" s="721"/>
      <c r="AQ30" s="721"/>
      <c r="AR30" s="721"/>
      <c r="AS30" s="721"/>
      <c r="AT30" s="721"/>
      <c r="AU30" s="721"/>
      <c r="AV30" s="721"/>
      <c r="AW30" s="721"/>
      <c r="AX30" s="721"/>
    </row>
    <row r="31" spans="1:50" ht="22.5" x14ac:dyDescent="0.2">
      <c r="A31" s="722" t="s">
        <v>434</v>
      </c>
      <c r="B31" s="723" t="s">
        <v>435</v>
      </c>
      <c r="C31" s="724" t="s">
        <v>436</v>
      </c>
      <c r="D31" s="725" t="s">
        <v>437</v>
      </c>
      <c r="E31" s="726" t="s">
        <v>438</v>
      </c>
      <c r="F31" s="727" t="s">
        <v>439</v>
      </c>
      <c r="G31" s="727" t="s">
        <v>440</v>
      </c>
      <c r="H31" s="728" t="s">
        <v>441</v>
      </c>
      <c r="I31" s="728" t="s">
        <v>442</v>
      </c>
      <c r="J31" s="727" t="s">
        <v>794</v>
      </c>
      <c r="K31" s="722" t="s">
        <v>443</v>
      </c>
      <c r="L31" s="723" t="s">
        <v>435</v>
      </c>
      <c r="M31" s="729" t="s">
        <v>436</v>
      </c>
      <c r="N31" s="723" t="s">
        <v>437</v>
      </c>
      <c r="O31" s="730" t="s">
        <v>438</v>
      </c>
      <c r="P31" s="731" t="s">
        <v>439</v>
      </c>
      <c r="Q31" s="731" t="s">
        <v>440</v>
      </c>
      <c r="R31" s="732" t="s">
        <v>444</v>
      </c>
      <c r="S31" s="732" t="s">
        <v>445</v>
      </c>
      <c r="T31" s="731" t="s">
        <v>794</v>
      </c>
      <c r="U31" s="720" t="s">
        <v>446</v>
      </c>
      <c r="V31" s="723" t="s">
        <v>435</v>
      </c>
      <c r="W31" s="724" t="s">
        <v>436</v>
      </c>
      <c r="X31" s="725" t="s">
        <v>437</v>
      </c>
      <c r="Y31" s="726" t="s">
        <v>438</v>
      </c>
      <c r="Z31" s="727" t="s">
        <v>439</v>
      </c>
      <c r="AA31" s="727" t="s">
        <v>440</v>
      </c>
      <c r="AB31" s="728" t="s">
        <v>441</v>
      </c>
      <c r="AC31" s="728" t="s">
        <v>442</v>
      </c>
      <c r="AD31" s="727" t="s">
        <v>794</v>
      </c>
      <c r="AE31" s="722" t="s">
        <v>447</v>
      </c>
      <c r="AF31" s="723" t="s">
        <v>435</v>
      </c>
      <c r="AG31" s="729" t="s">
        <v>436</v>
      </c>
      <c r="AH31" s="723" t="s">
        <v>437</v>
      </c>
      <c r="AI31" s="730" t="s">
        <v>438</v>
      </c>
      <c r="AJ31" s="731" t="s">
        <v>439</v>
      </c>
      <c r="AK31" s="731" t="s">
        <v>440</v>
      </c>
      <c r="AL31" s="732" t="s">
        <v>444</v>
      </c>
      <c r="AM31" s="732" t="s">
        <v>445</v>
      </c>
      <c r="AN31" s="731" t="s">
        <v>794</v>
      </c>
      <c r="AO31" s="720" t="s">
        <v>448</v>
      </c>
      <c r="AP31" s="723" t="s">
        <v>435</v>
      </c>
      <c r="AQ31" s="729" t="s">
        <v>436</v>
      </c>
      <c r="AR31" s="723" t="s">
        <v>437</v>
      </c>
      <c r="AS31" s="730" t="s">
        <v>438</v>
      </c>
      <c r="AT31" s="731" t="s">
        <v>439</v>
      </c>
      <c r="AU31" s="731" t="s">
        <v>440</v>
      </c>
      <c r="AV31" s="732" t="s">
        <v>444</v>
      </c>
      <c r="AW31" s="732" t="s">
        <v>445</v>
      </c>
      <c r="AX31" s="731" t="s">
        <v>794</v>
      </c>
    </row>
    <row r="32" spans="1:50" ht="45" x14ac:dyDescent="0.2">
      <c r="A32" s="721"/>
      <c r="B32" s="1504" t="s">
        <v>449</v>
      </c>
      <c r="C32" s="733" t="s">
        <v>450</v>
      </c>
      <c r="D32" s="766" t="s">
        <v>451</v>
      </c>
      <c r="E32" s="948" t="s">
        <v>452</v>
      </c>
      <c r="F32" s="948">
        <v>55</v>
      </c>
      <c r="G32" s="949" t="s">
        <v>453</v>
      </c>
      <c r="H32" s="950">
        <v>1400</v>
      </c>
      <c r="I32" s="951">
        <v>36400</v>
      </c>
      <c r="J32" s="772">
        <v>2.7</v>
      </c>
      <c r="K32" s="721"/>
      <c r="L32" s="1511" t="s">
        <v>449</v>
      </c>
      <c r="M32" s="736" t="s">
        <v>450</v>
      </c>
      <c r="N32" s="740" t="s">
        <v>451</v>
      </c>
      <c r="O32" s="741" t="s">
        <v>452</v>
      </c>
      <c r="P32" s="741">
        <v>26</v>
      </c>
      <c r="Q32" s="742" t="s">
        <v>454</v>
      </c>
      <c r="R32" s="743">
        <v>1400</v>
      </c>
      <c r="S32" s="744">
        <f t="shared" ref="S32:S58" si="0">+R32*P32</f>
        <v>36400</v>
      </c>
      <c r="T32" s="745">
        <v>1.3</v>
      </c>
      <c r="U32" s="721"/>
      <c r="V32" s="1504" t="s">
        <v>449</v>
      </c>
      <c r="W32" s="733" t="s">
        <v>450</v>
      </c>
      <c r="X32" s="766" t="s">
        <v>451</v>
      </c>
      <c r="Y32" s="948" t="s">
        <v>452</v>
      </c>
      <c r="Z32" s="948">
        <v>26</v>
      </c>
      <c r="AA32" s="949" t="s">
        <v>453</v>
      </c>
      <c r="AB32" s="950">
        <v>1400</v>
      </c>
      <c r="AC32" s="951">
        <v>36400</v>
      </c>
      <c r="AD32" s="772">
        <v>1.3</v>
      </c>
      <c r="AE32" s="721"/>
      <c r="AF32" s="1513" t="s">
        <v>449</v>
      </c>
      <c r="AG32" s="739" t="s">
        <v>450</v>
      </c>
      <c r="AH32" s="740" t="s">
        <v>451</v>
      </c>
      <c r="AI32" s="741" t="s">
        <v>452</v>
      </c>
      <c r="AJ32" s="741">
        <v>15</v>
      </c>
      <c r="AK32" s="742" t="s">
        <v>454</v>
      </c>
      <c r="AL32" s="743">
        <v>1400</v>
      </c>
      <c r="AM32" s="744">
        <f t="shared" ref="AM32:AM73" si="1">+AL32*AJ32</f>
        <v>21000</v>
      </c>
      <c r="AN32" s="745">
        <v>0.7</v>
      </c>
      <c r="AO32" s="721"/>
      <c r="AP32" s="1511" t="s">
        <v>449</v>
      </c>
      <c r="AQ32" s="736" t="s">
        <v>450</v>
      </c>
      <c r="AR32" s="740" t="s">
        <v>451</v>
      </c>
      <c r="AS32" s="741" t="s">
        <v>452</v>
      </c>
      <c r="AT32" s="741">
        <v>15</v>
      </c>
      <c r="AU32" s="742" t="s">
        <v>454</v>
      </c>
      <c r="AV32" s="743">
        <v>1400</v>
      </c>
      <c r="AW32" s="744">
        <f t="shared" ref="AW32:AW73" si="2">+AV32*AT32</f>
        <v>21000</v>
      </c>
      <c r="AX32" s="745">
        <v>0.7</v>
      </c>
    </row>
    <row r="33" spans="1:50" ht="33.75" x14ac:dyDescent="0.2">
      <c r="A33" s="721"/>
      <c r="B33" s="1505"/>
      <c r="C33" s="1501" t="s">
        <v>455</v>
      </c>
      <c r="D33" s="766" t="s">
        <v>456</v>
      </c>
      <c r="E33" s="768" t="s">
        <v>452</v>
      </c>
      <c r="F33" s="768">
        <v>31</v>
      </c>
      <c r="G33" s="769" t="s">
        <v>457</v>
      </c>
      <c r="H33" s="770">
        <v>3500</v>
      </c>
      <c r="I33" s="771">
        <v>63000</v>
      </c>
      <c r="J33" s="772">
        <v>3.8</v>
      </c>
      <c r="K33" s="721"/>
      <c r="L33" s="1511"/>
      <c r="M33" s="1510" t="s">
        <v>455</v>
      </c>
      <c r="N33" s="740" t="s">
        <v>456</v>
      </c>
      <c r="O33" s="754" t="s">
        <v>452</v>
      </c>
      <c r="P33" s="754">
        <v>18</v>
      </c>
      <c r="Q33" s="755" t="s">
        <v>458</v>
      </c>
      <c r="R33" s="756">
        <v>3500</v>
      </c>
      <c r="S33" s="757">
        <f t="shared" si="0"/>
        <v>63000</v>
      </c>
      <c r="T33" s="745">
        <v>1.3</v>
      </c>
      <c r="U33" s="721"/>
      <c r="V33" s="1505"/>
      <c r="W33" s="1501" t="s">
        <v>455</v>
      </c>
      <c r="X33" s="766" t="s">
        <v>456</v>
      </c>
      <c r="Y33" s="768" t="s">
        <v>452</v>
      </c>
      <c r="Z33" s="768">
        <v>18</v>
      </c>
      <c r="AA33" s="769" t="s">
        <v>457</v>
      </c>
      <c r="AB33" s="770">
        <v>3500</v>
      </c>
      <c r="AC33" s="771">
        <v>63000</v>
      </c>
      <c r="AD33" s="772">
        <v>2.2000000000000002</v>
      </c>
      <c r="AE33" s="721"/>
      <c r="AF33" s="1513"/>
      <c r="AG33" s="1512" t="s">
        <v>455</v>
      </c>
      <c r="AH33" s="740" t="s">
        <v>456</v>
      </c>
      <c r="AI33" s="754" t="s">
        <v>452</v>
      </c>
      <c r="AJ33" s="754">
        <v>4</v>
      </c>
      <c r="AK33" s="755" t="s">
        <v>458</v>
      </c>
      <c r="AL33" s="756">
        <v>5000</v>
      </c>
      <c r="AM33" s="757">
        <f t="shared" si="1"/>
        <v>20000</v>
      </c>
      <c r="AN33" s="745">
        <v>0.7</v>
      </c>
      <c r="AO33" s="721"/>
      <c r="AP33" s="1511"/>
      <c r="AQ33" s="1510" t="s">
        <v>455</v>
      </c>
      <c r="AR33" s="740" t="s">
        <v>456</v>
      </c>
      <c r="AS33" s="754" t="s">
        <v>452</v>
      </c>
      <c r="AT33" s="754">
        <v>4</v>
      </c>
      <c r="AU33" s="755" t="s">
        <v>458</v>
      </c>
      <c r="AV33" s="756">
        <v>5000</v>
      </c>
      <c r="AW33" s="757">
        <f t="shared" si="2"/>
        <v>20000</v>
      </c>
      <c r="AX33" s="745">
        <v>0.7</v>
      </c>
    </row>
    <row r="34" spans="1:50" ht="67.5" x14ac:dyDescent="0.2">
      <c r="A34" s="721"/>
      <c r="B34" s="1505"/>
      <c r="C34" s="1502"/>
      <c r="D34" s="766" t="s">
        <v>459</v>
      </c>
      <c r="E34" s="768" t="s">
        <v>452</v>
      </c>
      <c r="F34" s="768">
        <v>31</v>
      </c>
      <c r="G34" s="769" t="s">
        <v>457</v>
      </c>
      <c r="H34" s="770">
        <v>3500</v>
      </c>
      <c r="I34" s="771">
        <v>49000</v>
      </c>
      <c r="J34" s="772">
        <v>3.8</v>
      </c>
      <c r="K34" s="721"/>
      <c r="L34" s="1511"/>
      <c r="M34" s="1510"/>
      <c r="N34" s="740" t="s">
        <v>459</v>
      </c>
      <c r="O34" s="754" t="s">
        <v>452</v>
      </c>
      <c r="P34" s="754">
        <v>14</v>
      </c>
      <c r="Q34" s="755" t="s">
        <v>458</v>
      </c>
      <c r="R34" s="756">
        <v>3500</v>
      </c>
      <c r="S34" s="757">
        <f t="shared" si="0"/>
        <v>49000</v>
      </c>
      <c r="T34" s="745">
        <v>1.7</v>
      </c>
      <c r="U34" s="721"/>
      <c r="V34" s="1505"/>
      <c r="W34" s="1502"/>
      <c r="X34" s="766" t="s">
        <v>459</v>
      </c>
      <c r="Y34" s="768" t="s">
        <v>452</v>
      </c>
      <c r="Z34" s="768">
        <v>14</v>
      </c>
      <c r="AA34" s="769" t="s">
        <v>457</v>
      </c>
      <c r="AB34" s="770">
        <v>3500</v>
      </c>
      <c r="AC34" s="771">
        <v>49000</v>
      </c>
      <c r="AD34" s="772">
        <v>1.7</v>
      </c>
      <c r="AE34" s="721"/>
      <c r="AF34" s="1513"/>
      <c r="AG34" s="1512"/>
      <c r="AH34" s="740" t="s">
        <v>459</v>
      </c>
      <c r="AI34" s="754" t="s">
        <v>452</v>
      </c>
      <c r="AJ34" s="754">
        <v>10</v>
      </c>
      <c r="AK34" s="755" t="s">
        <v>458</v>
      </c>
      <c r="AL34" s="756">
        <v>5100</v>
      </c>
      <c r="AM34" s="757">
        <f t="shared" si="1"/>
        <v>51000</v>
      </c>
      <c r="AN34" s="745">
        <v>1.8</v>
      </c>
      <c r="AO34" s="721"/>
      <c r="AP34" s="1511"/>
      <c r="AQ34" s="1510"/>
      <c r="AR34" s="740" t="s">
        <v>459</v>
      </c>
      <c r="AS34" s="754" t="s">
        <v>452</v>
      </c>
      <c r="AT34" s="754">
        <v>10</v>
      </c>
      <c r="AU34" s="755" t="s">
        <v>458</v>
      </c>
      <c r="AV34" s="756">
        <v>5100</v>
      </c>
      <c r="AW34" s="757">
        <f t="shared" si="2"/>
        <v>51000</v>
      </c>
      <c r="AX34" s="745">
        <v>1.8</v>
      </c>
    </row>
    <row r="35" spans="1:50" ht="22.5" x14ac:dyDescent="0.2">
      <c r="A35" s="721"/>
      <c r="B35" s="1505"/>
      <c r="C35" s="1503"/>
      <c r="D35" s="766" t="s">
        <v>460</v>
      </c>
      <c r="E35" s="768" t="s">
        <v>452</v>
      </c>
      <c r="F35" s="768">
        <v>1</v>
      </c>
      <c r="G35" s="769" t="s">
        <v>461</v>
      </c>
      <c r="H35" s="770">
        <v>10000</v>
      </c>
      <c r="I35" s="771">
        <v>10000</v>
      </c>
      <c r="J35" s="772">
        <v>0.3</v>
      </c>
      <c r="K35" s="721"/>
      <c r="L35" s="1511"/>
      <c r="M35" s="1510"/>
      <c r="N35" s="740" t="s">
        <v>460</v>
      </c>
      <c r="O35" s="754" t="s">
        <v>452</v>
      </c>
      <c r="P35" s="754">
        <v>1</v>
      </c>
      <c r="Q35" s="755" t="s">
        <v>462</v>
      </c>
      <c r="R35" s="756">
        <v>10000</v>
      </c>
      <c r="S35" s="757">
        <f t="shared" si="0"/>
        <v>10000</v>
      </c>
      <c r="T35" s="745">
        <v>0.3</v>
      </c>
      <c r="U35" s="721"/>
      <c r="V35" s="1505"/>
      <c r="W35" s="1503"/>
      <c r="X35" s="766" t="s">
        <v>460</v>
      </c>
      <c r="Y35" s="768" t="s">
        <v>452</v>
      </c>
      <c r="Z35" s="768">
        <v>1</v>
      </c>
      <c r="AA35" s="769" t="s">
        <v>461</v>
      </c>
      <c r="AB35" s="770">
        <v>10000</v>
      </c>
      <c r="AC35" s="771">
        <v>10000</v>
      </c>
      <c r="AD35" s="772">
        <v>0.3</v>
      </c>
      <c r="AE35" s="721"/>
      <c r="AF35" s="1513"/>
      <c r="AG35" s="1512"/>
      <c r="AH35" s="740" t="s">
        <v>460</v>
      </c>
      <c r="AI35" s="754" t="s">
        <v>452</v>
      </c>
      <c r="AJ35" s="754">
        <v>1</v>
      </c>
      <c r="AK35" s="755" t="s">
        <v>462</v>
      </c>
      <c r="AL35" s="756">
        <v>20000</v>
      </c>
      <c r="AM35" s="757">
        <f t="shared" si="1"/>
        <v>20000</v>
      </c>
      <c r="AN35" s="745">
        <v>0.7</v>
      </c>
      <c r="AO35" s="721"/>
      <c r="AP35" s="1511"/>
      <c r="AQ35" s="1510"/>
      <c r="AR35" s="740" t="s">
        <v>460</v>
      </c>
      <c r="AS35" s="754" t="s">
        <v>452</v>
      </c>
      <c r="AT35" s="754">
        <v>1</v>
      </c>
      <c r="AU35" s="755" t="s">
        <v>462</v>
      </c>
      <c r="AV35" s="756">
        <v>20000</v>
      </c>
      <c r="AW35" s="757">
        <f t="shared" si="2"/>
        <v>20000</v>
      </c>
      <c r="AX35" s="745">
        <v>0.7</v>
      </c>
    </row>
    <row r="36" spans="1:50" x14ac:dyDescent="0.2">
      <c r="A36" s="721"/>
      <c r="B36" s="1505"/>
      <c r="C36" s="1501" t="s">
        <v>463</v>
      </c>
      <c r="D36" s="766" t="s">
        <v>464</v>
      </c>
      <c r="E36" s="768" t="s">
        <v>452</v>
      </c>
      <c r="F36" s="768">
        <v>1</v>
      </c>
      <c r="G36" s="769" t="s">
        <v>461</v>
      </c>
      <c r="H36" s="770">
        <v>25000</v>
      </c>
      <c r="I36" s="771">
        <v>75000</v>
      </c>
      <c r="J36" s="772">
        <v>0.9</v>
      </c>
      <c r="K36" s="721"/>
      <c r="L36" s="1511"/>
      <c r="M36" s="1510" t="s">
        <v>463</v>
      </c>
      <c r="N36" s="740" t="s">
        <v>464</v>
      </c>
      <c r="O36" s="754" t="s">
        <v>452</v>
      </c>
      <c r="P36" s="754">
        <v>3</v>
      </c>
      <c r="Q36" s="755" t="s">
        <v>462</v>
      </c>
      <c r="R36" s="756">
        <v>25000</v>
      </c>
      <c r="S36" s="757">
        <f t="shared" si="0"/>
        <v>75000</v>
      </c>
      <c r="T36" s="745">
        <v>2.6</v>
      </c>
      <c r="U36" s="721"/>
      <c r="V36" s="1505"/>
      <c r="W36" s="1501" t="s">
        <v>463</v>
      </c>
      <c r="X36" s="766" t="s">
        <v>464</v>
      </c>
      <c r="Y36" s="768" t="s">
        <v>452</v>
      </c>
      <c r="Z36" s="768">
        <v>3</v>
      </c>
      <c r="AA36" s="769" t="s">
        <v>461</v>
      </c>
      <c r="AB36" s="770">
        <v>25000</v>
      </c>
      <c r="AC36" s="771">
        <v>75000</v>
      </c>
      <c r="AD36" s="772">
        <v>2.6</v>
      </c>
      <c r="AE36" s="721"/>
      <c r="AF36" s="1513"/>
      <c r="AG36" s="1512" t="s">
        <v>463</v>
      </c>
      <c r="AH36" s="740" t="s">
        <v>464</v>
      </c>
      <c r="AI36" s="754" t="s">
        <v>452</v>
      </c>
      <c r="AJ36" s="754">
        <v>1</v>
      </c>
      <c r="AK36" s="755" t="s">
        <v>462</v>
      </c>
      <c r="AL36" s="756">
        <v>25000</v>
      </c>
      <c r="AM36" s="757">
        <f t="shared" si="1"/>
        <v>25000</v>
      </c>
      <c r="AN36" s="745">
        <v>0.9</v>
      </c>
      <c r="AO36" s="721"/>
      <c r="AP36" s="1511"/>
      <c r="AQ36" s="1510" t="s">
        <v>463</v>
      </c>
      <c r="AR36" s="740" t="s">
        <v>464</v>
      </c>
      <c r="AS36" s="754" t="s">
        <v>452</v>
      </c>
      <c r="AT36" s="754">
        <v>1</v>
      </c>
      <c r="AU36" s="755" t="s">
        <v>462</v>
      </c>
      <c r="AV36" s="756">
        <v>25000</v>
      </c>
      <c r="AW36" s="757">
        <f t="shared" si="2"/>
        <v>25000</v>
      </c>
      <c r="AX36" s="745">
        <v>0.9</v>
      </c>
    </row>
    <row r="37" spans="1:50" ht="33.75" x14ac:dyDescent="0.2">
      <c r="A37" s="721"/>
      <c r="B37" s="1505"/>
      <c r="C37" s="1503"/>
      <c r="D37" s="766" t="s">
        <v>465</v>
      </c>
      <c r="E37" s="768" t="s">
        <v>452</v>
      </c>
      <c r="F37" s="768">
        <v>2</v>
      </c>
      <c r="G37" s="769" t="s">
        <v>466</v>
      </c>
      <c r="H37" s="770">
        <v>45000</v>
      </c>
      <c r="I37" s="771">
        <v>90000</v>
      </c>
      <c r="J37" s="772">
        <v>3.1</v>
      </c>
      <c r="K37" s="721"/>
      <c r="L37" s="1511"/>
      <c r="M37" s="1510"/>
      <c r="N37" s="740" t="s">
        <v>465</v>
      </c>
      <c r="O37" s="754" t="s">
        <v>452</v>
      </c>
      <c r="P37" s="754">
        <v>2</v>
      </c>
      <c r="Q37" s="755" t="s">
        <v>462</v>
      </c>
      <c r="R37" s="756">
        <v>45000</v>
      </c>
      <c r="S37" s="757">
        <f t="shared" si="0"/>
        <v>90000</v>
      </c>
      <c r="T37" s="745">
        <v>3.1</v>
      </c>
      <c r="U37" s="721"/>
      <c r="V37" s="1505"/>
      <c r="W37" s="1503"/>
      <c r="X37" s="766" t="s">
        <v>465</v>
      </c>
      <c r="Y37" s="768" t="s">
        <v>452</v>
      </c>
      <c r="Z37" s="768">
        <v>2</v>
      </c>
      <c r="AA37" s="769" t="s">
        <v>461</v>
      </c>
      <c r="AB37" s="770">
        <v>45000</v>
      </c>
      <c r="AC37" s="771">
        <v>90000</v>
      </c>
      <c r="AD37" s="772">
        <v>3.1</v>
      </c>
      <c r="AE37" s="721"/>
      <c r="AF37" s="1513"/>
      <c r="AG37" s="1512"/>
      <c r="AH37" s="740" t="s">
        <v>465</v>
      </c>
      <c r="AI37" s="754" t="s">
        <v>452</v>
      </c>
      <c r="AJ37" s="754">
        <v>1</v>
      </c>
      <c r="AK37" s="755" t="s">
        <v>462</v>
      </c>
      <c r="AL37" s="756">
        <v>65000</v>
      </c>
      <c r="AM37" s="757">
        <f t="shared" si="1"/>
        <v>65000</v>
      </c>
      <c r="AN37" s="745">
        <v>2.2999999999999998</v>
      </c>
      <c r="AO37" s="721"/>
      <c r="AP37" s="1511"/>
      <c r="AQ37" s="1510"/>
      <c r="AR37" s="737" t="s">
        <v>465</v>
      </c>
      <c r="AS37" s="750" t="s">
        <v>452</v>
      </c>
      <c r="AT37" s="750">
        <v>1</v>
      </c>
      <c r="AU37" s="751" t="s">
        <v>462</v>
      </c>
      <c r="AV37" s="752">
        <v>65000</v>
      </c>
      <c r="AW37" s="753">
        <f t="shared" si="2"/>
        <v>65000</v>
      </c>
      <c r="AX37" s="738"/>
    </row>
    <row r="38" spans="1:50" ht="22.5" x14ac:dyDescent="0.2">
      <c r="A38" s="721"/>
      <c r="B38" s="1506"/>
      <c r="C38" s="733" t="s">
        <v>467</v>
      </c>
      <c r="D38" s="766" t="s">
        <v>468</v>
      </c>
      <c r="E38" s="768" t="s">
        <v>452</v>
      </c>
      <c r="F38" s="768">
        <v>1</v>
      </c>
      <c r="G38" s="769" t="s">
        <v>461</v>
      </c>
      <c r="H38" s="770">
        <v>65000</v>
      </c>
      <c r="I38" s="771">
        <v>55000</v>
      </c>
      <c r="J38" s="772">
        <v>2.2999999999999998</v>
      </c>
      <c r="K38" s="721"/>
      <c r="L38" s="1511"/>
      <c r="M38" s="736" t="s">
        <v>467</v>
      </c>
      <c r="N38" s="740" t="s">
        <v>468</v>
      </c>
      <c r="O38" s="754" t="s">
        <v>452</v>
      </c>
      <c r="P38" s="754">
        <v>1</v>
      </c>
      <c r="Q38" s="755" t="s">
        <v>462</v>
      </c>
      <c r="R38" s="756">
        <v>55000</v>
      </c>
      <c r="S38" s="757">
        <f t="shared" si="0"/>
        <v>55000</v>
      </c>
      <c r="T38" s="745">
        <v>1.9</v>
      </c>
      <c r="U38" s="721"/>
      <c r="V38" s="1506"/>
      <c r="W38" s="733" t="s">
        <v>467</v>
      </c>
      <c r="X38" s="766" t="s">
        <v>468</v>
      </c>
      <c r="Y38" s="768" t="s">
        <v>452</v>
      </c>
      <c r="Z38" s="768">
        <v>1</v>
      </c>
      <c r="AA38" s="769" t="s">
        <v>461</v>
      </c>
      <c r="AB38" s="770">
        <v>55000</v>
      </c>
      <c r="AC38" s="771">
        <v>55000</v>
      </c>
      <c r="AD38" s="772">
        <v>1.9</v>
      </c>
      <c r="AE38" s="721"/>
      <c r="AF38" s="1513"/>
      <c r="AG38" s="739" t="s">
        <v>467</v>
      </c>
      <c r="AH38" s="740" t="s">
        <v>468</v>
      </c>
      <c r="AI38" s="754" t="s">
        <v>452</v>
      </c>
      <c r="AJ38" s="754">
        <v>1</v>
      </c>
      <c r="AK38" s="755" t="s">
        <v>462</v>
      </c>
      <c r="AL38" s="756">
        <v>65000</v>
      </c>
      <c r="AM38" s="757">
        <f t="shared" si="1"/>
        <v>65000</v>
      </c>
      <c r="AN38" s="745">
        <v>2.2999999999999998</v>
      </c>
      <c r="AO38" s="721"/>
      <c r="AP38" s="1511"/>
      <c r="AQ38" s="736" t="s">
        <v>467</v>
      </c>
      <c r="AR38" s="740" t="s">
        <v>468</v>
      </c>
      <c r="AS38" s="754" t="s">
        <v>452</v>
      </c>
      <c r="AT38" s="754">
        <v>1</v>
      </c>
      <c r="AU38" s="755" t="s">
        <v>462</v>
      </c>
      <c r="AV38" s="756">
        <v>65000</v>
      </c>
      <c r="AW38" s="757">
        <f t="shared" si="2"/>
        <v>65000</v>
      </c>
      <c r="AX38" s="745">
        <v>2.2999999999999998</v>
      </c>
    </row>
    <row r="39" spans="1:50" ht="33.75" x14ac:dyDescent="0.2">
      <c r="A39" s="721"/>
      <c r="B39" s="1504" t="s">
        <v>469</v>
      </c>
      <c r="C39" s="1501" t="s">
        <v>470</v>
      </c>
      <c r="D39" s="766" t="s">
        <v>471</v>
      </c>
      <c r="E39" s="767" t="s">
        <v>472</v>
      </c>
      <c r="F39" s="768">
        <v>600</v>
      </c>
      <c r="G39" s="769" t="s">
        <v>473</v>
      </c>
      <c r="H39" s="770">
        <v>10000</v>
      </c>
      <c r="I39" s="771">
        <v>450000</v>
      </c>
      <c r="J39" s="772">
        <v>2.2999999999999998</v>
      </c>
      <c r="K39" s="763"/>
      <c r="L39" s="1506" t="s">
        <v>469</v>
      </c>
      <c r="M39" s="1510"/>
      <c r="N39" s="737" t="s">
        <v>474</v>
      </c>
      <c r="O39" s="764">
        <v>5</v>
      </c>
      <c r="P39" s="750">
        <v>1</v>
      </c>
      <c r="Q39" s="751" t="s">
        <v>462</v>
      </c>
      <c r="R39" s="752">
        <v>450000</v>
      </c>
      <c r="S39" s="753">
        <f t="shared" si="0"/>
        <v>450000</v>
      </c>
      <c r="T39" s="738"/>
      <c r="U39" s="721"/>
      <c r="V39" s="1504" t="s">
        <v>469</v>
      </c>
      <c r="W39" s="1501"/>
      <c r="X39" s="734" t="s">
        <v>474</v>
      </c>
      <c r="Y39" s="765" t="s">
        <v>472</v>
      </c>
      <c r="Z39" s="746">
        <v>1</v>
      </c>
      <c r="AA39" s="747" t="s">
        <v>461</v>
      </c>
      <c r="AB39" s="748">
        <v>450000</v>
      </c>
      <c r="AC39" s="749">
        <v>450000</v>
      </c>
      <c r="AD39" s="735"/>
      <c r="AE39" s="721"/>
      <c r="AF39" s="1506"/>
      <c r="AG39" s="1510"/>
      <c r="AH39" s="737" t="s">
        <v>474</v>
      </c>
      <c r="AI39" s="764">
        <v>5</v>
      </c>
      <c r="AJ39" s="750">
        <v>1</v>
      </c>
      <c r="AK39" s="751" t="s">
        <v>462</v>
      </c>
      <c r="AL39" s="752">
        <v>159000</v>
      </c>
      <c r="AM39" s="753">
        <f t="shared" si="1"/>
        <v>159000</v>
      </c>
      <c r="AN39" s="738"/>
      <c r="AO39" s="721"/>
      <c r="AP39" s="1506"/>
      <c r="AQ39" s="1510"/>
      <c r="AR39" s="737" t="s">
        <v>474</v>
      </c>
      <c r="AS39" s="764">
        <v>5</v>
      </c>
      <c r="AT39" s="750">
        <v>1</v>
      </c>
      <c r="AU39" s="751" t="s">
        <v>462</v>
      </c>
      <c r="AV39" s="752">
        <v>159000</v>
      </c>
      <c r="AW39" s="753">
        <f t="shared" si="2"/>
        <v>159000</v>
      </c>
      <c r="AX39" s="738"/>
    </row>
    <row r="40" spans="1:50" ht="33.75" x14ac:dyDescent="0.2">
      <c r="A40" s="721"/>
      <c r="B40" s="1505"/>
      <c r="C40" s="1502"/>
      <c r="D40" s="734" t="s">
        <v>475</v>
      </c>
      <c r="E40" s="765" t="s">
        <v>472</v>
      </c>
      <c r="F40" s="746">
        <v>90</v>
      </c>
      <c r="G40" s="747" t="s">
        <v>473</v>
      </c>
      <c r="H40" s="748">
        <v>14736</v>
      </c>
      <c r="I40" s="771">
        <v>20120</v>
      </c>
      <c r="J40" s="735"/>
      <c r="K40" s="721"/>
      <c r="L40" s="1506"/>
      <c r="M40" s="1510"/>
      <c r="N40" s="737" t="s">
        <v>476</v>
      </c>
      <c r="O40" s="764">
        <v>5</v>
      </c>
      <c r="P40" s="750">
        <v>1</v>
      </c>
      <c r="Q40" s="751" t="s">
        <v>477</v>
      </c>
      <c r="R40" s="752">
        <v>20120</v>
      </c>
      <c r="S40" s="753">
        <f t="shared" si="0"/>
        <v>20120</v>
      </c>
      <c r="T40" s="738"/>
      <c r="U40" s="721"/>
      <c r="V40" s="1505"/>
      <c r="W40" s="1502"/>
      <c r="X40" s="734" t="s">
        <v>476</v>
      </c>
      <c r="Y40" s="765" t="s">
        <v>472</v>
      </c>
      <c r="Z40" s="746">
        <v>1</v>
      </c>
      <c r="AA40" s="747" t="s">
        <v>473</v>
      </c>
      <c r="AB40" s="748">
        <v>20120</v>
      </c>
      <c r="AC40" s="749">
        <v>20120</v>
      </c>
      <c r="AD40" s="735"/>
      <c r="AE40" s="721"/>
      <c r="AF40" s="1506"/>
      <c r="AG40" s="1510"/>
      <c r="AH40" s="737" t="s">
        <v>476</v>
      </c>
      <c r="AI40" s="764">
        <v>5</v>
      </c>
      <c r="AJ40" s="750">
        <v>15</v>
      </c>
      <c r="AK40" s="751" t="s">
        <v>477</v>
      </c>
      <c r="AL40" s="752">
        <v>20120</v>
      </c>
      <c r="AM40" s="753">
        <f t="shared" si="1"/>
        <v>301800</v>
      </c>
      <c r="AN40" s="738"/>
      <c r="AO40" s="721"/>
      <c r="AP40" s="1506"/>
      <c r="AQ40" s="1510"/>
      <c r="AR40" s="737" t="s">
        <v>476</v>
      </c>
      <c r="AS40" s="764">
        <v>5</v>
      </c>
      <c r="AT40" s="750">
        <v>15</v>
      </c>
      <c r="AU40" s="751" t="s">
        <v>477</v>
      </c>
      <c r="AV40" s="752">
        <v>20120</v>
      </c>
      <c r="AW40" s="753">
        <f t="shared" si="2"/>
        <v>301800</v>
      </c>
      <c r="AX40" s="738"/>
    </row>
    <row r="41" spans="1:50" ht="22.5" x14ac:dyDescent="0.2">
      <c r="A41" s="721"/>
      <c r="B41" s="1505"/>
      <c r="C41" s="1502"/>
      <c r="D41" s="766" t="s">
        <v>476</v>
      </c>
      <c r="E41" s="767" t="s">
        <v>472</v>
      </c>
      <c r="F41" s="768">
        <v>150</v>
      </c>
      <c r="G41" s="769" t="s">
        <v>473</v>
      </c>
      <c r="H41" s="770">
        <v>9820</v>
      </c>
      <c r="I41" s="771">
        <v>455000</v>
      </c>
      <c r="J41" s="772">
        <v>3.8</v>
      </c>
      <c r="K41" s="721"/>
      <c r="L41" s="1506"/>
      <c r="M41" s="1510"/>
      <c r="N41" s="740" t="s">
        <v>478</v>
      </c>
      <c r="O41" s="952">
        <v>5</v>
      </c>
      <c r="P41" s="754">
        <v>13</v>
      </c>
      <c r="Q41" s="755" t="s">
        <v>479</v>
      </c>
      <c r="R41" s="756">
        <v>35000</v>
      </c>
      <c r="S41" s="757">
        <f t="shared" si="0"/>
        <v>455000</v>
      </c>
      <c r="T41" s="745">
        <v>40.5</v>
      </c>
      <c r="U41" s="721"/>
      <c r="V41" s="1505"/>
      <c r="W41" s="1503"/>
      <c r="X41" s="734" t="s">
        <v>478</v>
      </c>
      <c r="Y41" s="765" t="s">
        <v>472</v>
      </c>
      <c r="Z41" s="746">
        <v>13</v>
      </c>
      <c r="AA41" s="747" t="s">
        <v>480</v>
      </c>
      <c r="AB41" s="748">
        <v>35000</v>
      </c>
      <c r="AC41" s="749">
        <v>455000</v>
      </c>
      <c r="AD41" s="735"/>
      <c r="AE41" s="721"/>
      <c r="AF41" s="1506"/>
      <c r="AG41" s="1510"/>
      <c r="AH41" s="737" t="s">
        <v>478</v>
      </c>
      <c r="AI41" s="764">
        <v>5</v>
      </c>
      <c r="AJ41" s="750">
        <v>45</v>
      </c>
      <c r="AK41" s="751" t="s">
        <v>479</v>
      </c>
      <c r="AL41" s="752">
        <v>35000</v>
      </c>
      <c r="AM41" s="753">
        <f t="shared" si="1"/>
        <v>1575000</v>
      </c>
      <c r="AN41" s="738"/>
      <c r="AO41" s="721"/>
      <c r="AP41" s="1506"/>
      <c r="AQ41" s="1510"/>
      <c r="AR41" s="740" t="s">
        <v>478</v>
      </c>
      <c r="AS41" s="952">
        <v>5</v>
      </c>
      <c r="AT41" s="754">
        <v>45</v>
      </c>
      <c r="AU41" s="755" t="s">
        <v>479</v>
      </c>
      <c r="AV41" s="756">
        <v>35000</v>
      </c>
      <c r="AW41" s="757">
        <f t="shared" si="2"/>
        <v>1575000</v>
      </c>
      <c r="AX41" s="745">
        <v>14.5</v>
      </c>
    </row>
    <row r="42" spans="1:50" ht="22.5" x14ac:dyDescent="0.2">
      <c r="A42" s="721"/>
      <c r="B42" s="1505"/>
      <c r="C42" s="1502"/>
      <c r="D42" s="758" t="s">
        <v>481</v>
      </c>
      <c r="E42" s="759" t="s">
        <v>472</v>
      </c>
      <c r="F42" s="760">
        <v>1</v>
      </c>
      <c r="G42" s="761" t="s">
        <v>461</v>
      </c>
      <c r="H42" s="762">
        <v>589490</v>
      </c>
      <c r="I42" s="959">
        <v>135000</v>
      </c>
      <c r="J42" s="786"/>
      <c r="K42" s="721"/>
      <c r="L42" s="1506"/>
      <c r="M42" s="1510" t="s">
        <v>450</v>
      </c>
      <c r="N42" s="773" t="s">
        <v>482</v>
      </c>
      <c r="O42" s="774" t="s">
        <v>452</v>
      </c>
      <c r="P42" s="774">
        <v>5</v>
      </c>
      <c r="Q42" s="775" t="s">
        <v>462</v>
      </c>
      <c r="R42" s="776">
        <v>27000</v>
      </c>
      <c r="S42" s="777">
        <f t="shared" si="0"/>
        <v>135000</v>
      </c>
      <c r="T42" s="778"/>
      <c r="U42" s="721"/>
      <c r="V42" s="1505"/>
      <c r="W42" s="1501" t="s">
        <v>450</v>
      </c>
      <c r="X42" s="779" t="s">
        <v>482</v>
      </c>
      <c r="Y42" s="780" t="s">
        <v>452</v>
      </c>
      <c r="Z42" s="780">
        <v>5</v>
      </c>
      <c r="AA42" s="781" t="s">
        <v>461</v>
      </c>
      <c r="AB42" s="782">
        <v>27000</v>
      </c>
      <c r="AC42" s="783">
        <v>135000</v>
      </c>
      <c r="AD42" s="784"/>
      <c r="AE42" s="721"/>
      <c r="AF42" s="1506"/>
      <c r="AG42" s="1510"/>
      <c r="AH42" s="737" t="s">
        <v>483</v>
      </c>
      <c r="AI42" s="750" t="s">
        <v>452</v>
      </c>
      <c r="AJ42" s="750">
        <v>455</v>
      </c>
      <c r="AK42" s="751" t="s">
        <v>462</v>
      </c>
      <c r="AL42" s="752">
        <v>1020</v>
      </c>
      <c r="AM42" s="753">
        <f t="shared" si="1"/>
        <v>464100</v>
      </c>
      <c r="AN42" s="738"/>
      <c r="AO42" s="721"/>
      <c r="AP42" s="1506"/>
      <c r="AQ42" s="1510"/>
      <c r="AR42" s="740" t="s">
        <v>483</v>
      </c>
      <c r="AS42" s="754" t="s">
        <v>452</v>
      </c>
      <c r="AT42" s="754">
        <v>455</v>
      </c>
      <c r="AU42" s="755" t="s">
        <v>462</v>
      </c>
      <c r="AV42" s="756">
        <v>1020</v>
      </c>
      <c r="AW42" s="757">
        <f t="shared" si="2"/>
        <v>464100</v>
      </c>
      <c r="AX42" s="745">
        <v>16.2</v>
      </c>
    </row>
    <row r="43" spans="1:50" ht="22.5" x14ac:dyDescent="0.2">
      <c r="A43" s="721"/>
      <c r="B43" s="1505"/>
      <c r="C43" s="1503"/>
      <c r="D43" s="766" t="s">
        <v>478</v>
      </c>
      <c r="E43" s="767" t="s">
        <v>472</v>
      </c>
      <c r="F43" s="768">
        <v>45</v>
      </c>
      <c r="G43" s="769" t="s">
        <v>480</v>
      </c>
      <c r="H43" s="770">
        <v>62478</v>
      </c>
      <c r="I43" s="959">
        <v>623220</v>
      </c>
      <c r="J43" s="772">
        <v>5.2</v>
      </c>
      <c r="K43" s="721"/>
      <c r="L43" s="1506"/>
      <c r="M43" s="1510"/>
      <c r="N43" s="773" t="s">
        <v>483</v>
      </c>
      <c r="O43" s="774" t="s">
        <v>452</v>
      </c>
      <c r="P43" s="774">
        <v>611</v>
      </c>
      <c r="Q43" s="775" t="s">
        <v>462</v>
      </c>
      <c r="R43" s="776">
        <v>1020</v>
      </c>
      <c r="S43" s="777">
        <f t="shared" si="0"/>
        <v>623220</v>
      </c>
      <c r="T43" s="778"/>
      <c r="U43" s="721"/>
      <c r="V43" s="1505"/>
      <c r="W43" s="1502"/>
      <c r="X43" s="779" t="s">
        <v>483</v>
      </c>
      <c r="Y43" s="780" t="s">
        <v>452</v>
      </c>
      <c r="Z43" s="780">
        <v>611</v>
      </c>
      <c r="AA43" s="781" t="s">
        <v>461</v>
      </c>
      <c r="AB43" s="782">
        <v>1020</v>
      </c>
      <c r="AC43" s="783">
        <v>623220</v>
      </c>
      <c r="AD43" s="784"/>
      <c r="AE43" s="721"/>
      <c r="AF43" s="1506"/>
      <c r="AG43" s="1510"/>
      <c r="AH43" s="737" t="s">
        <v>484</v>
      </c>
      <c r="AI43" s="750" t="s">
        <v>452</v>
      </c>
      <c r="AJ43" s="750">
        <v>15</v>
      </c>
      <c r="AK43" s="751" t="s">
        <v>479</v>
      </c>
      <c r="AL43" s="752">
        <v>12250</v>
      </c>
      <c r="AM43" s="753">
        <f t="shared" si="1"/>
        <v>183750</v>
      </c>
      <c r="AN43" s="738"/>
      <c r="AO43" s="721"/>
      <c r="AP43" s="1506"/>
      <c r="AQ43" s="1510"/>
      <c r="AR43" s="740" t="s">
        <v>484</v>
      </c>
      <c r="AS43" s="754" t="s">
        <v>452</v>
      </c>
      <c r="AT43" s="754">
        <v>15</v>
      </c>
      <c r="AU43" s="755" t="s">
        <v>479</v>
      </c>
      <c r="AV43" s="756">
        <v>12250</v>
      </c>
      <c r="AW43" s="757">
        <f t="shared" si="2"/>
        <v>183750</v>
      </c>
      <c r="AX43" s="745">
        <v>6.4</v>
      </c>
    </row>
    <row r="44" spans="1:50" ht="22.5" x14ac:dyDescent="0.2">
      <c r="A44" s="721"/>
      <c r="B44" s="1505"/>
      <c r="C44" s="1501" t="s">
        <v>450</v>
      </c>
      <c r="D44" s="758" t="s">
        <v>482</v>
      </c>
      <c r="E44" s="760" t="s">
        <v>452</v>
      </c>
      <c r="F44" s="760">
        <v>125</v>
      </c>
      <c r="G44" s="761" t="s">
        <v>461</v>
      </c>
      <c r="H44" s="762">
        <v>3500</v>
      </c>
      <c r="I44" s="959">
        <v>215800</v>
      </c>
      <c r="J44" s="786"/>
      <c r="K44" s="721"/>
      <c r="L44" s="1506"/>
      <c r="M44" s="1510"/>
      <c r="N44" s="953" t="s">
        <v>484</v>
      </c>
      <c r="O44" s="954" t="s">
        <v>452</v>
      </c>
      <c r="P44" s="954">
        <v>26</v>
      </c>
      <c r="Q44" s="955" t="s">
        <v>479</v>
      </c>
      <c r="R44" s="956">
        <v>8300</v>
      </c>
      <c r="S44" s="957">
        <f t="shared" si="0"/>
        <v>215800</v>
      </c>
      <c r="T44" s="958">
        <v>37.9</v>
      </c>
      <c r="U44" s="721"/>
      <c r="V44" s="1505"/>
      <c r="W44" s="1503"/>
      <c r="X44" s="779" t="s">
        <v>484</v>
      </c>
      <c r="Y44" s="780" t="s">
        <v>452</v>
      </c>
      <c r="Z44" s="780">
        <v>26</v>
      </c>
      <c r="AA44" s="781" t="s">
        <v>480</v>
      </c>
      <c r="AB44" s="782">
        <v>8300</v>
      </c>
      <c r="AC44" s="783">
        <v>215800</v>
      </c>
      <c r="AD44" s="784"/>
      <c r="AE44" s="721"/>
      <c r="AF44" s="1506"/>
      <c r="AG44" s="1510" t="s">
        <v>485</v>
      </c>
      <c r="AH44" s="740" t="s">
        <v>486</v>
      </c>
      <c r="AI44" s="952">
        <v>3</v>
      </c>
      <c r="AJ44" s="754">
        <v>325</v>
      </c>
      <c r="AK44" s="755" t="s">
        <v>477</v>
      </c>
      <c r="AL44" s="756">
        <v>2500</v>
      </c>
      <c r="AM44" s="757">
        <f t="shared" si="1"/>
        <v>812500</v>
      </c>
      <c r="AN44" s="745">
        <v>60.9</v>
      </c>
      <c r="AO44" s="721"/>
      <c r="AP44" s="1506"/>
      <c r="AQ44" s="1510" t="s">
        <v>485</v>
      </c>
      <c r="AR44" s="740" t="s">
        <v>486</v>
      </c>
      <c r="AS44" s="952">
        <v>3</v>
      </c>
      <c r="AT44" s="754">
        <v>325</v>
      </c>
      <c r="AU44" s="755" t="s">
        <v>477</v>
      </c>
      <c r="AV44" s="756">
        <v>2500</v>
      </c>
      <c r="AW44" s="757">
        <f t="shared" si="2"/>
        <v>812500</v>
      </c>
      <c r="AX44" s="745">
        <v>30.6</v>
      </c>
    </row>
    <row r="45" spans="1:50" ht="33.75" x14ac:dyDescent="0.2">
      <c r="A45" s="721"/>
      <c r="B45" s="1505"/>
      <c r="C45" s="1502"/>
      <c r="D45" s="758" t="s">
        <v>483</v>
      </c>
      <c r="E45" s="760" t="s">
        <v>487</v>
      </c>
      <c r="F45" s="760">
        <v>610</v>
      </c>
      <c r="G45" s="761" t="s">
        <v>461</v>
      </c>
      <c r="H45" s="762">
        <v>4864</v>
      </c>
      <c r="I45" s="771">
        <v>3165000</v>
      </c>
      <c r="J45" s="786"/>
      <c r="K45" s="721"/>
      <c r="L45" s="1506"/>
      <c r="M45" s="1510" t="s">
        <v>485</v>
      </c>
      <c r="N45" s="740" t="s">
        <v>486</v>
      </c>
      <c r="O45" s="952">
        <v>3</v>
      </c>
      <c r="P45" s="754">
        <v>1266</v>
      </c>
      <c r="Q45" s="755" t="s">
        <v>477</v>
      </c>
      <c r="R45" s="756">
        <v>2500</v>
      </c>
      <c r="S45" s="757">
        <f t="shared" si="0"/>
        <v>3165000</v>
      </c>
      <c r="T45" s="745">
        <v>45.8</v>
      </c>
      <c r="U45" s="721"/>
      <c r="V45" s="1505"/>
      <c r="W45" s="1501" t="s">
        <v>485</v>
      </c>
      <c r="X45" s="766" t="s">
        <v>486</v>
      </c>
      <c r="Y45" s="767" t="s">
        <v>488</v>
      </c>
      <c r="Z45" s="768">
        <v>1266</v>
      </c>
      <c r="AA45" s="769" t="s">
        <v>473</v>
      </c>
      <c r="AB45" s="770">
        <v>2500</v>
      </c>
      <c r="AC45" s="771">
        <v>3165000</v>
      </c>
      <c r="AD45" s="772">
        <v>60.7</v>
      </c>
      <c r="AE45" s="721"/>
      <c r="AF45" s="1506"/>
      <c r="AG45" s="1510"/>
      <c r="AH45" s="737" t="s">
        <v>489</v>
      </c>
      <c r="AI45" s="764">
        <v>3</v>
      </c>
      <c r="AJ45" s="750">
        <v>150</v>
      </c>
      <c r="AK45" s="751" t="s">
        <v>477</v>
      </c>
      <c r="AL45" s="752">
        <v>2500</v>
      </c>
      <c r="AM45" s="753">
        <f t="shared" si="1"/>
        <v>375000</v>
      </c>
      <c r="AN45" s="738"/>
      <c r="AO45" s="721"/>
      <c r="AP45" s="1506"/>
      <c r="AQ45" s="1510"/>
      <c r="AR45" s="737" t="s">
        <v>489</v>
      </c>
      <c r="AS45" s="764">
        <v>3</v>
      </c>
      <c r="AT45" s="750">
        <v>150</v>
      </c>
      <c r="AU45" s="751" t="s">
        <v>477</v>
      </c>
      <c r="AV45" s="752">
        <v>2500</v>
      </c>
      <c r="AW45" s="753">
        <f t="shared" si="2"/>
        <v>375000</v>
      </c>
      <c r="AX45" s="738"/>
    </row>
    <row r="46" spans="1:50" ht="33.75" x14ac:dyDescent="0.2">
      <c r="A46" s="721"/>
      <c r="B46" s="1505"/>
      <c r="C46" s="1503"/>
      <c r="D46" s="766" t="s">
        <v>484</v>
      </c>
      <c r="E46" s="768" t="s">
        <v>487</v>
      </c>
      <c r="F46" s="768">
        <v>56</v>
      </c>
      <c r="G46" s="769" t="s">
        <v>480</v>
      </c>
      <c r="H46" s="770">
        <v>8500</v>
      </c>
      <c r="I46" s="771">
        <v>525000</v>
      </c>
      <c r="J46" s="772">
        <v>4.5999999999999996</v>
      </c>
      <c r="K46" s="721"/>
      <c r="L46" s="1506"/>
      <c r="M46" s="1510"/>
      <c r="N46" s="737" t="s">
        <v>489</v>
      </c>
      <c r="O46" s="764">
        <v>3</v>
      </c>
      <c r="P46" s="750">
        <v>210</v>
      </c>
      <c r="Q46" s="751" t="s">
        <v>477</v>
      </c>
      <c r="R46" s="752">
        <v>2500</v>
      </c>
      <c r="S46" s="753">
        <f t="shared" si="0"/>
        <v>525000</v>
      </c>
      <c r="T46" s="738"/>
      <c r="U46" s="721"/>
      <c r="V46" s="1505"/>
      <c r="W46" s="1502"/>
      <c r="X46" s="734" t="s">
        <v>489</v>
      </c>
      <c r="Y46" s="765" t="s">
        <v>488</v>
      </c>
      <c r="Z46" s="746">
        <v>210</v>
      </c>
      <c r="AA46" s="747" t="s">
        <v>473</v>
      </c>
      <c r="AB46" s="748">
        <v>2500</v>
      </c>
      <c r="AC46" s="749">
        <v>525000</v>
      </c>
      <c r="AD46" s="735"/>
      <c r="AE46" s="721"/>
      <c r="AF46" s="1506"/>
      <c r="AG46" s="1510"/>
      <c r="AH46" s="740" t="s">
        <v>490</v>
      </c>
      <c r="AI46" s="952">
        <v>3</v>
      </c>
      <c r="AJ46" s="754">
        <v>240</v>
      </c>
      <c r="AK46" s="755" t="s">
        <v>477</v>
      </c>
      <c r="AL46" s="756">
        <v>2500</v>
      </c>
      <c r="AM46" s="757">
        <f t="shared" si="1"/>
        <v>600000</v>
      </c>
      <c r="AN46" s="745">
        <v>30.2</v>
      </c>
      <c r="AO46" s="721"/>
      <c r="AP46" s="1506"/>
      <c r="AQ46" s="1510"/>
      <c r="AR46" s="740" t="s">
        <v>490</v>
      </c>
      <c r="AS46" s="952">
        <v>3</v>
      </c>
      <c r="AT46" s="754">
        <v>240</v>
      </c>
      <c r="AU46" s="755" t="s">
        <v>477</v>
      </c>
      <c r="AV46" s="756">
        <v>2500</v>
      </c>
      <c r="AW46" s="757">
        <f t="shared" si="2"/>
        <v>600000</v>
      </c>
      <c r="AX46" s="745">
        <v>12.8</v>
      </c>
    </row>
    <row r="47" spans="1:50" ht="33.75" x14ac:dyDescent="0.2">
      <c r="A47" s="721"/>
      <c r="B47" s="1505"/>
      <c r="C47" s="1501" t="s">
        <v>485</v>
      </c>
      <c r="D47" s="766" t="s">
        <v>486</v>
      </c>
      <c r="E47" s="767" t="s">
        <v>488</v>
      </c>
      <c r="F47" s="768">
        <v>228</v>
      </c>
      <c r="G47" s="769" t="s">
        <v>473</v>
      </c>
      <c r="H47" s="770">
        <v>3900</v>
      </c>
      <c r="I47" s="771">
        <v>720000</v>
      </c>
      <c r="J47" s="772">
        <v>42.3</v>
      </c>
      <c r="K47" s="721"/>
      <c r="L47" s="1506"/>
      <c r="M47" s="1510"/>
      <c r="N47" s="740" t="s">
        <v>490</v>
      </c>
      <c r="O47" s="952">
        <v>3</v>
      </c>
      <c r="P47" s="754">
        <v>288</v>
      </c>
      <c r="Q47" s="755" t="s">
        <v>477</v>
      </c>
      <c r="R47" s="756">
        <v>2500</v>
      </c>
      <c r="S47" s="757">
        <f t="shared" si="0"/>
        <v>720000</v>
      </c>
      <c r="T47" s="745">
        <v>20.399999999999999</v>
      </c>
      <c r="U47" s="721"/>
      <c r="V47" s="1505"/>
      <c r="W47" s="1502"/>
      <c r="X47" s="766" t="s">
        <v>490</v>
      </c>
      <c r="Y47" s="767" t="s">
        <v>488</v>
      </c>
      <c r="Z47" s="768">
        <v>288</v>
      </c>
      <c r="AA47" s="769" t="s">
        <v>473</v>
      </c>
      <c r="AB47" s="770">
        <v>2500</v>
      </c>
      <c r="AC47" s="771">
        <v>720000</v>
      </c>
      <c r="AD47" s="772">
        <v>30.9</v>
      </c>
      <c r="AE47" s="721"/>
      <c r="AF47" s="1506"/>
      <c r="AG47" s="1510"/>
      <c r="AH47" s="737" t="s">
        <v>491</v>
      </c>
      <c r="AI47" s="764">
        <v>3</v>
      </c>
      <c r="AJ47" s="750">
        <v>55</v>
      </c>
      <c r="AK47" s="751" t="s">
        <v>477</v>
      </c>
      <c r="AL47" s="752">
        <v>2500</v>
      </c>
      <c r="AM47" s="753">
        <f t="shared" si="1"/>
        <v>137500</v>
      </c>
      <c r="AN47" s="738"/>
      <c r="AO47" s="721"/>
      <c r="AP47" s="1506"/>
      <c r="AQ47" s="1510"/>
      <c r="AR47" s="737" t="s">
        <v>491</v>
      </c>
      <c r="AS47" s="764">
        <v>3</v>
      </c>
      <c r="AT47" s="750">
        <v>55</v>
      </c>
      <c r="AU47" s="751" t="s">
        <v>477</v>
      </c>
      <c r="AV47" s="752">
        <v>2500</v>
      </c>
      <c r="AW47" s="753">
        <f t="shared" si="2"/>
        <v>137500</v>
      </c>
      <c r="AX47" s="738"/>
    </row>
    <row r="48" spans="1:50" ht="33.75" x14ac:dyDescent="0.2">
      <c r="A48" s="721"/>
      <c r="B48" s="1505"/>
      <c r="C48" s="1502"/>
      <c r="D48" s="758" t="s">
        <v>489</v>
      </c>
      <c r="E48" s="759" t="s">
        <v>488</v>
      </c>
      <c r="F48" s="760">
        <v>228</v>
      </c>
      <c r="G48" s="761" t="s">
        <v>473</v>
      </c>
      <c r="H48" s="762">
        <v>3900</v>
      </c>
      <c r="I48" s="771">
        <v>200000</v>
      </c>
      <c r="J48" s="786"/>
      <c r="K48" s="721"/>
      <c r="L48" s="1506"/>
      <c r="M48" s="1510"/>
      <c r="N48" s="737" t="s">
        <v>491</v>
      </c>
      <c r="O48" s="764">
        <v>3</v>
      </c>
      <c r="P48" s="750">
        <v>80</v>
      </c>
      <c r="Q48" s="751" t="s">
        <v>477</v>
      </c>
      <c r="R48" s="752">
        <v>2500</v>
      </c>
      <c r="S48" s="753">
        <f t="shared" si="0"/>
        <v>200000</v>
      </c>
      <c r="T48" s="738"/>
      <c r="U48" s="721"/>
      <c r="V48" s="1505"/>
      <c r="W48" s="1503"/>
      <c r="X48" s="734" t="s">
        <v>491</v>
      </c>
      <c r="Y48" s="765" t="s">
        <v>488</v>
      </c>
      <c r="Z48" s="746">
        <v>80</v>
      </c>
      <c r="AA48" s="747" t="s">
        <v>473</v>
      </c>
      <c r="AB48" s="748">
        <v>2500</v>
      </c>
      <c r="AC48" s="749">
        <v>200000</v>
      </c>
      <c r="AD48" s="735"/>
      <c r="AE48" s="721"/>
      <c r="AF48" s="1506"/>
      <c r="AG48" s="1510" t="s">
        <v>492</v>
      </c>
      <c r="AH48" s="737" t="s">
        <v>493</v>
      </c>
      <c r="AI48" s="764">
        <v>5</v>
      </c>
      <c r="AJ48" s="750">
        <v>516</v>
      </c>
      <c r="AK48" s="751" t="s">
        <v>477</v>
      </c>
      <c r="AL48" s="752">
        <v>2500</v>
      </c>
      <c r="AM48" s="753">
        <f t="shared" si="1"/>
        <v>1290000</v>
      </c>
      <c r="AN48" s="738"/>
      <c r="AO48" s="721"/>
      <c r="AP48" s="1506"/>
      <c r="AQ48" s="1510" t="s">
        <v>492</v>
      </c>
      <c r="AR48" s="740" t="s">
        <v>493</v>
      </c>
      <c r="AS48" s="952">
        <v>5</v>
      </c>
      <c r="AT48" s="754">
        <v>516</v>
      </c>
      <c r="AU48" s="755" t="s">
        <v>477</v>
      </c>
      <c r="AV48" s="756">
        <v>2500</v>
      </c>
      <c r="AW48" s="757">
        <f t="shared" si="2"/>
        <v>1290000</v>
      </c>
      <c r="AX48" s="745">
        <v>120.2</v>
      </c>
    </row>
    <row r="49" spans="1:50" ht="33.75" x14ac:dyDescent="0.2">
      <c r="A49" s="721"/>
      <c r="B49" s="1505"/>
      <c r="C49" s="1502"/>
      <c r="D49" s="734" t="s">
        <v>490</v>
      </c>
      <c r="E49" s="765" t="s">
        <v>488</v>
      </c>
      <c r="F49" s="746">
        <v>228</v>
      </c>
      <c r="G49" s="747" t="s">
        <v>473</v>
      </c>
      <c r="H49" s="748">
        <v>3900</v>
      </c>
      <c r="I49" s="771">
        <v>758290</v>
      </c>
      <c r="J49" s="735"/>
      <c r="K49" s="721"/>
      <c r="L49" s="1506"/>
      <c r="M49" s="1510" t="s">
        <v>492</v>
      </c>
      <c r="N49" s="737" t="s">
        <v>493</v>
      </c>
      <c r="O49" s="764">
        <v>5</v>
      </c>
      <c r="P49" s="750">
        <v>190</v>
      </c>
      <c r="Q49" s="751" t="s">
        <v>477</v>
      </c>
      <c r="R49" s="752">
        <v>3991</v>
      </c>
      <c r="S49" s="753">
        <f t="shared" si="0"/>
        <v>758290</v>
      </c>
      <c r="T49" s="738"/>
      <c r="U49" s="721"/>
      <c r="V49" s="1505"/>
      <c r="W49" s="1501" t="s">
        <v>492</v>
      </c>
      <c r="X49" s="734" t="s">
        <v>493</v>
      </c>
      <c r="Y49" s="765" t="s">
        <v>472</v>
      </c>
      <c r="Z49" s="746">
        <v>190</v>
      </c>
      <c r="AA49" s="747" t="s">
        <v>473</v>
      </c>
      <c r="AB49" s="748">
        <v>3991</v>
      </c>
      <c r="AC49" s="749">
        <v>758290</v>
      </c>
      <c r="AD49" s="735"/>
      <c r="AE49" s="721"/>
      <c r="AF49" s="1506"/>
      <c r="AG49" s="1510"/>
      <c r="AH49" s="737" t="s">
        <v>494</v>
      </c>
      <c r="AI49" s="764">
        <v>2</v>
      </c>
      <c r="AJ49" s="750">
        <v>45</v>
      </c>
      <c r="AK49" s="751" t="s">
        <v>479</v>
      </c>
      <c r="AL49" s="752">
        <v>8990</v>
      </c>
      <c r="AM49" s="753">
        <f t="shared" si="1"/>
        <v>404550</v>
      </c>
      <c r="AN49" s="738"/>
      <c r="AO49" s="721"/>
      <c r="AP49" s="1506"/>
      <c r="AQ49" s="1510"/>
      <c r="AR49" s="737" t="s">
        <v>494</v>
      </c>
      <c r="AS49" s="764">
        <v>2</v>
      </c>
      <c r="AT49" s="750">
        <v>45</v>
      </c>
      <c r="AU49" s="751" t="s">
        <v>479</v>
      </c>
      <c r="AV49" s="752">
        <v>8990</v>
      </c>
      <c r="AW49" s="753">
        <f t="shared" si="2"/>
        <v>404550</v>
      </c>
      <c r="AX49" s="738"/>
    </row>
    <row r="50" spans="1:50" ht="33.75" x14ac:dyDescent="0.2">
      <c r="A50" s="721"/>
      <c r="B50" s="1505"/>
      <c r="C50" s="1503"/>
      <c r="D50" s="734" t="s">
        <v>491</v>
      </c>
      <c r="E50" s="765" t="s">
        <v>488</v>
      </c>
      <c r="F50" s="746">
        <v>228</v>
      </c>
      <c r="G50" s="747" t="s">
        <v>473</v>
      </c>
      <c r="H50" s="748">
        <v>3900</v>
      </c>
      <c r="I50" s="771">
        <v>116870</v>
      </c>
      <c r="J50" s="735"/>
      <c r="K50" s="721"/>
      <c r="L50" s="1506"/>
      <c r="M50" s="1510"/>
      <c r="N50" s="737" t="s">
        <v>494</v>
      </c>
      <c r="O50" s="764">
        <v>2</v>
      </c>
      <c r="P50" s="750">
        <v>13</v>
      </c>
      <c r="Q50" s="751" t="s">
        <v>479</v>
      </c>
      <c r="R50" s="752">
        <v>8990</v>
      </c>
      <c r="S50" s="753">
        <f t="shared" si="0"/>
        <v>116870</v>
      </c>
      <c r="T50" s="738"/>
      <c r="U50" s="721"/>
      <c r="V50" s="1505"/>
      <c r="W50" s="1503"/>
      <c r="X50" s="734" t="s">
        <v>494</v>
      </c>
      <c r="Y50" s="765" t="s">
        <v>487</v>
      </c>
      <c r="Z50" s="746">
        <v>13</v>
      </c>
      <c r="AA50" s="747" t="s">
        <v>480</v>
      </c>
      <c r="AB50" s="748">
        <v>8990</v>
      </c>
      <c r="AC50" s="749">
        <v>116870</v>
      </c>
      <c r="AD50" s="735"/>
      <c r="AE50" s="721"/>
      <c r="AF50" s="1506"/>
      <c r="AG50" s="1510" t="s">
        <v>455</v>
      </c>
      <c r="AH50" s="737" t="s">
        <v>495</v>
      </c>
      <c r="AI50" s="764" t="s">
        <v>488</v>
      </c>
      <c r="AJ50" s="750">
        <v>14</v>
      </c>
      <c r="AK50" s="751" t="s">
        <v>462</v>
      </c>
      <c r="AL50" s="752">
        <v>5000</v>
      </c>
      <c r="AM50" s="753">
        <f t="shared" si="1"/>
        <v>70000</v>
      </c>
      <c r="AN50" s="738"/>
      <c r="AO50" s="721"/>
      <c r="AP50" s="1506"/>
      <c r="AQ50" s="1510" t="s">
        <v>455</v>
      </c>
      <c r="AR50" s="737" t="s">
        <v>495</v>
      </c>
      <c r="AS50" s="764" t="s">
        <v>488</v>
      </c>
      <c r="AT50" s="750">
        <v>14</v>
      </c>
      <c r="AU50" s="751" t="s">
        <v>462</v>
      </c>
      <c r="AV50" s="752">
        <v>5000</v>
      </c>
      <c r="AW50" s="753">
        <f t="shared" si="2"/>
        <v>70000</v>
      </c>
      <c r="AX50" s="738"/>
    </row>
    <row r="51" spans="1:50" ht="56.25" x14ac:dyDescent="0.2">
      <c r="A51" s="721"/>
      <c r="B51" s="1505"/>
      <c r="C51" s="1501" t="s">
        <v>492</v>
      </c>
      <c r="D51" s="758" t="s">
        <v>493</v>
      </c>
      <c r="E51" s="759" t="s">
        <v>472</v>
      </c>
      <c r="F51" s="760">
        <v>362</v>
      </c>
      <c r="G51" s="761" t="s">
        <v>473</v>
      </c>
      <c r="H51" s="762">
        <v>3900</v>
      </c>
      <c r="I51" s="771">
        <v>160000</v>
      </c>
      <c r="J51" s="786"/>
      <c r="K51" s="721"/>
      <c r="L51" s="1506"/>
      <c r="M51" s="1510" t="s">
        <v>455</v>
      </c>
      <c r="N51" s="737" t="s">
        <v>495</v>
      </c>
      <c r="O51" s="764" t="s">
        <v>488</v>
      </c>
      <c r="P51" s="750">
        <v>32</v>
      </c>
      <c r="Q51" s="751" t="s">
        <v>462</v>
      </c>
      <c r="R51" s="752">
        <v>5000</v>
      </c>
      <c r="S51" s="753">
        <f t="shared" si="0"/>
        <v>160000</v>
      </c>
      <c r="T51" s="738"/>
      <c r="U51" s="721"/>
      <c r="V51" s="1505"/>
      <c r="W51" s="1501" t="s">
        <v>455</v>
      </c>
      <c r="X51" s="734" t="s">
        <v>495</v>
      </c>
      <c r="Y51" s="765" t="s">
        <v>488</v>
      </c>
      <c r="Z51" s="746">
        <v>32</v>
      </c>
      <c r="AA51" s="747" t="s">
        <v>461</v>
      </c>
      <c r="AB51" s="748">
        <v>5000</v>
      </c>
      <c r="AC51" s="749">
        <v>160000</v>
      </c>
      <c r="AD51" s="735"/>
      <c r="AE51" s="721"/>
      <c r="AF51" s="1506"/>
      <c r="AG51" s="1510"/>
      <c r="AH51" s="737" t="s">
        <v>496</v>
      </c>
      <c r="AI51" s="764">
        <v>5</v>
      </c>
      <c r="AJ51" s="750">
        <v>10</v>
      </c>
      <c r="AK51" s="751" t="s">
        <v>462</v>
      </c>
      <c r="AL51" s="752">
        <v>26000</v>
      </c>
      <c r="AM51" s="753">
        <f t="shared" si="1"/>
        <v>260000</v>
      </c>
      <c r="AN51" s="738"/>
      <c r="AO51" s="721"/>
      <c r="AP51" s="1506"/>
      <c r="AQ51" s="1510"/>
      <c r="AR51" s="737" t="s">
        <v>496</v>
      </c>
      <c r="AS51" s="764">
        <v>5</v>
      </c>
      <c r="AT51" s="750">
        <v>10</v>
      </c>
      <c r="AU51" s="751" t="s">
        <v>462</v>
      </c>
      <c r="AV51" s="752">
        <v>26000</v>
      </c>
      <c r="AW51" s="753">
        <f t="shared" si="2"/>
        <v>260000</v>
      </c>
      <c r="AX51" s="738"/>
    </row>
    <row r="52" spans="1:50" ht="56.25" x14ac:dyDescent="0.2">
      <c r="A52" s="721"/>
      <c r="B52" s="1505"/>
      <c r="C52" s="1502"/>
      <c r="D52" s="734" t="s">
        <v>497</v>
      </c>
      <c r="E52" s="765" t="s">
        <v>472</v>
      </c>
      <c r="F52" s="746">
        <v>10</v>
      </c>
      <c r="G52" s="747" t="s">
        <v>498</v>
      </c>
      <c r="H52" s="748">
        <v>3900</v>
      </c>
      <c r="I52" s="771">
        <v>364000</v>
      </c>
      <c r="J52" s="735"/>
      <c r="K52" s="721"/>
      <c r="L52" s="1506"/>
      <c r="M52" s="1510"/>
      <c r="N52" s="737" t="s">
        <v>496</v>
      </c>
      <c r="O52" s="764">
        <v>5</v>
      </c>
      <c r="P52" s="750">
        <v>14</v>
      </c>
      <c r="Q52" s="751" t="s">
        <v>462</v>
      </c>
      <c r="R52" s="752">
        <v>26000</v>
      </c>
      <c r="S52" s="753">
        <f t="shared" si="0"/>
        <v>364000</v>
      </c>
      <c r="T52" s="738"/>
      <c r="U52" s="721"/>
      <c r="V52" s="1505"/>
      <c r="W52" s="1503"/>
      <c r="X52" s="734" t="s">
        <v>496</v>
      </c>
      <c r="Y52" s="765" t="s">
        <v>472</v>
      </c>
      <c r="Z52" s="746">
        <v>14</v>
      </c>
      <c r="AA52" s="747" t="s">
        <v>461</v>
      </c>
      <c r="AB52" s="748">
        <v>26000</v>
      </c>
      <c r="AC52" s="749">
        <v>364000</v>
      </c>
      <c r="AD52" s="735"/>
      <c r="AE52" s="721"/>
      <c r="AF52" s="1506"/>
      <c r="AG52" s="1510" t="s">
        <v>499</v>
      </c>
      <c r="AH52" s="737" t="s">
        <v>500</v>
      </c>
      <c r="AI52" s="764">
        <v>3</v>
      </c>
      <c r="AJ52" s="750">
        <v>1</v>
      </c>
      <c r="AK52" s="751" t="s">
        <v>462</v>
      </c>
      <c r="AL52" s="752">
        <v>180000</v>
      </c>
      <c r="AM52" s="753">
        <f t="shared" si="1"/>
        <v>180000</v>
      </c>
      <c r="AN52" s="738"/>
      <c r="AO52" s="721"/>
      <c r="AP52" s="1506"/>
      <c r="AQ52" s="1510" t="s">
        <v>499</v>
      </c>
      <c r="AR52" s="737" t="s">
        <v>500</v>
      </c>
      <c r="AS52" s="764">
        <v>3</v>
      </c>
      <c r="AT52" s="750">
        <v>1</v>
      </c>
      <c r="AU52" s="751" t="s">
        <v>462</v>
      </c>
      <c r="AV52" s="752">
        <v>180000</v>
      </c>
      <c r="AW52" s="753">
        <f t="shared" si="2"/>
        <v>180000</v>
      </c>
      <c r="AX52" s="738"/>
    </row>
    <row r="53" spans="1:50" ht="22.5" x14ac:dyDescent="0.2">
      <c r="A53" s="721"/>
      <c r="B53" s="1505"/>
      <c r="C53" s="1503"/>
      <c r="D53" s="758" t="s">
        <v>494</v>
      </c>
      <c r="E53" s="759" t="s">
        <v>487</v>
      </c>
      <c r="F53" s="760">
        <v>45</v>
      </c>
      <c r="G53" s="761" t="s">
        <v>480</v>
      </c>
      <c r="H53" s="762">
        <v>8900</v>
      </c>
      <c r="I53" s="959">
        <v>45000</v>
      </c>
      <c r="J53" s="786"/>
      <c r="K53" s="721"/>
      <c r="L53" s="1506"/>
      <c r="M53" s="1510" t="s">
        <v>499</v>
      </c>
      <c r="N53" s="773" t="s">
        <v>500</v>
      </c>
      <c r="O53" s="787">
        <v>3</v>
      </c>
      <c r="P53" s="774">
        <v>1</v>
      </c>
      <c r="Q53" s="775" t="s">
        <v>462</v>
      </c>
      <c r="R53" s="776">
        <v>45000</v>
      </c>
      <c r="S53" s="777">
        <f t="shared" si="0"/>
        <v>45000</v>
      </c>
      <c r="T53" s="778"/>
      <c r="U53" s="721"/>
      <c r="V53" s="1505"/>
      <c r="W53" s="1501" t="s">
        <v>499</v>
      </c>
      <c r="X53" s="779" t="s">
        <v>500</v>
      </c>
      <c r="Y53" s="788" t="s">
        <v>488</v>
      </c>
      <c r="Z53" s="780">
        <v>1</v>
      </c>
      <c r="AA53" s="781" t="s">
        <v>461</v>
      </c>
      <c r="AB53" s="782">
        <v>45000</v>
      </c>
      <c r="AC53" s="783">
        <v>45000</v>
      </c>
      <c r="AD53" s="784"/>
      <c r="AE53" s="721"/>
      <c r="AF53" s="1506"/>
      <c r="AG53" s="1510"/>
      <c r="AH53" s="737" t="s">
        <v>460</v>
      </c>
      <c r="AI53" s="764" t="s">
        <v>487</v>
      </c>
      <c r="AJ53" s="750">
        <v>1</v>
      </c>
      <c r="AK53" s="751" t="s">
        <v>462</v>
      </c>
      <c r="AL53" s="752">
        <v>35000</v>
      </c>
      <c r="AM53" s="753">
        <f t="shared" si="1"/>
        <v>35000</v>
      </c>
      <c r="AN53" s="738"/>
      <c r="AO53" s="721"/>
      <c r="AP53" s="1506"/>
      <c r="AQ53" s="1510"/>
      <c r="AR53" s="737" t="s">
        <v>460</v>
      </c>
      <c r="AS53" s="764" t="s">
        <v>487</v>
      </c>
      <c r="AT53" s="750">
        <v>1</v>
      </c>
      <c r="AU53" s="751" t="s">
        <v>462</v>
      </c>
      <c r="AV53" s="752">
        <v>35000</v>
      </c>
      <c r="AW53" s="753">
        <f t="shared" si="2"/>
        <v>35000</v>
      </c>
      <c r="AX53" s="738"/>
    </row>
    <row r="54" spans="1:50" ht="33.75" x14ac:dyDescent="0.2">
      <c r="A54" s="721"/>
      <c r="B54" s="1505"/>
      <c r="C54" s="1501" t="s">
        <v>455</v>
      </c>
      <c r="D54" s="734" t="s">
        <v>495</v>
      </c>
      <c r="E54" s="765" t="s">
        <v>488</v>
      </c>
      <c r="F54" s="746">
        <v>31</v>
      </c>
      <c r="G54" s="747" t="s">
        <v>461</v>
      </c>
      <c r="H54" s="748">
        <v>4500</v>
      </c>
      <c r="I54" s="771">
        <v>35000</v>
      </c>
      <c r="J54" s="735"/>
      <c r="K54" s="721"/>
      <c r="L54" s="1506"/>
      <c r="M54" s="1510"/>
      <c r="N54" s="789" t="s">
        <v>460</v>
      </c>
      <c r="O54" s="790" t="s">
        <v>487</v>
      </c>
      <c r="P54" s="791">
        <v>1</v>
      </c>
      <c r="Q54" s="792" t="s">
        <v>462</v>
      </c>
      <c r="R54" s="793">
        <v>35000</v>
      </c>
      <c r="S54" s="794">
        <f t="shared" si="0"/>
        <v>35000</v>
      </c>
      <c r="T54" s="795"/>
      <c r="U54" s="721"/>
      <c r="V54" s="1505"/>
      <c r="W54" s="1503"/>
      <c r="X54" s="758" t="s">
        <v>460</v>
      </c>
      <c r="Y54" s="759" t="s">
        <v>487</v>
      </c>
      <c r="Z54" s="760">
        <v>1</v>
      </c>
      <c r="AA54" s="761" t="s">
        <v>461</v>
      </c>
      <c r="AB54" s="762">
        <v>35000</v>
      </c>
      <c r="AC54" s="785">
        <v>35000</v>
      </c>
      <c r="AD54" s="786"/>
      <c r="AE54" s="721"/>
      <c r="AF54" s="1506"/>
      <c r="AG54" s="736" t="s">
        <v>501</v>
      </c>
      <c r="AH54" s="737" t="s">
        <v>502</v>
      </c>
      <c r="AI54" s="764">
        <v>10</v>
      </c>
      <c r="AJ54" s="750">
        <v>385</v>
      </c>
      <c r="AK54" s="751" t="s">
        <v>462</v>
      </c>
      <c r="AL54" s="752">
        <v>9500</v>
      </c>
      <c r="AM54" s="753">
        <f t="shared" si="1"/>
        <v>3657500</v>
      </c>
      <c r="AN54" s="738"/>
      <c r="AO54" s="721"/>
      <c r="AP54" s="1506"/>
      <c r="AQ54" s="736" t="s">
        <v>501</v>
      </c>
      <c r="AR54" s="737" t="s">
        <v>502</v>
      </c>
      <c r="AS54" s="764">
        <v>10</v>
      </c>
      <c r="AT54" s="750">
        <v>385</v>
      </c>
      <c r="AU54" s="751" t="s">
        <v>462</v>
      </c>
      <c r="AV54" s="752">
        <v>9500</v>
      </c>
      <c r="AW54" s="753">
        <f t="shared" si="2"/>
        <v>3657500</v>
      </c>
      <c r="AX54" s="738"/>
    </row>
    <row r="55" spans="1:50" ht="56.25" x14ac:dyDescent="0.2">
      <c r="A55" s="721"/>
      <c r="B55" s="1505"/>
      <c r="C55" s="1503"/>
      <c r="D55" s="734" t="s">
        <v>496</v>
      </c>
      <c r="E55" s="765" t="s">
        <v>472</v>
      </c>
      <c r="F55" s="746">
        <v>31</v>
      </c>
      <c r="G55" s="747" t="s">
        <v>461</v>
      </c>
      <c r="H55" s="748">
        <v>26000</v>
      </c>
      <c r="I55" s="959">
        <v>4275000</v>
      </c>
      <c r="J55" s="735"/>
      <c r="K55" s="721"/>
      <c r="L55" s="1506"/>
      <c r="M55" s="736" t="s">
        <v>501</v>
      </c>
      <c r="N55" s="773" t="s">
        <v>502</v>
      </c>
      <c r="O55" s="787">
        <v>10</v>
      </c>
      <c r="P55" s="774">
        <v>450</v>
      </c>
      <c r="Q55" s="775" t="s">
        <v>462</v>
      </c>
      <c r="R55" s="776">
        <v>9500</v>
      </c>
      <c r="S55" s="777">
        <f t="shared" si="0"/>
        <v>4275000</v>
      </c>
      <c r="T55" s="778"/>
      <c r="U55" s="721"/>
      <c r="V55" s="1505"/>
      <c r="W55" s="733" t="s">
        <v>501</v>
      </c>
      <c r="X55" s="779" t="s">
        <v>502</v>
      </c>
      <c r="Y55" s="788" t="s">
        <v>503</v>
      </c>
      <c r="Z55" s="780">
        <v>450</v>
      </c>
      <c r="AA55" s="781" t="s">
        <v>461</v>
      </c>
      <c r="AB55" s="782">
        <v>9500</v>
      </c>
      <c r="AC55" s="783">
        <v>4275000</v>
      </c>
      <c r="AD55" s="784"/>
      <c r="AE55" s="721"/>
      <c r="AF55" s="1506"/>
      <c r="AG55" s="1510" t="s">
        <v>504</v>
      </c>
      <c r="AH55" s="737" t="s">
        <v>505</v>
      </c>
      <c r="AI55" s="764">
        <v>5</v>
      </c>
      <c r="AJ55" s="750">
        <v>1</v>
      </c>
      <c r="AK55" s="751" t="s">
        <v>462</v>
      </c>
      <c r="AL55" s="752">
        <v>150000</v>
      </c>
      <c r="AM55" s="753">
        <f t="shared" si="1"/>
        <v>150000</v>
      </c>
      <c r="AN55" s="738"/>
      <c r="AO55" s="721"/>
      <c r="AP55" s="1506"/>
      <c r="AQ55" s="1510" t="s">
        <v>504</v>
      </c>
      <c r="AR55" s="737" t="s">
        <v>505</v>
      </c>
      <c r="AS55" s="764">
        <v>5</v>
      </c>
      <c r="AT55" s="750">
        <v>1</v>
      </c>
      <c r="AU55" s="751" t="s">
        <v>462</v>
      </c>
      <c r="AV55" s="752">
        <v>150000</v>
      </c>
      <c r="AW55" s="753">
        <f t="shared" si="2"/>
        <v>150000</v>
      </c>
      <c r="AX55" s="738"/>
    </row>
    <row r="56" spans="1:50" ht="33.75" x14ac:dyDescent="0.2">
      <c r="A56" s="721"/>
      <c r="B56" s="1505"/>
      <c r="C56" s="1501" t="s">
        <v>499</v>
      </c>
      <c r="D56" s="734" t="s">
        <v>500</v>
      </c>
      <c r="E56" s="765" t="s">
        <v>488</v>
      </c>
      <c r="F56" s="746">
        <v>1</v>
      </c>
      <c r="G56" s="747" t="s">
        <v>461</v>
      </c>
      <c r="H56" s="748">
        <v>180000</v>
      </c>
      <c r="I56" s="959">
        <v>150000</v>
      </c>
      <c r="J56" s="735"/>
      <c r="K56" s="721"/>
      <c r="L56" s="1506"/>
      <c r="M56" s="1510" t="s">
        <v>504</v>
      </c>
      <c r="N56" s="773" t="s">
        <v>505</v>
      </c>
      <c r="O56" s="787">
        <v>5</v>
      </c>
      <c r="P56" s="774">
        <v>1</v>
      </c>
      <c r="Q56" s="775" t="s">
        <v>462</v>
      </c>
      <c r="R56" s="776">
        <v>150000</v>
      </c>
      <c r="S56" s="777">
        <f t="shared" si="0"/>
        <v>150000</v>
      </c>
      <c r="T56" s="778"/>
      <c r="U56" s="721"/>
      <c r="V56" s="1505"/>
      <c r="W56" s="1501" t="s">
        <v>504</v>
      </c>
      <c r="X56" s="960" t="s">
        <v>505</v>
      </c>
      <c r="Y56" s="961" t="s">
        <v>472</v>
      </c>
      <c r="Z56" s="962">
        <v>1</v>
      </c>
      <c r="AA56" s="963" t="s">
        <v>461</v>
      </c>
      <c r="AB56" s="964">
        <v>150000</v>
      </c>
      <c r="AC56" s="959">
        <v>150000</v>
      </c>
      <c r="AD56" s="965">
        <v>3.1</v>
      </c>
      <c r="AE56" s="721"/>
      <c r="AF56" s="1506"/>
      <c r="AG56" s="1510"/>
      <c r="AH56" s="737" t="s">
        <v>506</v>
      </c>
      <c r="AI56" s="764">
        <v>5</v>
      </c>
      <c r="AJ56" s="750">
        <v>1</v>
      </c>
      <c r="AK56" s="751" t="s">
        <v>462</v>
      </c>
      <c r="AL56" s="752">
        <v>150000</v>
      </c>
      <c r="AM56" s="753">
        <f t="shared" si="1"/>
        <v>150000</v>
      </c>
      <c r="AN56" s="738"/>
      <c r="AO56" s="721"/>
      <c r="AP56" s="1506"/>
      <c r="AQ56" s="1510"/>
      <c r="AR56" s="737" t="s">
        <v>506</v>
      </c>
      <c r="AS56" s="764">
        <v>5</v>
      </c>
      <c r="AT56" s="750">
        <v>1</v>
      </c>
      <c r="AU56" s="751" t="s">
        <v>462</v>
      </c>
      <c r="AV56" s="752">
        <v>150000</v>
      </c>
      <c r="AW56" s="753">
        <f t="shared" si="2"/>
        <v>150000</v>
      </c>
      <c r="AX56" s="738"/>
    </row>
    <row r="57" spans="1:50" ht="33.75" x14ac:dyDescent="0.2">
      <c r="A57" s="721"/>
      <c r="B57" s="1505"/>
      <c r="C57" s="1503"/>
      <c r="D57" s="734" t="s">
        <v>460</v>
      </c>
      <c r="E57" s="765" t="s">
        <v>487</v>
      </c>
      <c r="F57" s="746">
        <v>1</v>
      </c>
      <c r="G57" s="747" t="s">
        <v>461</v>
      </c>
      <c r="H57" s="748">
        <v>15000</v>
      </c>
      <c r="I57" s="771">
        <v>150000</v>
      </c>
      <c r="J57" s="735"/>
      <c r="K57" s="721"/>
      <c r="L57" s="1506"/>
      <c r="M57" s="1510"/>
      <c r="N57" s="737" t="s">
        <v>506</v>
      </c>
      <c r="O57" s="764">
        <v>5</v>
      </c>
      <c r="P57" s="750">
        <v>1</v>
      </c>
      <c r="Q57" s="751" t="s">
        <v>462</v>
      </c>
      <c r="R57" s="752">
        <v>150000</v>
      </c>
      <c r="S57" s="753">
        <f t="shared" si="0"/>
        <v>150000</v>
      </c>
      <c r="T57" s="738"/>
      <c r="U57" s="721"/>
      <c r="V57" s="1505"/>
      <c r="W57" s="1503"/>
      <c r="X57" s="734" t="s">
        <v>506</v>
      </c>
      <c r="Y57" s="765" t="s">
        <v>472</v>
      </c>
      <c r="Z57" s="746">
        <v>1</v>
      </c>
      <c r="AA57" s="747" t="s">
        <v>461</v>
      </c>
      <c r="AB57" s="748">
        <v>150000</v>
      </c>
      <c r="AC57" s="749">
        <v>150000</v>
      </c>
      <c r="AD57" s="735"/>
      <c r="AE57" s="721"/>
      <c r="AF57" s="1506"/>
      <c r="AG57" s="736" t="s">
        <v>467</v>
      </c>
      <c r="AH57" s="737" t="s">
        <v>507</v>
      </c>
      <c r="AI57" s="764">
        <v>3</v>
      </c>
      <c r="AJ57" s="750">
        <v>1</v>
      </c>
      <c r="AK57" s="751" t="s">
        <v>462</v>
      </c>
      <c r="AL57" s="752">
        <v>180000</v>
      </c>
      <c r="AM57" s="753">
        <f t="shared" si="1"/>
        <v>180000</v>
      </c>
      <c r="AN57" s="738"/>
      <c r="AO57" s="721"/>
      <c r="AP57" s="1506"/>
      <c r="AQ57" s="736" t="s">
        <v>467</v>
      </c>
      <c r="AR57" s="737" t="s">
        <v>507</v>
      </c>
      <c r="AS57" s="764">
        <v>3</v>
      </c>
      <c r="AT57" s="750">
        <v>1</v>
      </c>
      <c r="AU57" s="751" t="s">
        <v>462</v>
      </c>
      <c r="AV57" s="752">
        <v>180000</v>
      </c>
      <c r="AW57" s="753">
        <f t="shared" si="2"/>
        <v>180000</v>
      </c>
      <c r="AX57" s="738"/>
    </row>
    <row r="58" spans="1:50" ht="33.75" x14ac:dyDescent="0.2">
      <c r="A58" s="721"/>
      <c r="B58" s="1505"/>
      <c r="C58" s="1501" t="s">
        <v>501</v>
      </c>
      <c r="D58" s="734" t="s">
        <v>502</v>
      </c>
      <c r="E58" s="765" t="s">
        <v>503</v>
      </c>
      <c r="F58" s="746">
        <v>458</v>
      </c>
      <c r="G58" s="747" t="s">
        <v>461</v>
      </c>
      <c r="H58" s="748">
        <v>16620</v>
      </c>
      <c r="I58" s="771">
        <v>180000</v>
      </c>
      <c r="J58" s="735"/>
      <c r="K58" s="721"/>
      <c r="L58" s="1506"/>
      <c r="M58" s="736" t="s">
        <v>467</v>
      </c>
      <c r="N58" s="737" t="s">
        <v>507</v>
      </c>
      <c r="O58" s="764">
        <v>3</v>
      </c>
      <c r="P58" s="750">
        <v>1</v>
      </c>
      <c r="Q58" s="751" t="s">
        <v>462</v>
      </c>
      <c r="R58" s="752">
        <v>180000</v>
      </c>
      <c r="S58" s="753">
        <f t="shared" si="0"/>
        <v>180000</v>
      </c>
      <c r="T58" s="738"/>
      <c r="U58" s="721"/>
      <c r="V58" s="1505"/>
      <c r="W58" s="733" t="s">
        <v>467</v>
      </c>
      <c r="X58" s="734" t="s">
        <v>507</v>
      </c>
      <c r="Y58" s="765" t="s">
        <v>488</v>
      </c>
      <c r="Z58" s="746">
        <v>1</v>
      </c>
      <c r="AA58" s="747" t="s">
        <v>461</v>
      </c>
      <c r="AB58" s="748">
        <v>180000</v>
      </c>
      <c r="AC58" s="749">
        <v>180000</v>
      </c>
      <c r="AD58" s="735"/>
      <c r="AE58" s="721"/>
      <c r="AF58" s="1506"/>
      <c r="AG58" s="1510" t="s">
        <v>508</v>
      </c>
      <c r="AH58" s="737" t="s">
        <v>509</v>
      </c>
      <c r="AI58" s="764">
        <v>2</v>
      </c>
      <c r="AJ58" s="750">
        <v>1</v>
      </c>
      <c r="AK58" s="751" t="s">
        <v>462</v>
      </c>
      <c r="AL58" s="752">
        <v>225000</v>
      </c>
      <c r="AM58" s="753">
        <f t="shared" si="1"/>
        <v>225000</v>
      </c>
      <c r="AN58" s="738"/>
      <c r="AO58" s="721"/>
      <c r="AP58" s="1506"/>
      <c r="AQ58" s="1510" t="s">
        <v>508</v>
      </c>
      <c r="AR58" s="737" t="s">
        <v>509</v>
      </c>
      <c r="AS58" s="764">
        <v>2</v>
      </c>
      <c r="AT58" s="750">
        <v>1</v>
      </c>
      <c r="AU58" s="751" t="s">
        <v>462</v>
      </c>
      <c r="AV58" s="752">
        <v>225000</v>
      </c>
      <c r="AW58" s="753">
        <f t="shared" si="2"/>
        <v>225000</v>
      </c>
      <c r="AX58" s="738"/>
    </row>
    <row r="59" spans="1:50" ht="33.75" x14ac:dyDescent="0.2">
      <c r="A59" s="721"/>
      <c r="B59" s="1505"/>
      <c r="C59" s="1503"/>
      <c r="D59" s="734" t="s">
        <v>510</v>
      </c>
      <c r="E59" s="765" t="s">
        <v>472</v>
      </c>
      <c r="F59" s="746">
        <v>15</v>
      </c>
      <c r="G59" s="747" t="s">
        <v>461</v>
      </c>
      <c r="H59" s="748">
        <v>13090</v>
      </c>
      <c r="I59" s="771">
        <v>150000</v>
      </c>
      <c r="J59" s="735"/>
      <c r="K59" s="721"/>
      <c r="L59" s="1506"/>
      <c r="M59" s="1510" t="s">
        <v>508</v>
      </c>
      <c r="N59" s="737" t="s">
        <v>509</v>
      </c>
      <c r="O59" s="764">
        <v>2</v>
      </c>
      <c r="P59" s="750">
        <v>1</v>
      </c>
      <c r="Q59" s="751" t="s">
        <v>462</v>
      </c>
      <c r="R59" s="752">
        <v>225000</v>
      </c>
      <c r="S59" s="753">
        <v>150000</v>
      </c>
      <c r="T59" s="738"/>
      <c r="U59" s="721"/>
      <c r="V59" s="1505"/>
      <c r="W59" s="1501" t="s">
        <v>508</v>
      </c>
      <c r="X59" s="734" t="s">
        <v>509</v>
      </c>
      <c r="Y59" s="765" t="s">
        <v>487</v>
      </c>
      <c r="Z59" s="746">
        <v>1</v>
      </c>
      <c r="AA59" s="747" t="s">
        <v>461</v>
      </c>
      <c r="AB59" s="748">
        <v>225000</v>
      </c>
      <c r="AC59" s="749">
        <v>150000</v>
      </c>
      <c r="AD59" s="735"/>
      <c r="AE59" s="721"/>
      <c r="AF59" s="1506"/>
      <c r="AG59" s="1510"/>
      <c r="AH59" s="740" t="s">
        <v>511</v>
      </c>
      <c r="AI59" s="952">
        <v>5</v>
      </c>
      <c r="AJ59" s="754">
        <v>1</v>
      </c>
      <c r="AK59" s="755" t="s">
        <v>462</v>
      </c>
      <c r="AL59" s="756">
        <v>225000</v>
      </c>
      <c r="AM59" s="757">
        <f t="shared" si="1"/>
        <v>225000</v>
      </c>
      <c r="AN59" s="745">
        <v>1.6</v>
      </c>
      <c r="AO59" s="721"/>
      <c r="AP59" s="1506"/>
      <c r="AQ59" s="1510"/>
      <c r="AR59" s="737" t="s">
        <v>511</v>
      </c>
      <c r="AS59" s="764">
        <v>5</v>
      </c>
      <c r="AT59" s="750">
        <v>1</v>
      </c>
      <c r="AU59" s="751" t="s">
        <v>462</v>
      </c>
      <c r="AV59" s="752">
        <v>225000</v>
      </c>
      <c r="AW59" s="753">
        <f t="shared" si="2"/>
        <v>225000</v>
      </c>
      <c r="AX59" s="738"/>
    </row>
    <row r="60" spans="1:50" ht="33.75" x14ac:dyDescent="0.2">
      <c r="A60" s="721"/>
      <c r="B60" s="1505"/>
      <c r="C60" s="1501" t="s">
        <v>504</v>
      </c>
      <c r="D60" s="734" t="s">
        <v>505</v>
      </c>
      <c r="E60" s="765" t="s">
        <v>472</v>
      </c>
      <c r="F60" s="746">
        <v>1</v>
      </c>
      <c r="G60" s="747" t="s">
        <v>461</v>
      </c>
      <c r="H60" s="748">
        <v>150000</v>
      </c>
      <c r="I60" s="771">
        <v>150000</v>
      </c>
      <c r="J60" s="735"/>
      <c r="K60" s="721"/>
      <c r="L60" s="1506"/>
      <c r="M60" s="1510"/>
      <c r="N60" s="740" t="s">
        <v>511</v>
      </c>
      <c r="O60" s="952">
        <v>5</v>
      </c>
      <c r="P60" s="754">
        <v>1</v>
      </c>
      <c r="Q60" s="755" t="s">
        <v>462</v>
      </c>
      <c r="R60" s="756">
        <v>225000</v>
      </c>
      <c r="S60" s="757">
        <v>150000</v>
      </c>
      <c r="T60" s="745">
        <v>37</v>
      </c>
      <c r="U60" s="721"/>
      <c r="V60" s="1505"/>
      <c r="W60" s="1503"/>
      <c r="X60" s="766" t="s">
        <v>511</v>
      </c>
      <c r="Y60" s="767" t="s">
        <v>472</v>
      </c>
      <c r="Z60" s="768">
        <v>1</v>
      </c>
      <c r="AA60" s="769" t="s">
        <v>461</v>
      </c>
      <c r="AB60" s="770">
        <v>225000</v>
      </c>
      <c r="AC60" s="771">
        <v>150000</v>
      </c>
      <c r="AD60" s="772">
        <v>3</v>
      </c>
      <c r="AE60" s="721"/>
      <c r="AF60" s="1506"/>
      <c r="AG60" s="1510" t="s">
        <v>512</v>
      </c>
      <c r="AH60" s="740" t="s">
        <v>513</v>
      </c>
      <c r="AI60" s="952" t="s">
        <v>452</v>
      </c>
      <c r="AJ60" s="754">
        <v>1</v>
      </c>
      <c r="AK60" s="755" t="s">
        <v>462</v>
      </c>
      <c r="AL60" s="756">
        <v>120000</v>
      </c>
      <c r="AM60" s="757">
        <f t="shared" si="1"/>
        <v>120000</v>
      </c>
      <c r="AN60" s="745">
        <v>4.2</v>
      </c>
      <c r="AO60" s="721"/>
      <c r="AP60" s="1506"/>
      <c r="AQ60" s="1510" t="s">
        <v>512</v>
      </c>
      <c r="AR60" s="737" t="s">
        <v>513</v>
      </c>
      <c r="AS60" s="764" t="s">
        <v>452</v>
      </c>
      <c r="AT60" s="750">
        <v>1</v>
      </c>
      <c r="AU60" s="751" t="s">
        <v>462</v>
      </c>
      <c r="AV60" s="752">
        <v>120000</v>
      </c>
      <c r="AW60" s="753">
        <f t="shared" si="2"/>
        <v>120000</v>
      </c>
      <c r="AX60" s="738"/>
    </row>
    <row r="61" spans="1:50" ht="33.75" x14ac:dyDescent="0.2">
      <c r="A61" s="721"/>
      <c r="B61" s="1505"/>
      <c r="C61" s="1503"/>
      <c r="D61" s="734" t="s">
        <v>506</v>
      </c>
      <c r="E61" s="765" t="s">
        <v>472</v>
      </c>
      <c r="F61" s="746">
        <v>1</v>
      </c>
      <c r="G61" s="747" t="s">
        <v>461</v>
      </c>
      <c r="H61" s="748">
        <v>150000</v>
      </c>
      <c r="I61" s="771">
        <v>175000</v>
      </c>
      <c r="J61" s="735"/>
      <c r="K61" s="721"/>
      <c r="L61" s="1506"/>
      <c r="M61" s="1510" t="s">
        <v>512</v>
      </c>
      <c r="N61" s="740" t="s">
        <v>791</v>
      </c>
      <c r="O61" s="952" t="s">
        <v>452</v>
      </c>
      <c r="P61" s="754">
        <v>1</v>
      </c>
      <c r="Q61" s="755" t="s">
        <v>462</v>
      </c>
      <c r="R61" s="756">
        <v>175000</v>
      </c>
      <c r="S61" s="757">
        <f t="shared" ref="S61:S72" si="3">+R61*P61</f>
        <v>175000</v>
      </c>
      <c r="T61" s="745">
        <v>6.1</v>
      </c>
      <c r="U61" s="721"/>
      <c r="V61" s="1505"/>
      <c r="W61" s="1501" t="s">
        <v>512</v>
      </c>
      <c r="X61" s="766" t="s">
        <v>513</v>
      </c>
      <c r="Y61" s="767" t="s">
        <v>452</v>
      </c>
      <c r="Z61" s="768">
        <v>1</v>
      </c>
      <c r="AA61" s="769" t="s">
        <v>461</v>
      </c>
      <c r="AB61" s="770">
        <v>175000</v>
      </c>
      <c r="AC61" s="771">
        <v>175000</v>
      </c>
      <c r="AD61" s="772">
        <v>12.2</v>
      </c>
      <c r="AE61" s="721"/>
      <c r="AF61" s="1506"/>
      <c r="AG61" s="1510"/>
      <c r="AH61" s="740" t="s">
        <v>514</v>
      </c>
      <c r="AI61" s="952" t="s">
        <v>487</v>
      </c>
      <c r="AJ61" s="754">
        <v>1</v>
      </c>
      <c r="AK61" s="755" t="s">
        <v>515</v>
      </c>
      <c r="AL61" s="756">
        <v>45000</v>
      </c>
      <c r="AM61" s="757">
        <f t="shared" si="1"/>
        <v>45000</v>
      </c>
      <c r="AN61" s="745">
        <v>1.6</v>
      </c>
      <c r="AO61" s="721"/>
      <c r="AP61" s="1506"/>
      <c r="AQ61" s="1510"/>
      <c r="AR61" s="737" t="s">
        <v>514</v>
      </c>
      <c r="AS61" s="764" t="s">
        <v>487</v>
      </c>
      <c r="AT61" s="750">
        <v>1</v>
      </c>
      <c r="AU61" s="751" t="s">
        <v>515</v>
      </c>
      <c r="AV61" s="752">
        <v>45000</v>
      </c>
      <c r="AW61" s="753">
        <f t="shared" si="2"/>
        <v>45000</v>
      </c>
      <c r="AX61" s="738"/>
    </row>
    <row r="62" spans="1:50" ht="56.25" x14ac:dyDescent="0.2">
      <c r="A62" s="721"/>
      <c r="B62" s="1505"/>
      <c r="C62" s="733" t="s">
        <v>467</v>
      </c>
      <c r="D62" s="734" t="s">
        <v>507</v>
      </c>
      <c r="E62" s="765" t="s">
        <v>488</v>
      </c>
      <c r="F62" s="746">
        <v>1</v>
      </c>
      <c r="G62" s="747" t="s">
        <v>461</v>
      </c>
      <c r="H62" s="748">
        <v>180000</v>
      </c>
      <c r="I62" s="771">
        <v>25000</v>
      </c>
      <c r="J62" s="735"/>
      <c r="K62" s="721"/>
      <c r="L62" s="1506"/>
      <c r="M62" s="1510"/>
      <c r="N62" s="740" t="s">
        <v>514</v>
      </c>
      <c r="O62" s="952" t="s">
        <v>487</v>
      </c>
      <c r="P62" s="754">
        <v>1</v>
      </c>
      <c r="Q62" s="755" t="s">
        <v>515</v>
      </c>
      <c r="R62" s="756">
        <v>25000</v>
      </c>
      <c r="S62" s="757">
        <f t="shared" si="3"/>
        <v>25000</v>
      </c>
      <c r="T62" s="745">
        <v>0.9</v>
      </c>
      <c r="U62" s="721"/>
      <c r="V62" s="1505"/>
      <c r="W62" s="1503"/>
      <c r="X62" s="766" t="s">
        <v>514</v>
      </c>
      <c r="Y62" s="767" t="s">
        <v>487</v>
      </c>
      <c r="Z62" s="768">
        <v>1</v>
      </c>
      <c r="AA62" s="769" t="s">
        <v>466</v>
      </c>
      <c r="AB62" s="770">
        <v>25000</v>
      </c>
      <c r="AC62" s="771">
        <v>25000</v>
      </c>
      <c r="AD62" s="772">
        <v>3.5</v>
      </c>
      <c r="AE62" s="721"/>
      <c r="AF62" s="1506"/>
      <c r="AG62" s="1510" t="s">
        <v>516</v>
      </c>
      <c r="AH62" s="740" t="s">
        <v>517</v>
      </c>
      <c r="AI62" s="754" t="s">
        <v>487</v>
      </c>
      <c r="AJ62" s="754">
        <v>1</v>
      </c>
      <c r="AK62" s="755" t="s">
        <v>462</v>
      </c>
      <c r="AL62" s="756">
        <v>120000</v>
      </c>
      <c r="AM62" s="757">
        <f t="shared" si="1"/>
        <v>120000</v>
      </c>
      <c r="AN62" s="745">
        <v>4.2</v>
      </c>
      <c r="AO62" s="721"/>
      <c r="AP62" s="1506"/>
      <c r="AQ62" s="1510" t="s">
        <v>516</v>
      </c>
      <c r="AR62" s="737" t="s">
        <v>517</v>
      </c>
      <c r="AS62" s="750" t="s">
        <v>487</v>
      </c>
      <c r="AT62" s="750">
        <v>1</v>
      </c>
      <c r="AU62" s="751" t="s">
        <v>462</v>
      </c>
      <c r="AV62" s="752">
        <v>120000</v>
      </c>
      <c r="AW62" s="753">
        <f t="shared" si="2"/>
        <v>120000</v>
      </c>
      <c r="AX62" s="738"/>
    </row>
    <row r="63" spans="1:50" ht="56.25" x14ac:dyDescent="0.2">
      <c r="A63" s="721"/>
      <c r="B63" s="1505"/>
      <c r="C63" s="1501" t="s">
        <v>508</v>
      </c>
      <c r="D63" s="734" t="s">
        <v>509</v>
      </c>
      <c r="E63" s="765" t="s">
        <v>487</v>
      </c>
      <c r="F63" s="746">
        <v>1</v>
      </c>
      <c r="G63" s="747" t="s">
        <v>461</v>
      </c>
      <c r="H63" s="748">
        <v>225000</v>
      </c>
      <c r="I63" s="771">
        <v>120000</v>
      </c>
      <c r="J63" s="735"/>
      <c r="K63" s="721"/>
      <c r="L63" s="1506"/>
      <c r="M63" s="736" t="s">
        <v>516</v>
      </c>
      <c r="N63" s="740" t="s">
        <v>517</v>
      </c>
      <c r="O63" s="754" t="s">
        <v>487</v>
      </c>
      <c r="P63" s="754">
        <v>1</v>
      </c>
      <c r="Q63" s="755" t="s">
        <v>462</v>
      </c>
      <c r="R63" s="756">
        <v>120000</v>
      </c>
      <c r="S63" s="757">
        <f t="shared" si="3"/>
        <v>120000</v>
      </c>
      <c r="T63" s="745">
        <v>4.2</v>
      </c>
      <c r="U63" s="721"/>
      <c r="V63" s="1505"/>
      <c r="W63" s="733" t="s">
        <v>516</v>
      </c>
      <c r="X63" s="766" t="s">
        <v>517</v>
      </c>
      <c r="Y63" s="768" t="s">
        <v>487</v>
      </c>
      <c r="Z63" s="768">
        <v>1</v>
      </c>
      <c r="AA63" s="769" t="s">
        <v>461</v>
      </c>
      <c r="AB63" s="770">
        <v>120000</v>
      </c>
      <c r="AC63" s="771">
        <v>120000</v>
      </c>
      <c r="AD63" s="772">
        <v>4.2</v>
      </c>
      <c r="AE63" s="721"/>
      <c r="AF63" s="1506"/>
      <c r="AG63" s="1510"/>
      <c r="AH63" s="737" t="s">
        <v>518</v>
      </c>
      <c r="AI63" s="750" t="s">
        <v>487</v>
      </c>
      <c r="AJ63" s="750">
        <v>1</v>
      </c>
      <c r="AK63" s="751" t="s">
        <v>462</v>
      </c>
      <c r="AL63" s="752">
        <v>65000</v>
      </c>
      <c r="AM63" s="753">
        <f t="shared" si="1"/>
        <v>65000</v>
      </c>
      <c r="AN63" s="738"/>
      <c r="AO63" s="721"/>
      <c r="AP63" s="1506"/>
      <c r="AQ63" s="1510"/>
      <c r="AR63" s="737" t="s">
        <v>518</v>
      </c>
      <c r="AS63" s="750" t="s">
        <v>487</v>
      </c>
      <c r="AT63" s="750">
        <v>1</v>
      </c>
      <c r="AU63" s="751" t="s">
        <v>462</v>
      </c>
      <c r="AV63" s="752">
        <v>65000</v>
      </c>
      <c r="AW63" s="753">
        <f t="shared" si="2"/>
        <v>65000</v>
      </c>
      <c r="AX63" s="738"/>
    </row>
    <row r="64" spans="1:50" ht="33.75" x14ac:dyDescent="0.2">
      <c r="A64" s="721"/>
      <c r="B64" s="1505"/>
      <c r="C64" s="1503"/>
      <c r="D64" s="734" t="s">
        <v>511</v>
      </c>
      <c r="E64" s="765" t="s">
        <v>472</v>
      </c>
      <c r="F64" s="746">
        <v>1</v>
      </c>
      <c r="G64" s="747" t="s">
        <v>461</v>
      </c>
      <c r="H64" s="748">
        <v>225000</v>
      </c>
      <c r="I64" s="959">
        <v>450000</v>
      </c>
      <c r="J64" s="735"/>
      <c r="K64" s="721"/>
      <c r="L64" s="1506"/>
      <c r="M64" s="736" t="s">
        <v>519</v>
      </c>
      <c r="N64" s="773" t="s">
        <v>520</v>
      </c>
      <c r="O64" s="774" t="s">
        <v>487</v>
      </c>
      <c r="P64" s="774">
        <v>1</v>
      </c>
      <c r="Q64" s="775" t="s">
        <v>462</v>
      </c>
      <c r="R64" s="776">
        <v>450000</v>
      </c>
      <c r="S64" s="777">
        <f t="shared" si="3"/>
        <v>450000</v>
      </c>
      <c r="T64" s="778"/>
      <c r="U64" s="721"/>
      <c r="V64" s="1506"/>
      <c r="W64" s="733" t="s">
        <v>519</v>
      </c>
      <c r="X64" s="960" t="s">
        <v>520</v>
      </c>
      <c r="Y64" s="962" t="s">
        <v>487</v>
      </c>
      <c r="Z64" s="962">
        <v>1</v>
      </c>
      <c r="AA64" s="963" t="s">
        <v>461</v>
      </c>
      <c r="AB64" s="964">
        <v>450000</v>
      </c>
      <c r="AC64" s="959">
        <v>450000</v>
      </c>
      <c r="AD64" s="965">
        <v>15.7</v>
      </c>
      <c r="AE64" s="721"/>
      <c r="AF64" s="1506"/>
      <c r="AG64" s="1510"/>
      <c r="AH64" s="737" t="s">
        <v>521</v>
      </c>
      <c r="AI64" s="750" t="s">
        <v>487</v>
      </c>
      <c r="AJ64" s="750">
        <v>1</v>
      </c>
      <c r="AK64" s="751" t="s">
        <v>462</v>
      </c>
      <c r="AL64" s="752">
        <v>70000</v>
      </c>
      <c r="AM64" s="753">
        <f t="shared" si="1"/>
        <v>70000</v>
      </c>
      <c r="AN64" s="738"/>
      <c r="AO64" s="721"/>
      <c r="AP64" s="1506"/>
      <c r="AQ64" s="1510"/>
      <c r="AR64" s="737" t="s">
        <v>521</v>
      </c>
      <c r="AS64" s="750" t="s">
        <v>487</v>
      </c>
      <c r="AT64" s="750">
        <v>1</v>
      </c>
      <c r="AU64" s="751" t="s">
        <v>462</v>
      </c>
      <c r="AV64" s="752">
        <v>70000</v>
      </c>
      <c r="AW64" s="753">
        <f t="shared" si="2"/>
        <v>70000</v>
      </c>
      <c r="AX64" s="738"/>
    </row>
    <row r="65" spans="1:50" ht="22.5" x14ac:dyDescent="0.2">
      <c r="A65" s="721"/>
      <c r="B65" s="1505"/>
      <c r="C65" s="1501" t="s">
        <v>512</v>
      </c>
      <c r="D65" s="766" t="s">
        <v>513</v>
      </c>
      <c r="E65" s="767" t="s">
        <v>452</v>
      </c>
      <c r="F65" s="768">
        <v>1</v>
      </c>
      <c r="G65" s="769" t="s">
        <v>461</v>
      </c>
      <c r="H65" s="770">
        <v>120000</v>
      </c>
      <c r="I65" s="771">
        <v>9776000</v>
      </c>
      <c r="J65" s="772">
        <v>4.2</v>
      </c>
      <c r="K65" s="721"/>
      <c r="L65" s="1511" t="s">
        <v>522</v>
      </c>
      <c r="M65" s="1510" t="s">
        <v>523</v>
      </c>
      <c r="N65" s="737" t="s">
        <v>524</v>
      </c>
      <c r="O65" s="750" t="s">
        <v>503</v>
      </c>
      <c r="P65" s="750">
        <v>611</v>
      </c>
      <c r="Q65" s="751" t="s">
        <v>477</v>
      </c>
      <c r="R65" s="752">
        <v>16000</v>
      </c>
      <c r="S65" s="753">
        <f t="shared" si="3"/>
        <v>9776000</v>
      </c>
      <c r="T65" s="738"/>
      <c r="U65" s="721"/>
      <c r="V65" s="1504" t="s">
        <v>522</v>
      </c>
      <c r="W65" s="1501" t="s">
        <v>523</v>
      </c>
      <c r="X65" s="734" t="s">
        <v>524</v>
      </c>
      <c r="Y65" s="746" t="s">
        <v>503</v>
      </c>
      <c r="Z65" s="746">
        <v>611</v>
      </c>
      <c r="AA65" s="747" t="s">
        <v>473</v>
      </c>
      <c r="AB65" s="748">
        <v>16000</v>
      </c>
      <c r="AC65" s="749">
        <v>9776000</v>
      </c>
      <c r="AD65" s="735"/>
      <c r="AE65" s="721"/>
      <c r="AF65" s="1506"/>
      <c r="AG65" s="736" t="s">
        <v>519</v>
      </c>
      <c r="AH65" s="740" t="s">
        <v>520</v>
      </c>
      <c r="AI65" s="754" t="s">
        <v>487</v>
      </c>
      <c r="AJ65" s="754">
        <v>1</v>
      </c>
      <c r="AK65" s="755" t="s">
        <v>462</v>
      </c>
      <c r="AL65" s="756">
        <v>450000</v>
      </c>
      <c r="AM65" s="757">
        <f t="shared" si="1"/>
        <v>450000</v>
      </c>
      <c r="AN65" s="745">
        <v>15.7</v>
      </c>
      <c r="AO65" s="721"/>
      <c r="AP65" s="1506"/>
      <c r="AQ65" s="736" t="s">
        <v>519</v>
      </c>
      <c r="AR65" s="740" t="s">
        <v>520</v>
      </c>
      <c r="AS65" s="754" t="s">
        <v>487</v>
      </c>
      <c r="AT65" s="754">
        <v>1</v>
      </c>
      <c r="AU65" s="755" t="s">
        <v>462</v>
      </c>
      <c r="AV65" s="756">
        <v>450000</v>
      </c>
      <c r="AW65" s="757">
        <f t="shared" si="2"/>
        <v>450000</v>
      </c>
      <c r="AX65" s="745">
        <v>15</v>
      </c>
    </row>
    <row r="66" spans="1:50" ht="33.75" x14ac:dyDescent="0.2">
      <c r="A66" s="721"/>
      <c r="B66" s="1505"/>
      <c r="C66" s="1503"/>
      <c r="D66" s="766" t="s">
        <v>514</v>
      </c>
      <c r="E66" s="767" t="s">
        <v>487</v>
      </c>
      <c r="F66" s="768">
        <v>1</v>
      </c>
      <c r="G66" s="769" t="s">
        <v>466</v>
      </c>
      <c r="H66" s="770">
        <v>45000</v>
      </c>
      <c r="I66" s="771">
        <v>1797580</v>
      </c>
      <c r="J66" s="772">
        <v>1.6</v>
      </c>
      <c r="K66" s="721"/>
      <c r="L66" s="1511"/>
      <c r="M66" s="1510"/>
      <c r="N66" s="737" t="s">
        <v>525</v>
      </c>
      <c r="O66" s="750" t="s">
        <v>503</v>
      </c>
      <c r="P66" s="750">
        <v>68</v>
      </c>
      <c r="Q66" s="751" t="s">
        <v>477</v>
      </c>
      <c r="R66" s="752">
        <v>26435</v>
      </c>
      <c r="S66" s="753">
        <f t="shared" si="3"/>
        <v>1797580</v>
      </c>
      <c r="T66" s="738"/>
      <c r="U66" s="721"/>
      <c r="V66" s="1505"/>
      <c r="W66" s="1502"/>
      <c r="X66" s="734" t="s">
        <v>525</v>
      </c>
      <c r="Y66" s="746" t="s">
        <v>503</v>
      </c>
      <c r="Z66" s="746">
        <v>68</v>
      </c>
      <c r="AA66" s="747" t="s">
        <v>473</v>
      </c>
      <c r="AB66" s="748">
        <v>26435</v>
      </c>
      <c r="AC66" s="749">
        <v>1797580</v>
      </c>
      <c r="AD66" s="735"/>
      <c r="AE66" s="721"/>
      <c r="AF66" s="1511" t="s">
        <v>522</v>
      </c>
      <c r="AG66" s="736"/>
      <c r="AH66" s="737" t="s">
        <v>524</v>
      </c>
      <c r="AI66" s="750" t="s">
        <v>503</v>
      </c>
      <c r="AJ66" s="750">
        <v>455</v>
      </c>
      <c r="AK66" s="751" t="s">
        <v>477</v>
      </c>
      <c r="AL66" s="752">
        <f>+AL42*4</f>
        <v>4080</v>
      </c>
      <c r="AM66" s="753">
        <f t="shared" si="1"/>
        <v>1856400</v>
      </c>
      <c r="AN66" s="738"/>
      <c r="AO66" s="721"/>
      <c r="AP66" s="1511" t="s">
        <v>522</v>
      </c>
      <c r="AQ66" s="736"/>
      <c r="AR66" s="737" t="s">
        <v>524</v>
      </c>
      <c r="AS66" s="750" t="s">
        <v>503</v>
      </c>
      <c r="AT66" s="750">
        <v>455</v>
      </c>
      <c r="AU66" s="751" t="s">
        <v>477</v>
      </c>
      <c r="AV66" s="752">
        <f>+AV42*4</f>
        <v>4080</v>
      </c>
      <c r="AW66" s="753">
        <f t="shared" si="2"/>
        <v>1856400</v>
      </c>
      <c r="AX66" s="738"/>
    </row>
    <row r="67" spans="1:50" ht="56.25" x14ac:dyDescent="0.2">
      <c r="A67" s="721"/>
      <c r="B67" s="1505"/>
      <c r="C67" s="1501" t="s">
        <v>516</v>
      </c>
      <c r="D67" s="766" t="s">
        <v>517</v>
      </c>
      <c r="E67" s="768" t="s">
        <v>487</v>
      </c>
      <c r="F67" s="768">
        <v>1</v>
      </c>
      <c r="G67" s="769" t="s">
        <v>461</v>
      </c>
      <c r="H67" s="770">
        <v>120000</v>
      </c>
      <c r="I67" s="771">
        <v>2660000</v>
      </c>
      <c r="J67" s="772">
        <v>4.2</v>
      </c>
      <c r="K67" s="721"/>
      <c r="L67" s="1511"/>
      <c r="M67" s="1510"/>
      <c r="N67" s="737" t="s">
        <v>526</v>
      </c>
      <c r="O67" s="750" t="s">
        <v>503</v>
      </c>
      <c r="P67" s="750">
        <v>28</v>
      </c>
      <c r="Q67" s="751" t="s">
        <v>527</v>
      </c>
      <c r="R67" s="752">
        <v>95000</v>
      </c>
      <c r="S67" s="753">
        <f t="shared" si="3"/>
        <v>2660000</v>
      </c>
      <c r="T67" s="738"/>
      <c r="U67" s="721"/>
      <c r="V67" s="1505"/>
      <c r="W67" s="1502"/>
      <c r="X67" s="734" t="s">
        <v>526</v>
      </c>
      <c r="Y67" s="746" t="s">
        <v>503</v>
      </c>
      <c r="Z67" s="746">
        <v>28</v>
      </c>
      <c r="AA67" s="747" t="s">
        <v>528</v>
      </c>
      <c r="AB67" s="748">
        <v>95000</v>
      </c>
      <c r="AC67" s="749">
        <v>2660000</v>
      </c>
      <c r="AD67" s="735"/>
      <c r="AE67" s="721"/>
      <c r="AF67" s="1511"/>
      <c r="AG67" s="736"/>
      <c r="AH67" s="737" t="s">
        <v>525</v>
      </c>
      <c r="AI67" s="750" t="s">
        <v>503</v>
      </c>
      <c r="AJ67" s="750">
        <v>1</v>
      </c>
      <c r="AK67" s="751" t="s">
        <v>477</v>
      </c>
      <c r="AL67" s="752">
        <v>26435</v>
      </c>
      <c r="AM67" s="753">
        <f t="shared" si="1"/>
        <v>26435</v>
      </c>
      <c r="AN67" s="738"/>
      <c r="AO67" s="721"/>
      <c r="AP67" s="1511"/>
      <c r="AQ67" s="736"/>
      <c r="AR67" s="737" t="s">
        <v>525</v>
      </c>
      <c r="AS67" s="750" t="s">
        <v>503</v>
      </c>
      <c r="AT67" s="750">
        <v>1</v>
      </c>
      <c r="AU67" s="751" t="s">
        <v>477</v>
      </c>
      <c r="AV67" s="752">
        <v>26435</v>
      </c>
      <c r="AW67" s="753">
        <f t="shared" si="2"/>
        <v>26435</v>
      </c>
      <c r="AX67" s="738"/>
    </row>
    <row r="68" spans="1:50" ht="33.75" x14ac:dyDescent="0.2">
      <c r="A68" s="721"/>
      <c r="B68" s="1505"/>
      <c r="C68" s="1502"/>
      <c r="D68" s="766" t="s">
        <v>518</v>
      </c>
      <c r="E68" s="768" t="s">
        <v>487</v>
      </c>
      <c r="F68" s="768">
        <v>1</v>
      </c>
      <c r="G68" s="769" t="s">
        <v>461</v>
      </c>
      <c r="H68" s="770">
        <v>65000</v>
      </c>
      <c r="I68" s="771">
        <v>595798</v>
      </c>
      <c r="J68" s="772">
        <v>2.2999999999999998</v>
      </c>
      <c r="K68" s="721"/>
      <c r="L68" s="1511"/>
      <c r="M68" s="1510"/>
      <c r="N68" s="737" t="s">
        <v>529</v>
      </c>
      <c r="O68" s="750" t="s">
        <v>530</v>
      </c>
      <c r="P68" s="750">
        <v>7</v>
      </c>
      <c r="Q68" s="751" t="s">
        <v>515</v>
      </c>
      <c r="R68" s="752">
        <v>85114</v>
      </c>
      <c r="S68" s="753">
        <f t="shared" si="3"/>
        <v>595798</v>
      </c>
      <c r="T68" s="738"/>
      <c r="U68" s="721"/>
      <c r="V68" s="1505"/>
      <c r="W68" s="1502"/>
      <c r="X68" s="734" t="s">
        <v>529</v>
      </c>
      <c r="Y68" s="746" t="s">
        <v>530</v>
      </c>
      <c r="Z68" s="746">
        <v>7</v>
      </c>
      <c r="AA68" s="747" t="s">
        <v>466</v>
      </c>
      <c r="AB68" s="748">
        <v>85114</v>
      </c>
      <c r="AC68" s="749">
        <v>595798</v>
      </c>
      <c r="AD68" s="735"/>
      <c r="AE68" s="721"/>
      <c r="AF68" s="1511"/>
      <c r="AG68" s="736"/>
      <c r="AH68" s="737" t="s">
        <v>526</v>
      </c>
      <c r="AI68" s="750" t="s">
        <v>503</v>
      </c>
      <c r="AJ68" s="750">
        <v>22</v>
      </c>
      <c r="AK68" s="751" t="s">
        <v>527</v>
      </c>
      <c r="AL68" s="752">
        <v>95000</v>
      </c>
      <c r="AM68" s="753">
        <f t="shared" si="1"/>
        <v>2090000</v>
      </c>
      <c r="AN68" s="738"/>
      <c r="AO68" s="721"/>
      <c r="AP68" s="1511"/>
      <c r="AQ68" s="736"/>
      <c r="AR68" s="737" t="s">
        <v>526</v>
      </c>
      <c r="AS68" s="750" t="s">
        <v>503</v>
      </c>
      <c r="AT68" s="750">
        <v>22</v>
      </c>
      <c r="AU68" s="751" t="s">
        <v>527</v>
      </c>
      <c r="AV68" s="752">
        <v>95000</v>
      </c>
      <c r="AW68" s="753">
        <f t="shared" si="2"/>
        <v>2090000</v>
      </c>
      <c r="AX68" s="738"/>
    </row>
    <row r="69" spans="1:50" ht="33.75" x14ac:dyDescent="0.2">
      <c r="A69" s="721"/>
      <c r="B69" s="1505"/>
      <c r="C69" s="1502"/>
      <c r="D69" s="766" t="s">
        <v>531</v>
      </c>
      <c r="E69" s="768" t="s">
        <v>487</v>
      </c>
      <c r="F69" s="768">
        <v>1</v>
      </c>
      <c r="G69" s="769" t="s">
        <v>461</v>
      </c>
      <c r="H69" s="770">
        <v>90000</v>
      </c>
      <c r="I69" s="771">
        <v>1170000</v>
      </c>
      <c r="J69" s="772">
        <v>3.1</v>
      </c>
      <c r="K69" s="721"/>
      <c r="L69" s="1511"/>
      <c r="M69" s="1510"/>
      <c r="N69" s="737" t="s">
        <v>532</v>
      </c>
      <c r="O69" s="750" t="s">
        <v>503</v>
      </c>
      <c r="P69" s="750">
        <v>18</v>
      </c>
      <c r="Q69" s="751" t="s">
        <v>515</v>
      </c>
      <c r="R69" s="752">
        <v>65000</v>
      </c>
      <c r="S69" s="753">
        <f t="shared" si="3"/>
        <v>1170000</v>
      </c>
      <c r="T69" s="738"/>
      <c r="U69" s="721"/>
      <c r="V69" s="1505"/>
      <c r="W69" s="1502"/>
      <c r="X69" s="734" t="s">
        <v>532</v>
      </c>
      <c r="Y69" s="746" t="s">
        <v>503</v>
      </c>
      <c r="Z69" s="746">
        <v>18</v>
      </c>
      <c r="AA69" s="747" t="s">
        <v>466</v>
      </c>
      <c r="AB69" s="748">
        <v>65000</v>
      </c>
      <c r="AC69" s="749">
        <v>1170000</v>
      </c>
      <c r="AD69" s="735"/>
      <c r="AE69" s="721"/>
      <c r="AF69" s="1511"/>
      <c r="AG69" s="736"/>
      <c r="AH69" s="737" t="s">
        <v>529</v>
      </c>
      <c r="AI69" s="750" t="s">
        <v>530</v>
      </c>
      <c r="AJ69" s="750">
        <v>1</v>
      </c>
      <c r="AK69" s="751" t="s">
        <v>515</v>
      </c>
      <c r="AL69" s="752">
        <v>85114</v>
      </c>
      <c r="AM69" s="753">
        <f t="shared" si="1"/>
        <v>85114</v>
      </c>
      <c r="AN69" s="738"/>
      <c r="AO69" s="721"/>
      <c r="AP69" s="1511"/>
      <c r="AQ69" s="736"/>
      <c r="AR69" s="737" t="s">
        <v>529</v>
      </c>
      <c r="AS69" s="750" t="s">
        <v>530</v>
      </c>
      <c r="AT69" s="750">
        <v>1</v>
      </c>
      <c r="AU69" s="751" t="s">
        <v>515</v>
      </c>
      <c r="AV69" s="752">
        <v>85114</v>
      </c>
      <c r="AW69" s="753">
        <f t="shared" si="2"/>
        <v>85114</v>
      </c>
      <c r="AX69" s="738"/>
    </row>
    <row r="70" spans="1:50" ht="33.75" x14ac:dyDescent="0.2">
      <c r="A70" s="721"/>
      <c r="B70" s="1505"/>
      <c r="C70" s="1503"/>
      <c r="D70" s="734" t="s">
        <v>521</v>
      </c>
      <c r="E70" s="746" t="s">
        <v>487</v>
      </c>
      <c r="F70" s="746">
        <v>1</v>
      </c>
      <c r="G70" s="747" t="s">
        <v>461</v>
      </c>
      <c r="H70" s="748">
        <v>70000</v>
      </c>
      <c r="I70" s="785"/>
      <c r="J70" s="735"/>
      <c r="K70" s="721"/>
      <c r="L70" s="1511"/>
      <c r="M70" s="1510"/>
      <c r="N70" s="737" t="s">
        <v>533</v>
      </c>
      <c r="O70" s="750" t="s">
        <v>503</v>
      </c>
      <c r="P70" s="750">
        <v>1</v>
      </c>
      <c r="Q70" s="751" t="s">
        <v>515</v>
      </c>
      <c r="R70" s="752">
        <v>710450</v>
      </c>
      <c r="S70" s="753">
        <f t="shared" si="3"/>
        <v>710450</v>
      </c>
      <c r="T70" s="738"/>
      <c r="U70" s="721"/>
      <c r="V70" s="1505"/>
      <c r="W70" s="1502"/>
      <c r="X70" s="734" t="s">
        <v>533</v>
      </c>
      <c r="Y70" s="746" t="s">
        <v>503</v>
      </c>
      <c r="Z70" s="746">
        <v>1</v>
      </c>
      <c r="AA70" s="747" t="s">
        <v>466</v>
      </c>
      <c r="AB70" s="748">
        <v>710450</v>
      </c>
      <c r="AC70" s="749">
        <v>710450</v>
      </c>
      <c r="AD70" s="735"/>
      <c r="AE70" s="721"/>
      <c r="AF70" s="1511"/>
      <c r="AG70" s="736"/>
      <c r="AH70" s="737" t="s">
        <v>532</v>
      </c>
      <c r="AI70" s="750" t="s">
        <v>503</v>
      </c>
      <c r="AJ70" s="750">
        <v>14</v>
      </c>
      <c r="AK70" s="751" t="s">
        <v>515</v>
      </c>
      <c r="AL70" s="752">
        <v>65000</v>
      </c>
      <c r="AM70" s="753">
        <f t="shared" si="1"/>
        <v>910000</v>
      </c>
      <c r="AN70" s="738"/>
      <c r="AO70" s="721"/>
      <c r="AP70" s="1511"/>
      <c r="AQ70" s="736"/>
      <c r="AR70" s="737" t="s">
        <v>532</v>
      </c>
      <c r="AS70" s="750" t="s">
        <v>503</v>
      </c>
      <c r="AT70" s="750">
        <v>14</v>
      </c>
      <c r="AU70" s="751" t="s">
        <v>515</v>
      </c>
      <c r="AV70" s="752">
        <v>65000</v>
      </c>
      <c r="AW70" s="753">
        <f t="shared" si="2"/>
        <v>910000</v>
      </c>
      <c r="AX70" s="738"/>
    </row>
    <row r="71" spans="1:50" ht="22.5" x14ac:dyDescent="0.2">
      <c r="A71" s="721"/>
      <c r="B71" s="1506"/>
      <c r="C71" s="733" t="s">
        <v>519</v>
      </c>
      <c r="D71" s="734" t="s">
        <v>520</v>
      </c>
      <c r="E71" s="746" t="s">
        <v>487</v>
      </c>
      <c r="F71" s="746">
        <v>1</v>
      </c>
      <c r="G71" s="747" t="s">
        <v>461</v>
      </c>
      <c r="H71" s="748">
        <v>250000</v>
      </c>
      <c r="I71" s="785"/>
      <c r="J71" s="735"/>
      <c r="K71" s="721"/>
      <c r="L71" s="1511"/>
      <c r="M71" s="1510"/>
      <c r="N71" s="737" t="s">
        <v>534</v>
      </c>
      <c r="O71" s="750" t="s">
        <v>503</v>
      </c>
      <c r="P71" s="750">
        <v>1</v>
      </c>
      <c r="Q71" s="751" t="s">
        <v>515</v>
      </c>
      <c r="R71" s="752">
        <v>458700</v>
      </c>
      <c r="S71" s="753">
        <f t="shared" si="3"/>
        <v>458700</v>
      </c>
      <c r="T71" s="738"/>
      <c r="U71" s="721"/>
      <c r="V71" s="1505"/>
      <c r="W71" s="1502"/>
      <c r="X71" s="734" t="s">
        <v>534</v>
      </c>
      <c r="Y71" s="746" t="s">
        <v>503</v>
      </c>
      <c r="Z71" s="746">
        <v>1</v>
      </c>
      <c r="AA71" s="747" t="s">
        <v>466</v>
      </c>
      <c r="AB71" s="748">
        <v>458700</v>
      </c>
      <c r="AC71" s="749">
        <v>458700</v>
      </c>
      <c r="AD71" s="735"/>
      <c r="AE71" s="721"/>
      <c r="AF71" s="1511"/>
      <c r="AG71" s="736"/>
      <c r="AH71" s="737" t="s">
        <v>533</v>
      </c>
      <c r="AI71" s="750" t="s">
        <v>503</v>
      </c>
      <c r="AJ71" s="750">
        <v>1</v>
      </c>
      <c r="AK71" s="751" t="s">
        <v>515</v>
      </c>
      <c r="AL71" s="752">
        <v>710450</v>
      </c>
      <c r="AM71" s="753">
        <f t="shared" si="1"/>
        <v>710450</v>
      </c>
      <c r="AN71" s="738"/>
      <c r="AO71" s="721"/>
      <c r="AP71" s="1511"/>
      <c r="AQ71" s="736"/>
      <c r="AR71" s="737" t="s">
        <v>533</v>
      </c>
      <c r="AS71" s="750" t="s">
        <v>503</v>
      </c>
      <c r="AT71" s="750">
        <v>1</v>
      </c>
      <c r="AU71" s="751" t="s">
        <v>515</v>
      </c>
      <c r="AV71" s="752">
        <v>710450</v>
      </c>
      <c r="AW71" s="753">
        <f t="shared" si="2"/>
        <v>710450</v>
      </c>
      <c r="AX71" s="738"/>
    </row>
    <row r="72" spans="1:50" ht="22.5" x14ac:dyDescent="0.2">
      <c r="A72" s="721"/>
      <c r="B72" s="1504" t="s">
        <v>522</v>
      </c>
      <c r="C72" s="733"/>
      <c r="D72" s="734" t="s">
        <v>524</v>
      </c>
      <c r="E72" s="746" t="s">
        <v>503</v>
      </c>
      <c r="F72" s="746">
        <v>610</v>
      </c>
      <c r="G72" s="747" t="s">
        <v>473</v>
      </c>
      <c r="H72" s="748">
        <v>19456</v>
      </c>
      <c r="I72" s="785"/>
      <c r="J72" s="735"/>
      <c r="K72" s="721"/>
      <c r="L72" s="1511"/>
      <c r="M72" s="1510"/>
      <c r="N72" s="737" t="s">
        <v>535</v>
      </c>
      <c r="O72" s="750" t="s">
        <v>503</v>
      </c>
      <c r="P72" s="750">
        <v>1</v>
      </c>
      <c r="Q72" s="751" t="s">
        <v>515</v>
      </c>
      <c r="R72" s="752">
        <v>124500</v>
      </c>
      <c r="S72" s="753">
        <f t="shared" si="3"/>
        <v>124500</v>
      </c>
      <c r="T72" s="738"/>
      <c r="U72" s="721"/>
      <c r="V72" s="1506"/>
      <c r="W72" s="1503"/>
      <c r="X72" s="734" t="s">
        <v>535</v>
      </c>
      <c r="Y72" s="746" t="s">
        <v>503</v>
      </c>
      <c r="Z72" s="746">
        <v>1</v>
      </c>
      <c r="AA72" s="747" t="s">
        <v>466</v>
      </c>
      <c r="AB72" s="748">
        <v>124500</v>
      </c>
      <c r="AC72" s="749">
        <v>124500</v>
      </c>
      <c r="AD72" s="735"/>
      <c r="AE72" s="721"/>
      <c r="AF72" s="1511"/>
      <c r="AG72" s="736"/>
      <c r="AH72" s="737" t="s">
        <v>534</v>
      </c>
      <c r="AI72" s="750" t="s">
        <v>503</v>
      </c>
      <c r="AJ72" s="750">
        <v>1</v>
      </c>
      <c r="AK72" s="751" t="s">
        <v>515</v>
      </c>
      <c r="AL72" s="752">
        <v>458700</v>
      </c>
      <c r="AM72" s="753">
        <f t="shared" si="1"/>
        <v>458700</v>
      </c>
      <c r="AN72" s="738"/>
      <c r="AO72" s="721"/>
      <c r="AP72" s="1511"/>
      <c r="AQ72" s="736"/>
      <c r="AR72" s="737" t="s">
        <v>534</v>
      </c>
      <c r="AS72" s="750" t="s">
        <v>503</v>
      </c>
      <c r="AT72" s="750">
        <v>1</v>
      </c>
      <c r="AU72" s="751" t="s">
        <v>515</v>
      </c>
      <c r="AV72" s="752">
        <v>458700</v>
      </c>
      <c r="AW72" s="753">
        <f t="shared" si="2"/>
        <v>458700</v>
      </c>
      <c r="AX72" s="738"/>
    </row>
    <row r="73" spans="1:50" ht="22.5" x14ac:dyDescent="0.2">
      <c r="A73" s="721"/>
      <c r="B73" s="1505"/>
      <c r="C73" s="733"/>
      <c r="D73" s="734" t="s">
        <v>525</v>
      </c>
      <c r="E73" s="746" t="s">
        <v>503</v>
      </c>
      <c r="F73" s="746">
        <v>1</v>
      </c>
      <c r="G73" s="747" t="s">
        <v>473</v>
      </c>
      <c r="H73" s="748">
        <v>26435</v>
      </c>
      <c r="I73" s="749">
        <v>0</v>
      </c>
      <c r="J73" s="735"/>
      <c r="K73" s="721"/>
      <c r="L73" s="721"/>
      <c r="M73" s="721"/>
      <c r="N73" s="721"/>
      <c r="O73" s="721"/>
      <c r="P73" s="721"/>
      <c r="Q73" s="721"/>
      <c r="R73" s="721"/>
      <c r="S73" s="750" t="s">
        <v>536</v>
      </c>
      <c r="T73" s="796">
        <f>SUM(T32:T72)</f>
        <v>204.99999999999997</v>
      </c>
      <c r="U73" s="721"/>
      <c r="V73" s="721"/>
      <c r="W73" s="721"/>
      <c r="X73" s="721"/>
      <c r="Y73" s="721"/>
      <c r="Z73" s="721"/>
      <c r="AA73" s="721"/>
      <c r="AB73" s="721"/>
      <c r="AC73" s="797" t="s">
        <v>536</v>
      </c>
      <c r="AD73" s="798">
        <f>SUM(AD32:AD72)</f>
        <v>146.39999999999998</v>
      </c>
      <c r="AE73" s="721"/>
      <c r="AF73" s="1511"/>
      <c r="AG73" s="736"/>
      <c r="AH73" s="737" t="s">
        <v>535</v>
      </c>
      <c r="AI73" s="750" t="s">
        <v>503</v>
      </c>
      <c r="AJ73" s="750">
        <v>1</v>
      </c>
      <c r="AK73" s="751" t="s">
        <v>515</v>
      </c>
      <c r="AL73" s="752">
        <v>124500</v>
      </c>
      <c r="AM73" s="753">
        <f t="shared" si="1"/>
        <v>124500</v>
      </c>
      <c r="AN73" s="738"/>
      <c r="AO73" s="721"/>
      <c r="AP73" s="1511"/>
      <c r="AQ73" s="736"/>
      <c r="AR73" s="737" t="s">
        <v>535</v>
      </c>
      <c r="AS73" s="750" t="s">
        <v>503</v>
      </c>
      <c r="AT73" s="750">
        <v>1</v>
      </c>
      <c r="AU73" s="751" t="s">
        <v>515</v>
      </c>
      <c r="AV73" s="752">
        <v>124500</v>
      </c>
      <c r="AW73" s="753">
        <f t="shared" si="2"/>
        <v>124500</v>
      </c>
      <c r="AX73" s="738"/>
    </row>
    <row r="74" spans="1:50" ht="33.75" x14ac:dyDescent="0.2">
      <c r="A74" s="721"/>
      <c r="B74" s="1505"/>
      <c r="C74" s="733"/>
      <c r="D74" s="734" t="s">
        <v>526</v>
      </c>
      <c r="E74" s="746" t="s">
        <v>503</v>
      </c>
      <c r="F74" s="746">
        <v>1</v>
      </c>
      <c r="G74" s="747" t="s">
        <v>528</v>
      </c>
      <c r="H74" s="748">
        <v>120000</v>
      </c>
      <c r="I74" s="749">
        <v>0</v>
      </c>
      <c r="J74" s="735"/>
      <c r="K74" s="721"/>
      <c r="L74" s="721"/>
      <c r="M74" s="721"/>
      <c r="N74" s="721"/>
      <c r="O74" s="721"/>
      <c r="P74" s="721"/>
      <c r="Q74" s="721"/>
      <c r="R74" s="721"/>
      <c r="S74" s="799">
        <v>37900</v>
      </c>
      <c r="T74" s="800">
        <f>T73*S74</f>
        <v>7769499.9999999991</v>
      </c>
      <c r="U74" s="721"/>
      <c r="V74" s="721"/>
      <c r="W74" s="721"/>
      <c r="X74" s="721"/>
      <c r="Y74" s="721"/>
      <c r="Z74" s="721"/>
      <c r="AA74" s="721"/>
      <c r="AB74" s="721"/>
      <c r="AC74" s="801">
        <v>37900</v>
      </c>
      <c r="AD74" s="802">
        <f>AD73*AC74</f>
        <v>5548559.9999999991</v>
      </c>
      <c r="AE74" s="721"/>
      <c r="AF74" s="1511"/>
      <c r="AG74" s="736"/>
      <c r="AH74" s="737"/>
      <c r="AI74" s="750"/>
      <c r="AJ74" s="750"/>
      <c r="AK74" s="751"/>
      <c r="AL74" s="752"/>
      <c r="AM74" s="753"/>
      <c r="AN74" s="738"/>
      <c r="AO74" s="721"/>
      <c r="AP74" s="1511"/>
      <c r="AQ74" s="736"/>
      <c r="AR74" s="737"/>
      <c r="AS74" s="750"/>
      <c r="AT74" s="750"/>
      <c r="AU74" s="751"/>
      <c r="AV74" s="752"/>
      <c r="AW74" s="753"/>
      <c r="AX74" s="738"/>
    </row>
    <row r="75" spans="1:50" ht="22.5" x14ac:dyDescent="0.2">
      <c r="A75" s="721"/>
      <c r="B75" s="1505"/>
      <c r="C75" s="733"/>
      <c r="D75" s="734" t="s">
        <v>529</v>
      </c>
      <c r="E75" s="746" t="s">
        <v>530</v>
      </c>
      <c r="F75" s="746">
        <v>25</v>
      </c>
      <c r="G75" s="747" t="s">
        <v>466</v>
      </c>
      <c r="H75" s="748">
        <v>85114</v>
      </c>
      <c r="I75" s="749">
        <v>0</v>
      </c>
      <c r="J75" s="735"/>
      <c r="K75" s="721"/>
      <c r="L75" s="721"/>
      <c r="M75" s="721"/>
      <c r="N75" s="721"/>
      <c r="O75" s="721"/>
      <c r="P75" s="721"/>
      <c r="Q75" s="721"/>
      <c r="R75" s="721"/>
      <c r="S75" s="721"/>
      <c r="T75" s="721"/>
      <c r="U75" s="721"/>
      <c r="V75" s="721"/>
      <c r="W75" s="721"/>
      <c r="X75" s="721"/>
      <c r="Y75" s="721"/>
      <c r="Z75" s="721"/>
      <c r="AA75" s="721"/>
      <c r="AB75" s="721"/>
      <c r="AC75" s="721"/>
      <c r="AD75" s="721"/>
      <c r="AE75" s="721"/>
      <c r="AF75" s="721"/>
      <c r="AG75" s="721"/>
      <c r="AH75" s="721"/>
      <c r="AI75" s="721"/>
      <c r="AJ75" s="721"/>
      <c r="AK75" s="721"/>
      <c r="AL75" s="721"/>
      <c r="AM75" s="750" t="s">
        <v>536</v>
      </c>
      <c r="AN75" s="803">
        <f>SUM(AN32:AN74)</f>
        <v>127.8</v>
      </c>
      <c r="AO75" s="721"/>
      <c r="AP75" s="721"/>
      <c r="AQ75" s="721"/>
      <c r="AR75" s="721"/>
      <c r="AS75" s="804"/>
      <c r="AT75" s="721"/>
      <c r="AU75" s="721"/>
      <c r="AV75" s="721"/>
      <c r="AW75" s="750" t="s">
        <v>536</v>
      </c>
      <c r="AX75" s="803">
        <f>SUM(AX32:AX74)</f>
        <v>222.8</v>
      </c>
    </row>
    <row r="76" spans="1:50" ht="33.75" x14ac:dyDescent="0.2">
      <c r="A76" s="721"/>
      <c r="B76" s="1505"/>
      <c r="C76" s="733"/>
      <c r="D76" s="758" t="s">
        <v>537</v>
      </c>
      <c r="E76" s="760" t="s">
        <v>503</v>
      </c>
      <c r="F76" s="760">
        <v>1</v>
      </c>
      <c r="G76" s="761" t="s">
        <v>466</v>
      </c>
      <c r="H76" s="762">
        <v>65000</v>
      </c>
      <c r="I76" s="785">
        <v>0</v>
      </c>
      <c r="J76" s="786"/>
      <c r="K76" s="763"/>
      <c r="L76" s="721"/>
      <c r="M76" s="721"/>
      <c r="N76" s="721"/>
      <c r="O76" s="721"/>
      <c r="P76" s="721"/>
      <c r="Q76" s="721"/>
      <c r="R76" s="721"/>
      <c r="S76" s="721"/>
      <c r="T76" s="721"/>
      <c r="U76" s="721"/>
      <c r="V76" s="721"/>
      <c r="W76" s="721"/>
      <c r="X76" s="721"/>
      <c r="Y76" s="721"/>
      <c r="Z76" s="721"/>
      <c r="AA76" s="721"/>
      <c r="AB76" s="721"/>
      <c r="AC76" s="721"/>
      <c r="AD76" s="721"/>
      <c r="AE76" s="721"/>
      <c r="AF76" s="721"/>
      <c r="AG76" s="721"/>
      <c r="AH76" s="721"/>
      <c r="AI76" s="721"/>
      <c r="AJ76" s="721"/>
      <c r="AK76" s="721"/>
      <c r="AL76" s="721"/>
      <c r="AM76" s="799">
        <f>AC74</f>
        <v>37900</v>
      </c>
      <c r="AN76" s="805">
        <f>AN75*AM76</f>
        <v>4843620</v>
      </c>
      <c r="AO76" s="721"/>
      <c r="AP76" s="721"/>
      <c r="AQ76" s="721"/>
      <c r="AR76" s="721"/>
      <c r="AS76" s="721"/>
      <c r="AT76" s="721"/>
      <c r="AU76" s="721"/>
      <c r="AV76" s="721"/>
      <c r="AW76" s="799">
        <v>37900</v>
      </c>
      <c r="AX76" s="805">
        <f>AW76*AX75</f>
        <v>8444120</v>
      </c>
    </row>
    <row r="77" spans="1:50" ht="22.5" x14ac:dyDescent="0.2">
      <c r="A77" s="721"/>
      <c r="B77" s="1505"/>
      <c r="C77" s="733"/>
      <c r="D77" s="734" t="s">
        <v>533</v>
      </c>
      <c r="E77" s="746" t="s">
        <v>503</v>
      </c>
      <c r="F77" s="746">
        <v>1</v>
      </c>
      <c r="G77" s="747" t="s">
        <v>466</v>
      </c>
      <c r="H77" s="748">
        <v>710450</v>
      </c>
      <c r="I77" s="749">
        <v>0</v>
      </c>
      <c r="J77" s="735"/>
      <c r="K77" s="721"/>
      <c r="L77" s="721"/>
      <c r="M77" s="721"/>
      <c r="N77" s="721"/>
      <c r="O77" s="721"/>
      <c r="P77" s="721"/>
      <c r="Q77" s="721"/>
      <c r="R77" s="721"/>
      <c r="S77" s="721"/>
      <c r="T77" s="721"/>
      <c r="U77" s="721"/>
      <c r="V77" s="721"/>
      <c r="W77" s="721"/>
      <c r="X77" s="721"/>
      <c r="Y77" s="721"/>
      <c r="Z77" s="721"/>
      <c r="AA77" s="721"/>
      <c r="AB77" s="721"/>
      <c r="AC77" s="721"/>
      <c r="AD77" s="721"/>
      <c r="AE77" s="721"/>
      <c r="AF77" s="721"/>
      <c r="AG77" s="721"/>
      <c r="AH77" s="721"/>
      <c r="AI77" s="721"/>
      <c r="AJ77" s="721"/>
      <c r="AK77" s="721"/>
      <c r="AL77" s="721"/>
      <c r="AM77" s="721"/>
      <c r="AN77" s="721"/>
      <c r="AO77" s="721"/>
      <c r="AP77" s="721"/>
      <c r="AQ77" s="721"/>
      <c r="AR77" s="721"/>
      <c r="AS77" s="721"/>
      <c r="AT77" s="721"/>
      <c r="AU77" s="721"/>
      <c r="AV77" s="721"/>
      <c r="AW77" s="721"/>
      <c r="AX77" s="721"/>
    </row>
    <row r="78" spans="1:50" ht="22.5" x14ac:dyDescent="0.2">
      <c r="A78" s="721"/>
      <c r="B78" s="1505"/>
      <c r="C78" s="733"/>
      <c r="D78" s="734" t="s">
        <v>534</v>
      </c>
      <c r="E78" s="746" t="s">
        <v>503</v>
      </c>
      <c r="F78" s="746">
        <v>1</v>
      </c>
      <c r="G78" s="747" t="s">
        <v>466</v>
      </c>
      <c r="H78" s="748">
        <v>458700</v>
      </c>
      <c r="I78" s="749">
        <v>0</v>
      </c>
      <c r="J78" s="735"/>
      <c r="K78" s="721"/>
      <c r="L78" s="721"/>
      <c r="M78" s="721"/>
      <c r="N78" s="721"/>
      <c r="O78" s="721"/>
      <c r="P78" s="721"/>
      <c r="Q78" s="721"/>
      <c r="R78" s="721"/>
      <c r="S78" s="721"/>
      <c r="T78" s="721"/>
      <c r="U78" s="721"/>
      <c r="V78" s="721"/>
      <c r="W78" s="721"/>
      <c r="X78" s="721"/>
      <c r="Y78" s="721"/>
      <c r="Z78" s="721"/>
      <c r="AA78" s="721"/>
      <c r="AB78" s="721"/>
      <c r="AC78" s="721"/>
      <c r="AD78" s="721"/>
      <c r="AE78" s="721"/>
      <c r="AF78" s="721"/>
      <c r="AG78" s="721"/>
      <c r="AH78" s="721"/>
      <c r="AI78" s="721"/>
      <c r="AJ78" s="721"/>
      <c r="AK78" s="721"/>
      <c r="AL78" s="721"/>
      <c r="AM78" s="721"/>
      <c r="AN78" s="721"/>
      <c r="AO78" s="721"/>
      <c r="AP78" s="721"/>
      <c r="AQ78" s="721"/>
      <c r="AR78" s="721"/>
      <c r="AS78" s="721"/>
      <c r="AT78" s="721"/>
      <c r="AU78" s="721"/>
      <c r="AV78" s="721"/>
      <c r="AW78" s="721"/>
      <c r="AX78" s="721"/>
    </row>
    <row r="79" spans="1:50" ht="22.5" x14ac:dyDescent="0.2">
      <c r="A79" s="721"/>
      <c r="B79" s="1505"/>
      <c r="C79" s="733"/>
      <c r="D79" s="734" t="s">
        <v>535</v>
      </c>
      <c r="E79" s="746" t="s">
        <v>503</v>
      </c>
      <c r="F79" s="746">
        <v>1</v>
      </c>
      <c r="G79" s="747" t="s">
        <v>466</v>
      </c>
      <c r="H79" s="748">
        <v>124500</v>
      </c>
      <c r="I79" s="749">
        <v>0</v>
      </c>
      <c r="J79" s="735"/>
      <c r="K79" s="721"/>
      <c r="L79" s="721"/>
      <c r="M79" s="721"/>
      <c r="N79" s="721"/>
      <c r="O79" s="721"/>
      <c r="P79" s="721"/>
      <c r="Q79" s="721"/>
      <c r="R79" s="721"/>
      <c r="S79" s="721"/>
      <c r="T79" s="721"/>
      <c r="U79" s="721"/>
      <c r="V79" s="721"/>
      <c r="W79" s="721"/>
      <c r="X79" s="721"/>
      <c r="Y79" s="721"/>
      <c r="Z79" s="721"/>
      <c r="AA79" s="721"/>
      <c r="AB79" s="721"/>
      <c r="AC79" s="721"/>
      <c r="AD79" s="721"/>
      <c r="AE79" s="721"/>
      <c r="AF79" s="721"/>
      <c r="AG79" s="721"/>
      <c r="AH79" s="721"/>
      <c r="AI79" s="721"/>
      <c r="AJ79" s="721"/>
      <c r="AK79" s="721"/>
      <c r="AL79" s="721"/>
      <c r="AM79" s="721"/>
      <c r="AN79" s="721"/>
      <c r="AO79" s="721"/>
      <c r="AP79" s="721"/>
      <c r="AQ79" s="721"/>
      <c r="AR79" s="721"/>
      <c r="AS79" s="721"/>
      <c r="AT79" s="721"/>
      <c r="AU79" s="721"/>
      <c r="AV79" s="721"/>
      <c r="AW79" s="721"/>
      <c r="AX79" s="721"/>
    </row>
    <row r="80" spans="1:50" ht="33.75" x14ac:dyDescent="0.2">
      <c r="A80" s="721"/>
      <c r="B80" s="1505"/>
      <c r="C80" s="733"/>
      <c r="D80" s="734" t="s">
        <v>538</v>
      </c>
      <c r="E80" s="746" t="s">
        <v>503</v>
      </c>
      <c r="F80" s="746">
        <v>140</v>
      </c>
      <c r="G80" s="747" t="s">
        <v>539</v>
      </c>
      <c r="H80" s="748">
        <v>26642</v>
      </c>
      <c r="I80" s="749">
        <v>0</v>
      </c>
      <c r="J80" s="735"/>
      <c r="K80" s="721"/>
      <c r="L80" s="721"/>
      <c r="M80" s="721"/>
      <c r="N80" s="721"/>
      <c r="O80" s="721"/>
      <c r="P80" s="721"/>
      <c r="Q80" s="721"/>
      <c r="R80" s="721"/>
      <c r="S80" s="721"/>
      <c r="T80" s="721"/>
      <c r="U80" s="721"/>
      <c r="V80" s="721"/>
      <c r="W80" s="721"/>
      <c r="X80" s="721"/>
      <c r="Y80" s="721"/>
      <c r="Z80" s="721"/>
      <c r="AA80" s="721"/>
      <c r="AB80" s="721"/>
      <c r="AC80" s="721"/>
      <c r="AD80" s="806"/>
      <c r="AE80" s="806"/>
      <c r="AF80" s="806"/>
      <c r="AG80" s="807"/>
      <c r="AH80" s="806"/>
      <c r="AI80" s="806"/>
      <c r="AJ80" s="806"/>
      <c r="AK80" s="806"/>
      <c r="AL80" s="808"/>
      <c r="AM80" s="721"/>
      <c r="AN80" s="721"/>
      <c r="AO80" s="721"/>
      <c r="AP80" s="721"/>
      <c r="AQ80" s="721"/>
      <c r="AR80" s="721"/>
      <c r="AS80" s="721"/>
      <c r="AT80" s="721"/>
      <c r="AU80" s="721"/>
      <c r="AV80" s="721"/>
      <c r="AW80" s="721"/>
      <c r="AX80" s="721"/>
    </row>
    <row r="81" spans="1:50" x14ac:dyDescent="0.2">
      <c r="A81" s="721"/>
      <c r="B81" s="1506"/>
      <c r="C81" s="733"/>
      <c r="D81" s="734"/>
      <c r="E81" s="746"/>
      <c r="F81" s="746"/>
      <c r="G81" s="747"/>
      <c r="H81" s="748"/>
      <c r="I81" s="749">
        <v>0</v>
      </c>
      <c r="J81" s="735">
        <f>SUM(J32:J80)</f>
        <v>90.499999999999986</v>
      </c>
      <c r="K81" s="721"/>
      <c r="L81" s="721"/>
      <c r="M81" s="721"/>
      <c r="N81" s="721"/>
      <c r="O81" s="721"/>
      <c r="P81" s="721"/>
      <c r="Q81" s="721"/>
      <c r="R81" s="721"/>
      <c r="S81" s="721"/>
      <c r="T81" s="721"/>
      <c r="U81" s="721"/>
      <c r="V81" s="721"/>
      <c r="W81" s="721"/>
      <c r="X81" s="721"/>
      <c r="Y81" s="721"/>
      <c r="Z81" s="721"/>
      <c r="AA81" s="721"/>
      <c r="AB81" s="721"/>
      <c r="AC81" s="721"/>
      <c r="AD81" s="806"/>
      <c r="AE81" s="809"/>
      <c r="AF81" s="809"/>
      <c r="AG81" s="809"/>
      <c r="AH81" s="809"/>
      <c r="AI81" s="809"/>
      <c r="AJ81" s="809"/>
      <c r="AK81" s="809"/>
      <c r="AL81" s="808"/>
      <c r="AM81" s="721"/>
      <c r="AN81" s="721"/>
      <c r="AO81" s="721"/>
      <c r="AP81" s="721"/>
      <c r="AQ81" s="721"/>
      <c r="AR81" s="721"/>
      <c r="AS81" s="721"/>
      <c r="AT81" s="721"/>
      <c r="AU81" s="721"/>
      <c r="AV81" s="721"/>
      <c r="AW81" s="721"/>
      <c r="AX81" s="721"/>
    </row>
    <row r="82" spans="1:50" x14ac:dyDescent="0.2">
      <c r="A82" s="721"/>
      <c r="B82" s="721"/>
      <c r="C82" s="721"/>
      <c r="D82" s="721"/>
      <c r="E82" s="721"/>
      <c r="F82" s="721"/>
      <c r="G82" s="721"/>
      <c r="H82" s="810">
        <v>37900</v>
      </c>
      <c r="I82" s="811" t="s">
        <v>536</v>
      </c>
      <c r="J82" s="812">
        <f>H82*J81+6000000</f>
        <v>9429950</v>
      </c>
      <c r="K82" s="721"/>
      <c r="L82" s="721"/>
      <c r="M82" s="721"/>
      <c r="N82" s="721"/>
      <c r="O82" s="721"/>
      <c r="P82" s="721"/>
      <c r="Q82" s="721"/>
      <c r="R82" s="721"/>
      <c r="S82" s="721"/>
      <c r="T82" s="721"/>
      <c r="U82" s="721"/>
      <c r="V82" s="721"/>
      <c r="W82" s="721"/>
      <c r="X82" s="721"/>
      <c r="Y82" s="721"/>
      <c r="Z82" s="721"/>
      <c r="AA82" s="721"/>
      <c r="AB82" s="721"/>
      <c r="AC82" s="721"/>
      <c r="AD82" s="806"/>
      <c r="AE82" s="806"/>
      <c r="AF82" s="806"/>
      <c r="AG82" s="806"/>
      <c r="AH82" s="806"/>
      <c r="AI82" s="806"/>
      <c r="AJ82" s="806"/>
      <c r="AK82" s="806"/>
      <c r="AL82" s="808"/>
      <c r="AM82" s="721"/>
      <c r="AN82" s="721"/>
      <c r="AO82" s="721"/>
      <c r="AP82" s="721"/>
      <c r="AQ82" s="721"/>
      <c r="AR82" s="721"/>
      <c r="AS82" s="721"/>
      <c r="AT82" s="721"/>
      <c r="AU82" s="721"/>
      <c r="AV82" s="721"/>
      <c r="AW82" s="721"/>
      <c r="AX82" s="721"/>
    </row>
    <row r="83" spans="1:50" x14ac:dyDescent="0.2">
      <c r="A83" s="721"/>
      <c r="B83" s="721"/>
      <c r="C83" s="721"/>
      <c r="D83" s="721"/>
      <c r="E83" s="721"/>
      <c r="F83" s="721"/>
      <c r="G83" s="721"/>
      <c r="H83" s="721"/>
      <c r="I83" s="721"/>
      <c r="J83" s="721"/>
      <c r="K83" s="721"/>
      <c r="L83" s="813"/>
      <c r="M83" s="814"/>
      <c r="N83" s="814"/>
      <c r="O83" s="814"/>
      <c r="P83" s="814"/>
      <c r="Q83" s="815"/>
      <c r="R83" s="815"/>
      <c r="S83" s="816"/>
      <c r="T83" s="721"/>
      <c r="U83" s="721"/>
      <c r="V83" s="721"/>
      <c r="W83" s="721"/>
      <c r="X83" s="721"/>
      <c r="Y83" s="721"/>
      <c r="Z83" s="721"/>
      <c r="AA83" s="721"/>
      <c r="AB83" s="721"/>
      <c r="AC83" s="721"/>
      <c r="AD83" s="806"/>
      <c r="AE83" s="817"/>
      <c r="AF83" s="817"/>
      <c r="AG83" s="817"/>
      <c r="AH83" s="817"/>
      <c r="AI83" s="817"/>
      <c r="AJ83" s="817"/>
      <c r="AK83" s="817"/>
      <c r="AL83" s="808"/>
      <c r="AM83" s="721"/>
      <c r="AN83" s="721"/>
      <c r="AO83" s="721"/>
      <c r="AP83" s="721"/>
      <c r="AQ83" s="721"/>
      <c r="AR83" s="721"/>
      <c r="AS83" s="721"/>
      <c r="AT83" s="721"/>
      <c r="AU83" s="721"/>
      <c r="AV83" s="721"/>
      <c r="AW83" s="721"/>
      <c r="AX83" s="721"/>
    </row>
    <row r="84" spans="1:50" x14ac:dyDescent="0.2">
      <c r="A84" s="721"/>
      <c r="B84" s="721"/>
      <c r="C84" s="721"/>
      <c r="D84" s="721"/>
      <c r="E84" s="721"/>
      <c r="F84" s="721"/>
      <c r="G84" s="721"/>
      <c r="H84" s="721"/>
      <c r="I84" s="721"/>
      <c r="J84" s="721"/>
      <c r="K84" s="721"/>
      <c r="L84" s="818"/>
      <c r="M84" s="1507"/>
      <c r="N84" s="1507"/>
      <c r="O84" s="1507"/>
      <c r="P84" s="1507"/>
      <c r="Q84" s="1508"/>
      <c r="R84" s="1508"/>
      <c r="S84" s="1508"/>
      <c r="T84" s="721"/>
      <c r="U84" s="721"/>
      <c r="V84" s="721"/>
      <c r="W84" s="721"/>
      <c r="X84" s="721"/>
      <c r="Y84" s="721"/>
      <c r="Z84" s="721"/>
      <c r="AA84" s="721"/>
      <c r="AB84" s="721"/>
      <c r="AC84" s="721"/>
      <c r="AD84" s="808"/>
      <c r="AE84" s="817"/>
      <c r="AF84" s="817"/>
      <c r="AG84" s="817"/>
      <c r="AH84" s="819"/>
      <c r="AI84" s="817"/>
      <c r="AJ84" s="817"/>
      <c r="AK84" s="817"/>
      <c r="AL84" s="819"/>
      <c r="AM84" s="721"/>
      <c r="AN84" s="721"/>
      <c r="AO84" s="721"/>
      <c r="AP84" s="721"/>
      <c r="AQ84" s="721"/>
      <c r="AR84" s="721"/>
      <c r="AS84" s="721"/>
      <c r="AT84" s="721"/>
      <c r="AU84" s="721"/>
      <c r="AV84" s="721"/>
      <c r="AW84" s="721"/>
      <c r="AX84" s="721"/>
    </row>
    <row r="85" spans="1:50" x14ac:dyDescent="0.2">
      <c r="A85" s="721"/>
      <c r="B85" s="721"/>
      <c r="C85" s="721"/>
      <c r="D85" s="721"/>
      <c r="E85" s="721"/>
      <c r="F85" s="721"/>
      <c r="G85" s="721"/>
      <c r="H85" s="721"/>
      <c r="I85" s="721"/>
      <c r="J85" s="721"/>
      <c r="K85" s="721"/>
      <c r="L85" s="721"/>
      <c r="M85" s="721"/>
      <c r="N85" s="721"/>
      <c r="O85" s="721"/>
      <c r="P85" s="721"/>
      <c r="Q85" s="721"/>
      <c r="R85" s="721"/>
      <c r="S85" s="721"/>
      <c r="T85" s="721"/>
      <c r="U85" s="721"/>
      <c r="V85" s="721"/>
      <c r="W85" s="721"/>
      <c r="X85" s="721"/>
      <c r="Y85" s="721"/>
      <c r="Z85" s="721"/>
      <c r="AA85" s="721"/>
      <c r="AB85" s="721"/>
      <c r="AC85" s="721"/>
      <c r="AD85" s="721"/>
      <c r="AE85" s="721"/>
      <c r="AF85" s="721"/>
      <c r="AG85" s="721"/>
      <c r="AH85" s="721"/>
      <c r="AI85" s="721"/>
      <c r="AJ85" s="721"/>
      <c r="AK85" s="721"/>
      <c r="AL85" s="721"/>
      <c r="AM85" s="721"/>
      <c r="AN85" s="721"/>
      <c r="AO85" s="721"/>
      <c r="AP85" s="721"/>
      <c r="AQ85" s="721"/>
      <c r="AR85" s="721"/>
      <c r="AS85" s="721"/>
      <c r="AT85" s="721"/>
      <c r="AU85" s="721"/>
      <c r="AV85" s="721"/>
      <c r="AW85" s="721"/>
      <c r="AX85" s="721"/>
    </row>
    <row r="86" spans="1:50" x14ac:dyDescent="0.2">
      <c r="A86" s="1509" t="s">
        <v>540</v>
      </c>
      <c r="B86" s="1509"/>
      <c r="C86" s="1509"/>
      <c r="D86"/>
      <c r="E86"/>
      <c r="F86"/>
      <c r="G86"/>
      <c r="I86" s="1498" t="s">
        <v>540</v>
      </c>
      <c r="J86" s="1498"/>
      <c r="K86" s="1498"/>
      <c r="L86"/>
      <c r="M86"/>
      <c r="N86"/>
      <c r="O86"/>
      <c r="Q86" s="1498" t="s">
        <v>540</v>
      </c>
      <c r="R86" s="1498"/>
      <c r="S86" s="1498"/>
      <c r="T86"/>
      <c r="U86"/>
      <c r="V86"/>
      <c r="W86"/>
      <c r="Y86" s="1498" t="s">
        <v>540</v>
      </c>
      <c r="Z86" s="1498"/>
      <c r="AA86" s="1498"/>
      <c r="AB86"/>
      <c r="AC86"/>
      <c r="AD86"/>
      <c r="AE86"/>
      <c r="AG86" s="1498" t="s">
        <v>540</v>
      </c>
      <c r="AH86" s="1498"/>
      <c r="AI86" s="1498"/>
      <c r="AJ86"/>
      <c r="AK86"/>
      <c r="AL86"/>
      <c r="AM86"/>
      <c r="AP86" s="721"/>
      <c r="AQ86" s="721"/>
      <c r="AR86" s="721"/>
      <c r="AS86" s="721"/>
      <c r="AT86" s="721"/>
      <c r="AU86" s="721"/>
      <c r="AV86" s="721"/>
      <c r="AW86" s="721"/>
      <c r="AX86" s="721"/>
    </row>
    <row r="87" spans="1:50" x14ac:dyDescent="0.2">
      <c r="A87" s="1499" t="s">
        <v>541</v>
      </c>
      <c r="B87" s="1499"/>
      <c r="C87" s="820"/>
      <c r="D87"/>
      <c r="E87"/>
      <c r="F87"/>
      <c r="G87"/>
      <c r="I87" s="1500" t="s">
        <v>434</v>
      </c>
      <c r="J87" s="1500"/>
      <c r="K87" s="821"/>
      <c r="L87"/>
      <c r="M87"/>
      <c r="N87"/>
      <c r="O87"/>
      <c r="Q87" s="1500" t="s">
        <v>344</v>
      </c>
      <c r="R87" s="1500"/>
      <c r="S87" s="821"/>
      <c r="T87"/>
      <c r="U87"/>
      <c r="V87"/>
      <c r="W87"/>
      <c r="Y87" s="1500" t="s">
        <v>542</v>
      </c>
      <c r="Z87" s="1500"/>
      <c r="AA87" s="821"/>
      <c r="AB87"/>
      <c r="AC87"/>
      <c r="AD87"/>
      <c r="AE87"/>
      <c r="AG87" s="1500" t="s">
        <v>543</v>
      </c>
      <c r="AH87" s="1500"/>
      <c r="AI87" s="821"/>
      <c r="AJ87"/>
      <c r="AK87"/>
      <c r="AL87"/>
      <c r="AM87"/>
      <c r="AP87" s="721"/>
      <c r="AQ87" s="721"/>
      <c r="AR87" s="721"/>
      <c r="AS87" s="721"/>
      <c r="AT87" s="721"/>
      <c r="AU87" s="721"/>
      <c r="AV87" s="721"/>
      <c r="AW87" s="721"/>
      <c r="AX87" s="721"/>
    </row>
    <row r="88" spans="1:50" x14ac:dyDescent="0.2">
      <c r="A88" s="822"/>
      <c r="B88" s="822"/>
      <c r="C88" s="822"/>
      <c r="D88" s="822"/>
      <c r="E88" s="822"/>
      <c r="F88" s="822"/>
      <c r="G88" s="822"/>
      <c r="H88" s="721"/>
      <c r="I88" s="822"/>
      <c r="J88" s="822"/>
      <c r="K88" s="822"/>
      <c r="L88" s="822"/>
      <c r="M88" s="822"/>
      <c r="N88" s="822"/>
      <c r="O88" s="822"/>
      <c r="P88" s="721"/>
      <c r="Q88" s="822"/>
      <c r="R88" s="822"/>
      <c r="S88" s="822"/>
      <c r="T88" s="822"/>
      <c r="U88" s="822"/>
      <c r="V88" s="822"/>
      <c r="W88" s="822"/>
      <c r="X88" s="721"/>
      <c r="Y88" s="822"/>
      <c r="Z88" s="822"/>
      <c r="AA88" s="822"/>
      <c r="AB88" s="822"/>
      <c r="AC88" s="822"/>
      <c r="AD88" s="822"/>
      <c r="AE88" s="822"/>
      <c r="AF88" s="721"/>
      <c r="AG88" s="823"/>
      <c r="AH88" s="824"/>
      <c r="AI88" s="822"/>
      <c r="AJ88" s="822"/>
      <c r="AK88" s="822"/>
      <c r="AL88" s="822"/>
      <c r="AM88" s="822"/>
      <c r="AN88" s="721"/>
      <c r="AO88" s="721"/>
      <c r="AP88" s="721"/>
      <c r="AQ88" s="721"/>
      <c r="AR88" s="721"/>
      <c r="AS88" s="721"/>
      <c r="AT88" s="721"/>
      <c r="AU88" s="721"/>
      <c r="AV88" s="721"/>
      <c r="AW88" s="721"/>
      <c r="AX88" s="721"/>
    </row>
    <row r="89" spans="1:50" x14ac:dyDescent="0.2">
      <c r="A89" s="822"/>
      <c r="B89" s="822"/>
      <c r="C89" s="822"/>
      <c r="D89" s="822"/>
      <c r="E89" s="822"/>
      <c r="F89" s="822"/>
      <c r="G89" s="822"/>
      <c r="H89" s="721"/>
      <c r="I89" s="822"/>
      <c r="J89" s="822"/>
      <c r="K89" s="822"/>
      <c r="L89" s="822"/>
      <c r="M89" s="822"/>
      <c r="N89" s="822"/>
      <c r="O89" s="822"/>
      <c r="P89" s="721"/>
      <c r="Q89" s="822"/>
      <c r="R89" s="822"/>
      <c r="S89" s="822"/>
      <c r="T89" s="822"/>
      <c r="U89" s="822"/>
      <c r="V89" s="822"/>
      <c r="W89" s="822"/>
      <c r="X89" s="721"/>
      <c r="Y89" s="822"/>
      <c r="Z89" s="822"/>
      <c r="AA89" s="822"/>
      <c r="AB89" s="822"/>
      <c r="AC89" s="822"/>
      <c r="AD89" s="822"/>
      <c r="AE89" s="822"/>
      <c r="AF89" s="721"/>
      <c r="AG89" s="822"/>
      <c r="AH89" s="822"/>
      <c r="AI89" s="822"/>
      <c r="AJ89" s="822"/>
      <c r="AK89" s="822"/>
      <c r="AL89" s="822"/>
      <c r="AM89" s="822"/>
      <c r="AN89" s="721"/>
      <c r="AO89" s="721"/>
      <c r="AP89" s="721"/>
      <c r="AQ89" s="721"/>
      <c r="AR89" s="721"/>
      <c r="AS89" s="721"/>
      <c r="AT89" s="721"/>
      <c r="AU89" s="721"/>
      <c r="AV89" s="721"/>
      <c r="AW89" s="721"/>
      <c r="AX89" s="721"/>
    </row>
    <row r="90" spans="1:50" ht="13.5" thickBot="1" x14ac:dyDescent="0.25">
      <c r="A90" s="825" t="s">
        <v>544</v>
      </c>
      <c r="B90" s="825" t="s">
        <v>545</v>
      </c>
      <c r="C90" s="825" t="s">
        <v>546</v>
      </c>
      <c r="D90" s="825" t="s">
        <v>438</v>
      </c>
      <c r="E90" s="825" t="s">
        <v>439</v>
      </c>
      <c r="F90" s="825" t="s">
        <v>547</v>
      </c>
      <c r="G90" s="826">
        <v>2024</v>
      </c>
      <c r="H90" s="721"/>
      <c r="I90" s="827" t="s">
        <v>544</v>
      </c>
      <c r="J90" s="827" t="s">
        <v>545</v>
      </c>
      <c r="K90" s="827" t="s">
        <v>546</v>
      </c>
      <c r="L90" s="827" t="s">
        <v>438</v>
      </c>
      <c r="M90" s="827" t="s">
        <v>439</v>
      </c>
      <c r="N90" s="827" t="s">
        <v>547</v>
      </c>
      <c r="O90" s="828">
        <v>2024</v>
      </c>
      <c r="P90" s="721"/>
      <c r="Q90" s="827" t="s">
        <v>544</v>
      </c>
      <c r="R90" s="827" t="s">
        <v>545</v>
      </c>
      <c r="S90" s="827" t="s">
        <v>546</v>
      </c>
      <c r="T90" s="827" t="s">
        <v>438</v>
      </c>
      <c r="U90" s="827" t="s">
        <v>439</v>
      </c>
      <c r="V90" s="827" t="s">
        <v>547</v>
      </c>
      <c r="W90" s="828">
        <v>2024</v>
      </c>
      <c r="X90" s="721"/>
      <c r="Y90" s="827" t="s">
        <v>544</v>
      </c>
      <c r="Z90" s="827" t="s">
        <v>545</v>
      </c>
      <c r="AA90" s="827" t="s">
        <v>546</v>
      </c>
      <c r="AB90" s="827" t="s">
        <v>438</v>
      </c>
      <c r="AC90" s="827" t="s">
        <v>439</v>
      </c>
      <c r="AD90" s="827" t="s">
        <v>547</v>
      </c>
      <c r="AE90" s="828">
        <v>2024</v>
      </c>
      <c r="AF90" s="721"/>
      <c r="AG90" s="827" t="s">
        <v>544</v>
      </c>
      <c r="AH90" s="827" t="s">
        <v>545</v>
      </c>
      <c r="AI90" s="827" t="s">
        <v>546</v>
      </c>
      <c r="AJ90" s="827" t="s">
        <v>438</v>
      </c>
      <c r="AK90" s="827" t="s">
        <v>439</v>
      </c>
      <c r="AL90" s="827" t="s">
        <v>547</v>
      </c>
      <c r="AM90" s="828">
        <v>2024</v>
      </c>
      <c r="AN90" s="721"/>
      <c r="AO90" s="721"/>
      <c r="AP90" s="721"/>
      <c r="AQ90" s="721"/>
      <c r="AR90" s="721"/>
      <c r="AS90" s="721"/>
      <c r="AT90" s="721"/>
      <c r="AU90" s="721"/>
      <c r="AV90" s="721"/>
      <c r="AW90" s="721"/>
      <c r="AX90" s="721"/>
    </row>
    <row r="91" spans="1:50" ht="135.75" thickBot="1" x14ac:dyDescent="0.25">
      <c r="A91" s="1482" t="s">
        <v>548</v>
      </c>
      <c r="B91" s="829" t="s">
        <v>549</v>
      </c>
      <c r="C91" s="830" t="s">
        <v>550</v>
      </c>
      <c r="D91" s="831" t="s">
        <v>551</v>
      </c>
      <c r="E91" s="831">
        <v>0</v>
      </c>
      <c r="F91" s="832">
        <v>1499990</v>
      </c>
      <c r="G91" s="833">
        <f t="shared" ref="G91:G154" si="4">E91*F91</f>
        <v>0</v>
      </c>
      <c r="H91" s="721"/>
      <c r="I91" s="1483" t="s">
        <v>548</v>
      </c>
      <c r="J91" s="834" t="s">
        <v>549</v>
      </c>
      <c r="K91" s="835" t="s">
        <v>552</v>
      </c>
      <c r="L91" s="835" t="s">
        <v>551</v>
      </c>
      <c r="M91" s="835">
        <v>1</v>
      </c>
      <c r="N91" s="836">
        <v>1546328</v>
      </c>
      <c r="O91" s="837">
        <f t="shared" ref="O91:O120" si="5">M91*N91</f>
        <v>1546328</v>
      </c>
      <c r="P91" s="721"/>
      <c r="Q91" s="1486" t="s">
        <v>548</v>
      </c>
      <c r="R91" s="829" t="s">
        <v>549</v>
      </c>
      <c r="S91" s="831"/>
      <c r="T91" s="831" t="s">
        <v>551</v>
      </c>
      <c r="U91" s="831">
        <v>0</v>
      </c>
      <c r="V91" s="838">
        <f>1400000*1.06</f>
        <v>1484000</v>
      </c>
      <c r="W91" s="839">
        <f t="shared" ref="W91:W154" si="6">U91*V91</f>
        <v>0</v>
      </c>
      <c r="X91" s="721"/>
      <c r="Y91" s="1486" t="s">
        <v>548</v>
      </c>
      <c r="Z91" s="829" t="s">
        <v>549</v>
      </c>
      <c r="AA91" s="831"/>
      <c r="AB91" s="831" t="s">
        <v>551</v>
      </c>
      <c r="AC91" s="831">
        <v>0</v>
      </c>
      <c r="AD91" s="838">
        <f>1400000*1.06</f>
        <v>1484000</v>
      </c>
      <c r="AE91" s="839">
        <f t="shared" ref="AE91:AE154" si="7">AC91*AD91</f>
        <v>0</v>
      </c>
      <c r="AF91" s="721"/>
      <c r="AG91" s="1486" t="s">
        <v>548</v>
      </c>
      <c r="AH91" s="829" t="s">
        <v>549</v>
      </c>
      <c r="AI91" s="831" t="s">
        <v>553</v>
      </c>
      <c r="AJ91" s="831" t="s">
        <v>551</v>
      </c>
      <c r="AK91" s="831">
        <v>1</v>
      </c>
      <c r="AL91" s="838">
        <f>1400000*1.06</f>
        <v>1484000</v>
      </c>
      <c r="AM91" s="839">
        <f t="shared" ref="AM91:AM154" si="8">AK91*AL91</f>
        <v>1484000</v>
      </c>
      <c r="AN91" s="721"/>
      <c r="AO91" s="721"/>
      <c r="AP91" s="721"/>
      <c r="AQ91" s="721"/>
      <c r="AR91" s="721"/>
      <c r="AS91" s="721"/>
      <c r="AT91" s="721"/>
      <c r="AU91" s="721"/>
      <c r="AV91" s="721"/>
      <c r="AW91" s="721"/>
      <c r="AX91" s="721"/>
    </row>
    <row r="92" spans="1:50" ht="90.75" thickBot="1" x14ac:dyDescent="0.25">
      <c r="A92" s="1482"/>
      <c r="B92" s="834" t="s">
        <v>554</v>
      </c>
      <c r="C92" s="840" t="s">
        <v>555</v>
      </c>
      <c r="D92" s="835" t="s">
        <v>551</v>
      </c>
      <c r="E92" s="835">
        <v>0</v>
      </c>
      <c r="F92" s="841">
        <v>649990</v>
      </c>
      <c r="G92" s="833">
        <f t="shared" si="4"/>
        <v>0</v>
      </c>
      <c r="H92" s="721"/>
      <c r="I92" s="1484"/>
      <c r="J92" s="834" t="s">
        <v>554</v>
      </c>
      <c r="K92" s="835" t="s">
        <v>552</v>
      </c>
      <c r="L92" s="835" t="s">
        <v>551</v>
      </c>
      <c r="M92" s="835">
        <v>0</v>
      </c>
      <c r="N92" s="836">
        <v>800000</v>
      </c>
      <c r="O92" s="837">
        <f t="shared" si="5"/>
        <v>0</v>
      </c>
      <c r="P92" s="721"/>
      <c r="Q92" s="1487"/>
      <c r="R92" s="834" t="s">
        <v>554</v>
      </c>
      <c r="S92" s="835"/>
      <c r="T92" s="835" t="s">
        <v>551</v>
      </c>
      <c r="U92" s="835">
        <v>0</v>
      </c>
      <c r="V92" s="836">
        <v>800000</v>
      </c>
      <c r="W92" s="839">
        <f t="shared" si="6"/>
        <v>0</v>
      </c>
      <c r="X92" s="721"/>
      <c r="Y92" s="1487"/>
      <c r="Z92" s="834" t="s">
        <v>556</v>
      </c>
      <c r="AA92" s="835"/>
      <c r="AB92" s="835" t="s">
        <v>551</v>
      </c>
      <c r="AC92" s="835">
        <v>0</v>
      </c>
      <c r="AD92" s="836">
        <v>800000</v>
      </c>
      <c r="AE92" s="839">
        <f t="shared" si="7"/>
        <v>0</v>
      </c>
      <c r="AF92" s="721"/>
      <c r="AG92" s="1487"/>
      <c r="AH92" s="834" t="s">
        <v>554</v>
      </c>
      <c r="AI92" s="835"/>
      <c r="AJ92" s="835" t="s">
        <v>551</v>
      </c>
      <c r="AK92" s="835">
        <v>0</v>
      </c>
      <c r="AL92" s="836">
        <f>800000*1.042</f>
        <v>833600</v>
      </c>
      <c r="AM92" s="839">
        <f t="shared" si="8"/>
        <v>0</v>
      </c>
      <c r="AN92" s="721"/>
      <c r="AO92" s="721"/>
      <c r="AP92" s="721"/>
      <c r="AQ92" s="721"/>
      <c r="AR92" s="721"/>
      <c r="AS92" s="721"/>
      <c r="AT92" s="721"/>
      <c r="AU92" s="721"/>
      <c r="AV92" s="721"/>
      <c r="AW92" s="721"/>
      <c r="AX92" s="721"/>
    </row>
    <row r="93" spans="1:50" ht="57" thickBot="1" x14ac:dyDescent="0.25">
      <c r="A93" s="1482"/>
      <c r="B93" s="834" t="s">
        <v>557</v>
      </c>
      <c r="C93" s="830" t="s">
        <v>558</v>
      </c>
      <c r="D93" s="835" t="s">
        <v>551</v>
      </c>
      <c r="E93" s="835">
        <v>0</v>
      </c>
      <c r="F93" s="841">
        <v>526290</v>
      </c>
      <c r="G93" s="833">
        <f t="shared" si="4"/>
        <v>0</v>
      </c>
      <c r="H93" s="721"/>
      <c r="I93" s="1484"/>
      <c r="J93" s="834" t="s">
        <v>557</v>
      </c>
      <c r="K93" s="835" t="s">
        <v>552</v>
      </c>
      <c r="L93" s="835" t="s">
        <v>551</v>
      </c>
      <c r="M93" s="835">
        <v>0</v>
      </c>
      <c r="N93" s="836">
        <v>400000</v>
      </c>
      <c r="O93" s="837">
        <f t="shared" si="5"/>
        <v>0</v>
      </c>
      <c r="P93" s="721"/>
      <c r="Q93" s="1487"/>
      <c r="R93" s="834" t="s">
        <v>557</v>
      </c>
      <c r="S93" s="835"/>
      <c r="T93" s="835" t="s">
        <v>551</v>
      </c>
      <c r="U93" s="835">
        <v>1</v>
      </c>
      <c r="V93" s="836">
        <v>400000</v>
      </c>
      <c r="W93" s="839">
        <f t="shared" si="6"/>
        <v>400000</v>
      </c>
      <c r="X93" s="721"/>
      <c r="Y93" s="1487"/>
      <c r="Z93" s="834" t="s">
        <v>559</v>
      </c>
      <c r="AA93" s="835" t="s">
        <v>560</v>
      </c>
      <c r="AB93" s="835" t="s">
        <v>551</v>
      </c>
      <c r="AC93" s="835">
        <v>0</v>
      </c>
      <c r="AD93" s="836">
        <v>400000</v>
      </c>
      <c r="AE93" s="839">
        <f t="shared" si="7"/>
        <v>0</v>
      </c>
      <c r="AF93" s="721"/>
      <c r="AG93" s="1487"/>
      <c r="AH93" s="834" t="s">
        <v>557</v>
      </c>
      <c r="AI93" s="835" t="s">
        <v>561</v>
      </c>
      <c r="AJ93" s="835" t="s">
        <v>551</v>
      </c>
      <c r="AK93" s="835">
        <v>0</v>
      </c>
      <c r="AL93" s="836">
        <f>490000*1.042</f>
        <v>510580</v>
      </c>
      <c r="AM93" s="839">
        <f t="shared" si="8"/>
        <v>0</v>
      </c>
      <c r="AN93" s="721"/>
      <c r="AO93" s="721"/>
      <c r="AP93" s="721"/>
      <c r="AQ93" s="721"/>
      <c r="AR93" s="721"/>
      <c r="AS93" s="721"/>
      <c r="AT93" s="721"/>
      <c r="AU93" s="721"/>
      <c r="AV93" s="721"/>
      <c r="AW93" s="721"/>
      <c r="AX93" s="721"/>
    </row>
    <row r="94" spans="1:50" ht="34.5" thickBot="1" x14ac:dyDescent="0.25">
      <c r="A94" s="1482"/>
      <c r="B94" s="842" t="s">
        <v>562</v>
      </c>
      <c r="C94" s="843" t="s">
        <v>563</v>
      </c>
      <c r="D94" s="835" t="s">
        <v>551</v>
      </c>
      <c r="E94" s="835">
        <v>0</v>
      </c>
      <c r="F94" s="841">
        <v>29900</v>
      </c>
      <c r="G94" s="833">
        <f t="shared" si="4"/>
        <v>0</v>
      </c>
      <c r="H94" s="721"/>
      <c r="I94" s="1484"/>
      <c r="J94" s="834" t="s">
        <v>564</v>
      </c>
      <c r="K94" s="835" t="s">
        <v>552</v>
      </c>
      <c r="L94" s="835" t="s">
        <v>551</v>
      </c>
      <c r="M94" s="835">
        <v>0</v>
      </c>
      <c r="N94" s="836">
        <v>45000</v>
      </c>
      <c r="O94" s="837">
        <f t="shared" si="5"/>
        <v>0</v>
      </c>
      <c r="P94" s="721"/>
      <c r="Q94" s="1487"/>
      <c r="R94" s="834" t="s">
        <v>565</v>
      </c>
      <c r="S94" s="835"/>
      <c r="T94" s="835" t="s">
        <v>551</v>
      </c>
      <c r="U94" s="835">
        <v>0</v>
      </c>
      <c r="V94" s="836">
        <v>35000</v>
      </c>
      <c r="W94" s="839">
        <f t="shared" si="6"/>
        <v>0</v>
      </c>
      <c r="X94" s="721"/>
      <c r="Y94" s="1487"/>
      <c r="Z94" s="834" t="s">
        <v>566</v>
      </c>
      <c r="AA94" s="835" t="s">
        <v>567</v>
      </c>
      <c r="AB94" s="835" t="s">
        <v>551</v>
      </c>
      <c r="AC94" s="835">
        <v>0</v>
      </c>
      <c r="AD94" s="836">
        <v>35000</v>
      </c>
      <c r="AE94" s="839">
        <f t="shared" si="7"/>
        <v>0</v>
      </c>
      <c r="AF94" s="721"/>
      <c r="AG94" s="1487"/>
      <c r="AH94" s="834" t="s">
        <v>564</v>
      </c>
      <c r="AI94" s="835" t="s">
        <v>568</v>
      </c>
      <c r="AJ94" s="835" t="s">
        <v>551</v>
      </c>
      <c r="AK94" s="835">
        <v>0</v>
      </c>
      <c r="AL94" s="836">
        <v>79900</v>
      </c>
      <c r="AM94" s="839">
        <f t="shared" si="8"/>
        <v>0</v>
      </c>
      <c r="AN94" s="721"/>
      <c r="AO94" s="721"/>
      <c r="AP94" s="721"/>
      <c r="AQ94" s="721"/>
      <c r="AR94" s="721"/>
      <c r="AS94" s="721"/>
      <c r="AT94" s="721"/>
      <c r="AU94" s="721"/>
      <c r="AV94" s="721"/>
      <c r="AW94" s="721"/>
      <c r="AX94" s="721"/>
    </row>
    <row r="95" spans="1:50" ht="23.25" thickBot="1" x14ac:dyDescent="0.25">
      <c r="A95" s="1482"/>
      <c r="B95" s="842" t="s">
        <v>564</v>
      </c>
      <c r="C95" s="843" t="s">
        <v>569</v>
      </c>
      <c r="D95" s="835" t="s">
        <v>551</v>
      </c>
      <c r="E95" s="835">
        <v>0</v>
      </c>
      <c r="F95" s="841">
        <v>169900</v>
      </c>
      <c r="G95" s="833">
        <f t="shared" si="4"/>
        <v>0</v>
      </c>
      <c r="H95" s="721"/>
      <c r="I95" s="1484"/>
      <c r="J95" s="834" t="s">
        <v>570</v>
      </c>
      <c r="K95" s="835" t="s">
        <v>552</v>
      </c>
      <c r="L95" s="835" t="s">
        <v>551</v>
      </c>
      <c r="M95" s="835">
        <v>0</v>
      </c>
      <c r="N95" s="836">
        <v>60000</v>
      </c>
      <c r="O95" s="837">
        <f t="shared" si="5"/>
        <v>0</v>
      </c>
      <c r="P95" s="721"/>
      <c r="Q95" s="1487"/>
      <c r="R95" s="834" t="s">
        <v>570</v>
      </c>
      <c r="S95" s="835"/>
      <c r="T95" s="835" t="s">
        <v>551</v>
      </c>
      <c r="U95" s="835">
        <v>0</v>
      </c>
      <c r="V95" s="836">
        <v>60000</v>
      </c>
      <c r="W95" s="839">
        <f t="shared" si="6"/>
        <v>0</v>
      </c>
      <c r="X95" s="721"/>
      <c r="Y95" s="1487"/>
      <c r="Z95" s="834" t="s">
        <v>571</v>
      </c>
      <c r="AA95" s="835" t="s">
        <v>572</v>
      </c>
      <c r="AB95" s="835" t="s">
        <v>551</v>
      </c>
      <c r="AC95" s="835">
        <v>0</v>
      </c>
      <c r="AD95" s="836">
        <v>60000</v>
      </c>
      <c r="AE95" s="839">
        <f t="shared" si="7"/>
        <v>0</v>
      </c>
      <c r="AF95" s="721"/>
      <c r="AG95" s="1487"/>
      <c r="AH95" s="834" t="s">
        <v>570</v>
      </c>
      <c r="AI95" s="835" t="s">
        <v>573</v>
      </c>
      <c r="AJ95" s="835" t="s">
        <v>551</v>
      </c>
      <c r="AK95" s="835">
        <v>0</v>
      </c>
      <c r="AL95" s="836">
        <v>110000</v>
      </c>
      <c r="AM95" s="839">
        <f t="shared" si="8"/>
        <v>0</v>
      </c>
      <c r="AN95" s="721"/>
      <c r="AO95" s="721"/>
      <c r="AP95" s="721"/>
      <c r="AQ95" s="721"/>
      <c r="AR95" s="721"/>
      <c r="AS95" s="721"/>
      <c r="AT95" s="721"/>
      <c r="AU95" s="721"/>
      <c r="AV95" s="721"/>
      <c r="AW95" s="721"/>
      <c r="AX95" s="721"/>
    </row>
    <row r="96" spans="1:50" ht="45.75" thickBot="1" x14ac:dyDescent="0.25">
      <c r="A96" s="1482"/>
      <c r="B96" s="834" t="s">
        <v>570</v>
      </c>
      <c r="C96" s="840" t="s">
        <v>574</v>
      </c>
      <c r="D96" s="835" t="s">
        <v>551</v>
      </c>
      <c r="E96" s="835">
        <v>0</v>
      </c>
      <c r="F96" s="841">
        <v>84190</v>
      </c>
      <c r="G96" s="833">
        <f t="shared" si="4"/>
        <v>0</v>
      </c>
      <c r="H96" s="721"/>
      <c r="I96" s="1485"/>
      <c r="J96" s="834" t="s">
        <v>575</v>
      </c>
      <c r="K96" s="835" t="s">
        <v>552</v>
      </c>
      <c r="L96" s="835" t="s">
        <v>551</v>
      </c>
      <c r="M96" s="835">
        <v>0</v>
      </c>
      <c r="N96" s="836">
        <v>200000</v>
      </c>
      <c r="O96" s="837">
        <f t="shared" si="5"/>
        <v>0</v>
      </c>
      <c r="P96" s="721"/>
      <c r="Q96" s="1488"/>
      <c r="R96" s="844" t="s">
        <v>576</v>
      </c>
      <c r="S96" s="845" t="s">
        <v>577</v>
      </c>
      <c r="T96" s="835" t="s">
        <v>551</v>
      </c>
      <c r="U96" s="845">
        <v>0</v>
      </c>
      <c r="V96" s="846">
        <f>149170*1.06</f>
        <v>158120.20000000001</v>
      </c>
      <c r="W96" s="839">
        <f t="shared" si="6"/>
        <v>0</v>
      </c>
      <c r="X96" s="721"/>
      <c r="Y96" s="1488"/>
      <c r="Z96" s="844" t="s">
        <v>576</v>
      </c>
      <c r="AA96" s="845" t="s">
        <v>577</v>
      </c>
      <c r="AB96" s="835" t="s">
        <v>551</v>
      </c>
      <c r="AC96" s="845">
        <v>0</v>
      </c>
      <c r="AD96" s="846">
        <f>149170*1.06</f>
        <v>158120.20000000001</v>
      </c>
      <c r="AE96" s="839">
        <f t="shared" si="7"/>
        <v>0</v>
      </c>
      <c r="AF96" s="721"/>
      <c r="AG96" s="1488"/>
      <c r="AH96" s="844" t="s">
        <v>576</v>
      </c>
      <c r="AI96" s="845" t="s">
        <v>577</v>
      </c>
      <c r="AJ96" s="835" t="s">
        <v>551</v>
      </c>
      <c r="AK96" s="845">
        <v>0</v>
      </c>
      <c r="AL96" s="846">
        <f>149170*1.06*1.042</f>
        <v>164761.24840000001</v>
      </c>
      <c r="AM96" s="839">
        <f t="shared" si="8"/>
        <v>0</v>
      </c>
      <c r="AN96" s="721"/>
      <c r="AO96" s="721"/>
      <c r="AP96" s="721"/>
      <c r="AQ96" s="721"/>
      <c r="AR96" s="721"/>
      <c r="AS96" s="721"/>
      <c r="AT96" s="721"/>
      <c r="AU96" s="721"/>
      <c r="AV96" s="721"/>
      <c r="AW96" s="721"/>
      <c r="AX96" s="721"/>
    </row>
    <row r="97" spans="1:50" ht="34.5" thickBot="1" x14ac:dyDescent="0.25">
      <c r="A97" s="1482"/>
      <c r="B97" s="844" t="s">
        <v>576</v>
      </c>
      <c r="C97" s="830" t="s">
        <v>577</v>
      </c>
      <c r="D97" s="835" t="s">
        <v>551</v>
      </c>
      <c r="E97" s="845">
        <v>0</v>
      </c>
      <c r="F97" s="847">
        <f>149170*1.06</f>
        <v>158120.20000000001</v>
      </c>
      <c r="G97" s="833">
        <f t="shared" si="4"/>
        <v>0</v>
      </c>
      <c r="H97" s="721"/>
      <c r="I97" s="1485"/>
      <c r="J97" s="834" t="s">
        <v>578</v>
      </c>
      <c r="K97" s="835" t="s">
        <v>552</v>
      </c>
      <c r="L97" s="835" t="s">
        <v>551</v>
      </c>
      <c r="M97" s="835">
        <v>6</v>
      </c>
      <c r="N97" s="836">
        <f>50000*1.06</f>
        <v>53000</v>
      </c>
      <c r="O97" s="837">
        <f t="shared" si="5"/>
        <v>318000</v>
      </c>
      <c r="P97" s="721"/>
      <c r="Q97" s="1488"/>
      <c r="R97" s="844" t="s">
        <v>578</v>
      </c>
      <c r="S97" s="845"/>
      <c r="T97" s="835" t="s">
        <v>551</v>
      </c>
      <c r="U97" s="845">
        <v>6</v>
      </c>
      <c r="V97" s="846">
        <f>50000*1.06</f>
        <v>53000</v>
      </c>
      <c r="W97" s="839">
        <f t="shared" si="6"/>
        <v>318000</v>
      </c>
      <c r="X97" s="721"/>
      <c r="Y97" s="1488"/>
      <c r="Z97" s="844" t="s">
        <v>578</v>
      </c>
      <c r="AA97" s="845"/>
      <c r="AB97" s="835" t="s">
        <v>551</v>
      </c>
      <c r="AC97" s="845">
        <v>3</v>
      </c>
      <c r="AD97" s="846">
        <f>50000*1.06</f>
        <v>53000</v>
      </c>
      <c r="AE97" s="839">
        <f t="shared" si="7"/>
        <v>159000</v>
      </c>
      <c r="AF97" s="721"/>
      <c r="AG97" s="1488"/>
      <c r="AH97" s="844" t="s">
        <v>578</v>
      </c>
      <c r="AI97" s="845" t="s">
        <v>579</v>
      </c>
      <c r="AJ97" s="835" t="s">
        <v>551</v>
      </c>
      <c r="AK97" s="845">
        <v>6</v>
      </c>
      <c r="AL97" s="846">
        <f>50000*1.06*1.042</f>
        <v>55226</v>
      </c>
      <c r="AM97" s="839">
        <f t="shared" si="8"/>
        <v>331356</v>
      </c>
      <c r="AN97" s="721"/>
      <c r="AO97" s="721"/>
      <c r="AP97" s="721"/>
      <c r="AQ97" s="721"/>
      <c r="AR97" s="721"/>
      <c r="AS97" s="721"/>
      <c r="AT97" s="721"/>
      <c r="AU97" s="721"/>
      <c r="AV97" s="721"/>
      <c r="AW97" s="721"/>
      <c r="AX97" s="721"/>
    </row>
    <row r="98" spans="1:50" ht="102" thickBot="1" x14ac:dyDescent="0.25">
      <c r="A98" s="1482"/>
      <c r="B98" s="844" t="s">
        <v>578</v>
      </c>
      <c r="C98" s="830" t="s">
        <v>580</v>
      </c>
      <c r="D98" s="835" t="s">
        <v>551</v>
      </c>
      <c r="E98" s="845">
        <v>2</v>
      </c>
      <c r="F98" s="847">
        <v>57890</v>
      </c>
      <c r="G98" s="833">
        <f t="shared" si="4"/>
        <v>115780</v>
      </c>
      <c r="H98" s="721"/>
      <c r="I98" s="1485"/>
      <c r="J98" s="834" t="s">
        <v>581</v>
      </c>
      <c r="K98" s="835" t="s">
        <v>552</v>
      </c>
      <c r="L98" s="835" t="s">
        <v>551</v>
      </c>
      <c r="M98" s="835">
        <v>0</v>
      </c>
      <c r="N98" s="836">
        <v>40000</v>
      </c>
      <c r="O98" s="837">
        <f t="shared" si="5"/>
        <v>0</v>
      </c>
      <c r="P98" s="721"/>
      <c r="Q98" s="1488"/>
      <c r="R98" s="844" t="s">
        <v>581</v>
      </c>
      <c r="S98" s="845"/>
      <c r="T98" s="835" t="s">
        <v>551</v>
      </c>
      <c r="U98" s="845">
        <v>0</v>
      </c>
      <c r="V98" s="846">
        <v>40000</v>
      </c>
      <c r="W98" s="839">
        <f t="shared" si="6"/>
        <v>0</v>
      </c>
      <c r="X98" s="721"/>
      <c r="Y98" s="1488"/>
      <c r="Z98" s="844" t="s">
        <v>581</v>
      </c>
      <c r="AA98" s="845" t="s">
        <v>582</v>
      </c>
      <c r="AB98" s="835" t="s">
        <v>551</v>
      </c>
      <c r="AC98" s="845">
        <v>0</v>
      </c>
      <c r="AD98" s="846">
        <v>40000</v>
      </c>
      <c r="AE98" s="839">
        <f t="shared" si="7"/>
        <v>0</v>
      </c>
      <c r="AF98" s="721"/>
      <c r="AG98" s="1488"/>
      <c r="AH98" s="844" t="s">
        <v>583</v>
      </c>
      <c r="AI98" s="845" t="s">
        <v>584</v>
      </c>
      <c r="AJ98" s="835" t="s">
        <v>551</v>
      </c>
      <c r="AK98" s="845">
        <v>0</v>
      </c>
      <c r="AL98" s="846">
        <v>40000</v>
      </c>
      <c r="AM98" s="839">
        <f t="shared" si="8"/>
        <v>0</v>
      </c>
      <c r="AN98" s="721"/>
      <c r="AO98" s="721"/>
      <c r="AP98" s="721"/>
      <c r="AQ98" s="721"/>
      <c r="AR98" s="721"/>
      <c r="AS98" s="721"/>
      <c r="AT98" s="721"/>
      <c r="AU98" s="721"/>
      <c r="AV98" s="721"/>
      <c r="AW98" s="721"/>
      <c r="AX98" s="721"/>
    </row>
    <row r="99" spans="1:50" ht="68.25" thickBot="1" x14ac:dyDescent="0.25">
      <c r="A99" s="1482"/>
      <c r="B99" s="844" t="s">
        <v>581</v>
      </c>
      <c r="C99" s="840" t="s">
        <v>585</v>
      </c>
      <c r="D99" s="835" t="s">
        <v>551</v>
      </c>
      <c r="E99" s="845">
        <v>0</v>
      </c>
      <c r="F99" s="847">
        <v>29990</v>
      </c>
      <c r="G99" s="833">
        <f t="shared" si="4"/>
        <v>0</v>
      </c>
      <c r="H99" s="721"/>
      <c r="I99" s="1485"/>
      <c r="J99" s="834" t="s">
        <v>586</v>
      </c>
      <c r="K99" s="835" t="s">
        <v>552</v>
      </c>
      <c r="L99" s="835" t="s">
        <v>551</v>
      </c>
      <c r="M99" s="835">
        <v>0</v>
      </c>
      <c r="N99" s="836">
        <v>144000</v>
      </c>
      <c r="O99" s="837">
        <f t="shared" si="5"/>
        <v>0</v>
      </c>
      <c r="P99" s="721"/>
      <c r="Q99" s="1488"/>
      <c r="R99" s="844" t="s">
        <v>586</v>
      </c>
      <c r="S99" s="845"/>
      <c r="T99" s="835" t="s">
        <v>551</v>
      </c>
      <c r="U99" s="845">
        <v>0</v>
      </c>
      <c r="V99" s="846">
        <v>144000</v>
      </c>
      <c r="W99" s="839">
        <f t="shared" si="6"/>
        <v>0</v>
      </c>
      <c r="X99" s="721"/>
      <c r="Y99" s="1488"/>
      <c r="Z99" s="844" t="s">
        <v>587</v>
      </c>
      <c r="AA99" s="845" t="s">
        <v>588</v>
      </c>
      <c r="AB99" s="835" t="s">
        <v>551</v>
      </c>
      <c r="AC99" s="845">
        <v>0</v>
      </c>
      <c r="AD99" s="846">
        <v>56990</v>
      </c>
      <c r="AE99" s="839">
        <f t="shared" si="7"/>
        <v>0</v>
      </c>
      <c r="AF99" s="721"/>
      <c r="AG99" s="1488"/>
      <c r="AH99" s="844" t="s">
        <v>589</v>
      </c>
      <c r="AI99" s="845" t="s">
        <v>590</v>
      </c>
      <c r="AJ99" s="835" t="s">
        <v>551</v>
      </c>
      <c r="AK99" s="845">
        <v>0</v>
      </c>
      <c r="AL99" s="846">
        <v>39990</v>
      </c>
      <c r="AM99" s="839">
        <f t="shared" si="8"/>
        <v>0</v>
      </c>
      <c r="AN99" s="721"/>
      <c r="AO99" s="721"/>
      <c r="AP99" s="721"/>
      <c r="AQ99" s="721"/>
      <c r="AR99" s="721"/>
      <c r="AS99" s="721"/>
      <c r="AT99" s="721"/>
      <c r="AU99" s="721"/>
      <c r="AV99" s="721"/>
      <c r="AW99" s="721"/>
      <c r="AX99" s="721"/>
    </row>
    <row r="100" spans="1:50" ht="68.25" thickBot="1" x14ac:dyDescent="0.25">
      <c r="A100" s="1482"/>
      <c r="B100" s="844" t="s">
        <v>586</v>
      </c>
      <c r="C100" s="840" t="s">
        <v>591</v>
      </c>
      <c r="D100" s="835" t="s">
        <v>551</v>
      </c>
      <c r="E100" s="845">
        <v>0</v>
      </c>
      <c r="F100" s="847">
        <v>154990</v>
      </c>
      <c r="G100" s="833">
        <f t="shared" si="4"/>
        <v>0</v>
      </c>
      <c r="H100" s="721"/>
      <c r="I100" s="1485"/>
      <c r="J100" s="844" t="s">
        <v>592</v>
      </c>
      <c r="K100" s="845" t="s">
        <v>552</v>
      </c>
      <c r="L100" s="845" t="s">
        <v>551</v>
      </c>
      <c r="M100" s="845">
        <v>0</v>
      </c>
      <c r="N100" s="846">
        <v>900000</v>
      </c>
      <c r="O100" s="837">
        <f t="shared" si="5"/>
        <v>0</v>
      </c>
      <c r="P100" s="721"/>
      <c r="Q100" s="1488"/>
      <c r="R100" s="844" t="s">
        <v>592</v>
      </c>
      <c r="S100" s="845"/>
      <c r="T100" s="845" t="s">
        <v>551</v>
      </c>
      <c r="U100" s="845">
        <v>0</v>
      </c>
      <c r="V100" s="846">
        <v>900000</v>
      </c>
      <c r="W100" s="839">
        <f t="shared" si="6"/>
        <v>0</v>
      </c>
      <c r="X100" s="721"/>
      <c r="Y100" s="1488"/>
      <c r="Z100" s="844" t="s">
        <v>593</v>
      </c>
      <c r="AA100" s="845"/>
      <c r="AB100" s="835" t="s">
        <v>551</v>
      </c>
      <c r="AC100" s="845">
        <v>0</v>
      </c>
      <c r="AD100" s="846">
        <v>2000</v>
      </c>
      <c r="AE100" s="839">
        <f t="shared" si="7"/>
        <v>0</v>
      </c>
      <c r="AF100" s="721"/>
      <c r="AG100" s="1488"/>
      <c r="AH100" s="844" t="s">
        <v>594</v>
      </c>
      <c r="AI100" s="845" t="s">
        <v>595</v>
      </c>
      <c r="AJ100" s="845" t="s">
        <v>596</v>
      </c>
      <c r="AK100" s="845">
        <v>1</v>
      </c>
      <c r="AL100" s="846">
        <v>79900</v>
      </c>
      <c r="AM100" s="839">
        <f t="shared" si="8"/>
        <v>79900</v>
      </c>
      <c r="AN100" s="721"/>
      <c r="AO100" s="721"/>
      <c r="AP100" s="721"/>
      <c r="AQ100" s="721"/>
      <c r="AR100" s="721"/>
      <c r="AS100" s="721"/>
      <c r="AT100" s="721"/>
      <c r="AU100" s="721"/>
      <c r="AV100" s="721"/>
      <c r="AW100" s="721"/>
      <c r="AX100" s="721"/>
    </row>
    <row r="101" spans="1:50" ht="34.5" thickBot="1" x14ac:dyDescent="0.25">
      <c r="A101" s="1482"/>
      <c r="B101" s="848" t="s">
        <v>597</v>
      </c>
      <c r="C101" s="840" t="s">
        <v>598</v>
      </c>
      <c r="D101" s="835" t="s">
        <v>551</v>
      </c>
      <c r="E101" s="845">
        <v>1</v>
      </c>
      <c r="F101" s="847">
        <v>39990</v>
      </c>
      <c r="G101" s="833">
        <f t="shared" si="4"/>
        <v>39990</v>
      </c>
      <c r="H101" s="721"/>
      <c r="I101" s="849"/>
      <c r="J101" s="850"/>
      <c r="K101" s="851"/>
      <c r="L101" s="851"/>
      <c r="M101" s="851"/>
      <c r="N101" s="852" t="s">
        <v>209</v>
      </c>
      <c r="O101" s="853">
        <f>SUM(O91:O100)</f>
        <v>1864328</v>
      </c>
      <c r="P101" s="721"/>
      <c r="Q101" s="854"/>
      <c r="R101" s="855"/>
      <c r="S101" s="856"/>
      <c r="T101" s="856"/>
      <c r="U101" s="856"/>
      <c r="V101" s="857" t="s">
        <v>209</v>
      </c>
      <c r="W101" s="858">
        <f>SUM(W91:W100)</f>
        <v>718000</v>
      </c>
      <c r="X101" s="721"/>
      <c r="Y101" s="1488"/>
      <c r="Z101" s="844" t="s">
        <v>599</v>
      </c>
      <c r="AA101" s="845" t="s">
        <v>600</v>
      </c>
      <c r="AB101" s="835" t="s">
        <v>551</v>
      </c>
      <c r="AC101" s="845">
        <v>0</v>
      </c>
      <c r="AD101" s="846">
        <v>26990</v>
      </c>
      <c r="AE101" s="839">
        <f t="shared" si="7"/>
        <v>0</v>
      </c>
      <c r="AF101" s="721"/>
      <c r="AG101" s="1488"/>
      <c r="AH101" s="844" t="s">
        <v>592</v>
      </c>
      <c r="AI101" s="845"/>
      <c r="AJ101" s="845" t="s">
        <v>551</v>
      </c>
      <c r="AK101" s="845">
        <v>0</v>
      </c>
      <c r="AL101" s="846">
        <v>900000</v>
      </c>
      <c r="AM101" s="859">
        <f t="shared" si="8"/>
        <v>0</v>
      </c>
      <c r="AN101" s="721"/>
      <c r="AO101" s="721"/>
      <c r="AP101" s="721"/>
      <c r="AQ101" s="721"/>
      <c r="AR101" s="721"/>
      <c r="AS101" s="721"/>
      <c r="AT101" s="721"/>
      <c r="AU101" s="721"/>
      <c r="AV101" s="721"/>
      <c r="AW101" s="721"/>
      <c r="AX101" s="721"/>
    </row>
    <row r="102" spans="1:50" ht="57" thickBot="1" x14ac:dyDescent="0.25">
      <c r="A102" s="1482"/>
      <c r="B102" s="844" t="s">
        <v>592</v>
      </c>
      <c r="C102" s="860" t="s">
        <v>601</v>
      </c>
      <c r="D102" s="845" t="s">
        <v>551</v>
      </c>
      <c r="E102" s="845">
        <v>0</v>
      </c>
      <c r="F102" s="847">
        <v>1667990</v>
      </c>
      <c r="G102" s="861">
        <f t="shared" si="4"/>
        <v>0</v>
      </c>
      <c r="H102" s="721"/>
      <c r="I102" s="1489" t="s">
        <v>602</v>
      </c>
      <c r="J102" s="862" t="s">
        <v>603</v>
      </c>
      <c r="K102" s="863" t="s">
        <v>604</v>
      </c>
      <c r="L102" s="863" t="s">
        <v>503</v>
      </c>
      <c r="M102" s="863">
        <v>0</v>
      </c>
      <c r="N102" s="864">
        <v>260000</v>
      </c>
      <c r="O102" s="865">
        <f t="shared" si="5"/>
        <v>0</v>
      </c>
      <c r="P102" s="721"/>
      <c r="Q102" s="1486" t="s">
        <v>602</v>
      </c>
      <c r="R102" s="829" t="s">
        <v>603</v>
      </c>
      <c r="S102" s="831" t="s">
        <v>604</v>
      </c>
      <c r="T102" s="831" t="s">
        <v>503</v>
      </c>
      <c r="U102" s="831">
        <v>0</v>
      </c>
      <c r="V102" s="838">
        <v>260000</v>
      </c>
      <c r="W102" s="839">
        <f t="shared" si="6"/>
        <v>0</v>
      </c>
      <c r="X102" s="721"/>
      <c r="Y102" s="1488"/>
      <c r="Z102" s="844" t="s">
        <v>592</v>
      </c>
      <c r="AA102" s="845"/>
      <c r="AB102" s="845" t="s">
        <v>551</v>
      </c>
      <c r="AC102" s="845">
        <v>0</v>
      </c>
      <c r="AD102" s="846">
        <v>900000</v>
      </c>
      <c r="AE102" s="859">
        <f t="shared" si="7"/>
        <v>0</v>
      </c>
      <c r="AF102" s="721"/>
      <c r="AG102" s="866"/>
      <c r="AH102" s="855"/>
      <c r="AI102" s="856"/>
      <c r="AJ102" s="856"/>
      <c r="AK102" s="856"/>
      <c r="AL102" s="857" t="s">
        <v>209</v>
      </c>
      <c r="AM102" s="867">
        <f>SUM(AM91:AM101)</f>
        <v>1895256</v>
      </c>
      <c r="AN102" s="721"/>
      <c r="AO102" s="721"/>
      <c r="AP102" s="721"/>
      <c r="AQ102" s="721"/>
      <c r="AR102" s="721"/>
      <c r="AS102" s="721"/>
      <c r="AT102" s="721"/>
      <c r="AU102" s="721"/>
      <c r="AV102" s="721"/>
      <c r="AW102" s="721"/>
      <c r="AX102" s="721"/>
    </row>
    <row r="103" spans="1:50" ht="13.5" thickBot="1" x14ac:dyDescent="0.25">
      <c r="A103" s="868"/>
      <c r="B103" s="855"/>
      <c r="C103" s="869"/>
      <c r="D103" s="856"/>
      <c r="E103" s="856"/>
      <c r="F103" s="870" t="s">
        <v>209</v>
      </c>
      <c r="G103" s="871">
        <f>SUM(G91:G102)</f>
        <v>155770</v>
      </c>
      <c r="H103" s="721"/>
      <c r="I103" s="1487"/>
      <c r="J103" s="834" t="s">
        <v>605</v>
      </c>
      <c r="K103" s="835" t="s">
        <v>604</v>
      </c>
      <c r="L103" s="835" t="s">
        <v>503</v>
      </c>
      <c r="M103" s="835">
        <v>0</v>
      </c>
      <c r="N103" s="836">
        <v>260000</v>
      </c>
      <c r="O103" s="865">
        <f t="shared" si="5"/>
        <v>0</v>
      </c>
      <c r="P103" s="721"/>
      <c r="Q103" s="1487"/>
      <c r="R103" s="834" t="s">
        <v>605</v>
      </c>
      <c r="S103" s="835" t="s">
        <v>604</v>
      </c>
      <c r="T103" s="835" t="s">
        <v>503</v>
      </c>
      <c r="U103" s="835">
        <v>0</v>
      </c>
      <c r="V103" s="836">
        <v>260000</v>
      </c>
      <c r="W103" s="839">
        <f t="shared" si="6"/>
        <v>0</v>
      </c>
      <c r="X103" s="721"/>
      <c r="Y103" s="872"/>
      <c r="Z103" s="873"/>
      <c r="AA103" s="873"/>
      <c r="AB103" s="873"/>
      <c r="AC103" s="873"/>
      <c r="AD103" s="857" t="s">
        <v>209</v>
      </c>
      <c r="AE103" s="867">
        <f>SUM(AE91:AE102)</f>
        <v>159000</v>
      </c>
      <c r="AF103" s="721"/>
      <c r="AG103" s="1486" t="s">
        <v>602</v>
      </c>
      <c r="AH103" s="829" t="s">
        <v>603</v>
      </c>
      <c r="AI103" s="831" t="s">
        <v>604</v>
      </c>
      <c r="AJ103" s="831" t="s">
        <v>503</v>
      </c>
      <c r="AK103" s="831">
        <v>0</v>
      </c>
      <c r="AL103" s="838">
        <v>490000</v>
      </c>
      <c r="AM103" s="839">
        <f t="shared" si="8"/>
        <v>0</v>
      </c>
      <c r="AN103" s="721"/>
      <c r="AO103" s="721"/>
      <c r="AP103" s="721"/>
      <c r="AQ103" s="721"/>
      <c r="AR103" s="721"/>
      <c r="AS103" s="721"/>
      <c r="AT103" s="721"/>
      <c r="AU103" s="721"/>
      <c r="AV103" s="721"/>
      <c r="AW103" s="721"/>
      <c r="AX103" s="721"/>
    </row>
    <row r="104" spans="1:50" ht="13.5" thickBot="1" x14ac:dyDescent="0.25">
      <c r="A104" s="1491" t="s">
        <v>602</v>
      </c>
      <c r="B104" s="862" t="s">
        <v>603</v>
      </c>
      <c r="C104" s="874" t="s">
        <v>604</v>
      </c>
      <c r="D104" s="863" t="s">
        <v>503</v>
      </c>
      <c r="E104" s="863">
        <v>0</v>
      </c>
      <c r="F104" s="875">
        <v>260000</v>
      </c>
      <c r="G104" s="876">
        <f t="shared" si="4"/>
        <v>0</v>
      </c>
      <c r="H104" s="721"/>
      <c r="I104" s="1487"/>
      <c r="J104" s="834" t="s">
        <v>606</v>
      </c>
      <c r="K104" s="835" t="s">
        <v>604</v>
      </c>
      <c r="L104" s="835" t="s">
        <v>503</v>
      </c>
      <c r="M104" s="835">
        <v>0</v>
      </c>
      <c r="N104" s="836">
        <v>42000</v>
      </c>
      <c r="O104" s="865">
        <f t="shared" si="5"/>
        <v>0</v>
      </c>
      <c r="P104" s="721"/>
      <c r="Q104" s="1487"/>
      <c r="R104" s="834" t="s">
        <v>606</v>
      </c>
      <c r="S104" s="835" t="s">
        <v>604</v>
      </c>
      <c r="T104" s="835" t="s">
        <v>503</v>
      </c>
      <c r="U104" s="835">
        <v>0</v>
      </c>
      <c r="V104" s="836">
        <v>42000</v>
      </c>
      <c r="W104" s="839">
        <f t="shared" si="6"/>
        <v>0</v>
      </c>
      <c r="X104" s="721"/>
      <c r="Y104" s="1486" t="s">
        <v>602</v>
      </c>
      <c r="Z104" s="829" t="s">
        <v>603</v>
      </c>
      <c r="AA104" s="831" t="s">
        <v>604</v>
      </c>
      <c r="AB104" s="831" t="s">
        <v>503</v>
      </c>
      <c r="AC104" s="831">
        <v>0</v>
      </c>
      <c r="AD104" s="838">
        <v>418400</v>
      </c>
      <c r="AE104" s="839">
        <f t="shared" si="7"/>
        <v>0</v>
      </c>
      <c r="AF104" s="721"/>
      <c r="AG104" s="1487"/>
      <c r="AH104" s="834" t="s">
        <v>605</v>
      </c>
      <c r="AI104" s="835" t="s">
        <v>604</v>
      </c>
      <c r="AJ104" s="835" t="s">
        <v>503</v>
      </c>
      <c r="AK104" s="835">
        <v>0</v>
      </c>
      <c r="AL104" s="836">
        <v>185000</v>
      </c>
      <c r="AM104" s="839">
        <f t="shared" si="8"/>
        <v>0</v>
      </c>
      <c r="AN104" s="721"/>
      <c r="AO104" s="721"/>
      <c r="AP104" s="721"/>
      <c r="AQ104" s="721"/>
      <c r="AR104" s="721"/>
      <c r="AS104" s="721"/>
      <c r="AT104" s="721"/>
      <c r="AU104" s="721"/>
      <c r="AV104" s="721"/>
      <c r="AW104" s="721"/>
      <c r="AX104" s="721"/>
    </row>
    <row r="105" spans="1:50" ht="13.5" thickBot="1" x14ac:dyDescent="0.25">
      <c r="A105" s="1492"/>
      <c r="B105" s="834" t="s">
        <v>605</v>
      </c>
      <c r="C105" s="835" t="s">
        <v>604</v>
      </c>
      <c r="D105" s="835" t="s">
        <v>503</v>
      </c>
      <c r="E105" s="835">
        <v>0</v>
      </c>
      <c r="F105" s="841">
        <v>260000</v>
      </c>
      <c r="G105" s="833">
        <f t="shared" si="4"/>
        <v>0</v>
      </c>
      <c r="H105" s="721"/>
      <c r="I105" s="1487"/>
      <c r="J105" s="834" t="s">
        <v>607</v>
      </c>
      <c r="K105" s="835" t="s">
        <v>604</v>
      </c>
      <c r="L105" s="835" t="s">
        <v>503</v>
      </c>
      <c r="M105" s="835">
        <v>0</v>
      </c>
      <c r="N105" s="836">
        <v>16000</v>
      </c>
      <c r="O105" s="865">
        <f t="shared" si="5"/>
        <v>0</v>
      </c>
      <c r="P105" s="721"/>
      <c r="Q105" s="1487"/>
      <c r="R105" s="834" t="s">
        <v>607</v>
      </c>
      <c r="S105" s="835" t="s">
        <v>604</v>
      </c>
      <c r="T105" s="835" t="s">
        <v>503</v>
      </c>
      <c r="U105" s="835">
        <v>0</v>
      </c>
      <c r="V105" s="836">
        <v>16000</v>
      </c>
      <c r="W105" s="839">
        <f t="shared" si="6"/>
        <v>0</v>
      </c>
      <c r="X105" s="721"/>
      <c r="Y105" s="1487"/>
      <c r="Z105" s="834" t="s">
        <v>605</v>
      </c>
      <c r="AA105" s="835" t="s">
        <v>604</v>
      </c>
      <c r="AB105" s="835" t="s">
        <v>503</v>
      </c>
      <c r="AC105" s="835">
        <v>0</v>
      </c>
      <c r="AD105" s="836">
        <v>187400</v>
      </c>
      <c r="AE105" s="839">
        <f t="shared" si="7"/>
        <v>0</v>
      </c>
      <c r="AF105" s="721"/>
      <c r="AG105" s="1487"/>
      <c r="AH105" s="834" t="s">
        <v>606</v>
      </c>
      <c r="AI105" s="835" t="s">
        <v>604</v>
      </c>
      <c r="AJ105" s="835" t="s">
        <v>503</v>
      </c>
      <c r="AK105" s="835">
        <v>0</v>
      </c>
      <c r="AL105" s="836">
        <v>42000</v>
      </c>
      <c r="AM105" s="839">
        <f t="shared" si="8"/>
        <v>0</v>
      </c>
      <c r="AN105" s="721"/>
      <c r="AO105" s="721"/>
      <c r="AP105" s="721"/>
      <c r="AQ105" s="721"/>
      <c r="AR105" s="721"/>
      <c r="AS105" s="721"/>
      <c r="AT105" s="721"/>
      <c r="AU105" s="721"/>
      <c r="AV105" s="721"/>
      <c r="AW105" s="721"/>
      <c r="AX105" s="721"/>
    </row>
    <row r="106" spans="1:50" ht="13.5" thickBot="1" x14ac:dyDescent="0.25">
      <c r="A106" s="1492"/>
      <c r="B106" s="834" t="s">
        <v>606</v>
      </c>
      <c r="C106" s="835" t="s">
        <v>604</v>
      </c>
      <c r="D106" s="835" t="s">
        <v>503</v>
      </c>
      <c r="E106" s="835">
        <v>0</v>
      </c>
      <c r="F106" s="841">
        <v>42000</v>
      </c>
      <c r="G106" s="833">
        <f t="shared" si="4"/>
        <v>0</v>
      </c>
      <c r="H106" s="721"/>
      <c r="I106" s="1487"/>
      <c r="J106" s="834" t="s">
        <v>608</v>
      </c>
      <c r="K106" s="835" t="s">
        <v>604</v>
      </c>
      <c r="L106" s="835" t="s">
        <v>503</v>
      </c>
      <c r="M106" s="835">
        <v>0</v>
      </c>
      <c r="N106" s="836">
        <v>26500</v>
      </c>
      <c r="O106" s="865">
        <f t="shared" si="5"/>
        <v>0</v>
      </c>
      <c r="P106" s="721"/>
      <c r="Q106" s="1487"/>
      <c r="R106" s="834" t="s">
        <v>608</v>
      </c>
      <c r="S106" s="835" t="s">
        <v>604</v>
      </c>
      <c r="T106" s="835" t="s">
        <v>503</v>
      </c>
      <c r="U106" s="835">
        <v>0</v>
      </c>
      <c r="V106" s="836">
        <v>26500</v>
      </c>
      <c r="W106" s="839">
        <f t="shared" si="6"/>
        <v>0</v>
      </c>
      <c r="X106" s="721"/>
      <c r="Y106" s="1487"/>
      <c r="Z106" s="834" t="s">
        <v>606</v>
      </c>
      <c r="AA106" s="835" t="s">
        <v>604</v>
      </c>
      <c r="AB106" s="835" t="s">
        <v>503</v>
      </c>
      <c r="AC106" s="835">
        <v>0</v>
      </c>
      <c r="AD106" s="836">
        <v>42000</v>
      </c>
      <c r="AE106" s="839">
        <f t="shared" si="7"/>
        <v>0</v>
      </c>
      <c r="AF106" s="721"/>
      <c r="AG106" s="1487"/>
      <c r="AH106" s="834" t="s">
        <v>607</v>
      </c>
      <c r="AI106" s="835" t="s">
        <v>604</v>
      </c>
      <c r="AJ106" s="835" t="s">
        <v>503</v>
      </c>
      <c r="AK106" s="835">
        <v>0</v>
      </c>
      <c r="AL106" s="836">
        <v>16000</v>
      </c>
      <c r="AM106" s="839">
        <f t="shared" si="8"/>
        <v>0</v>
      </c>
      <c r="AN106" s="721"/>
      <c r="AO106" s="721"/>
      <c r="AP106" s="721"/>
      <c r="AQ106" s="721"/>
      <c r="AR106" s="721"/>
      <c r="AS106" s="721"/>
      <c r="AT106" s="721"/>
      <c r="AU106" s="721"/>
      <c r="AV106" s="721"/>
      <c r="AW106" s="721"/>
      <c r="AX106" s="721"/>
    </row>
    <row r="107" spans="1:50" ht="13.5" thickBot="1" x14ac:dyDescent="0.25">
      <c r="A107" s="1492"/>
      <c r="B107" s="834" t="s">
        <v>607</v>
      </c>
      <c r="C107" s="835" t="s">
        <v>604</v>
      </c>
      <c r="D107" s="835" t="s">
        <v>503</v>
      </c>
      <c r="E107" s="835">
        <v>0</v>
      </c>
      <c r="F107" s="841">
        <v>16000</v>
      </c>
      <c r="G107" s="833">
        <f t="shared" si="4"/>
        <v>0</v>
      </c>
      <c r="H107" s="721"/>
      <c r="I107" s="1487"/>
      <c r="J107" s="834" t="s">
        <v>609</v>
      </c>
      <c r="K107" s="835" t="s">
        <v>604</v>
      </c>
      <c r="L107" s="835" t="s">
        <v>596</v>
      </c>
      <c r="M107" s="835">
        <v>0</v>
      </c>
      <c r="N107" s="836">
        <v>43000</v>
      </c>
      <c r="O107" s="865">
        <f t="shared" si="5"/>
        <v>0</v>
      </c>
      <c r="P107" s="721"/>
      <c r="Q107" s="1487"/>
      <c r="R107" s="834" t="s">
        <v>609</v>
      </c>
      <c r="S107" s="835" t="s">
        <v>604</v>
      </c>
      <c r="T107" s="835" t="s">
        <v>596</v>
      </c>
      <c r="U107" s="835">
        <v>0</v>
      </c>
      <c r="V107" s="836">
        <v>43000</v>
      </c>
      <c r="W107" s="839">
        <f t="shared" si="6"/>
        <v>0</v>
      </c>
      <c r="X107" s="721"/>
      <c r="Y107" s="1487"/>
      <c r="Z107" s="834" t="s">
        <v>607</v>
      </c>
      <c r="AA107" s="835" t="s">
        <v>604</v>
      </c>
      <c r="AB107" s="835" t="s">
        <v>503</v>
      </c>
      <c r="AC107" s="835">
        <v>0</v>
      </c>
      <c r="AD107" s="836">
        <v>16000</v>
      </c>
      <c r="AE107" s="839">
        <f t="shared" si="7"/>
        <v>0</v>
      </c>
      <c r="AF107" s="721"/>
      <c r="AG107" s="1487"/>
      <c r="AH107" s="834" t="s">
        <v>608</v>
      </c>
      <c r="AI107" s="835" t="s">
        <v>604</v>
      </c>
      <c r="AJ107" s="835" t="s">
        <v>503</v>
      </c>
      <c r="AK107" s="835">
        <v>0</v>
      </c>
      <c r="AL107" s="836">
        <v>26500</v>
      </c>
      <c r="AM107" s="839">
        <f t="shared" si="8"/>
        <v>0</v>
      </c>
      <c r="AN107" s="721"/>
      <c r="AO107" s="721"/>
      <c r="AP107" s="721"/>
      <c r="AQ107" s="721"/>
      <c r="AR107" s="721"/>
      <c r="AS107" s="721"/>
      <c r="AT107" s="721"/>
      <c r="AU107" s="721"/>
      <c r="AV107" s="721"/>
      <c r="AW107" s="721"/>
      <c r="AX107" s="721"/>
    </row>
    <row r="108" spans="1:50" ht="13.5" thickBot="1" x14ac:dyDescent="0.25">
      <c r="A108" s="1492"/>
      <c r="B108" s="834" t="s">
        <v>608</v>
      </c>
      <c r="C108" s="835" t="s">
        <v>604</v>
      </c>
      <c r="D108" s="835" t="s">
        <v>503</v>
      </c>
      <c r="E108" s="835">
        <v>0</v>
      </c>
      <c r="F108" s="841">
        <v>26500</v>
      </c>
      <c r="G108" s="833">
        <f t="shared" si="4"/>
        <v>0</v>
      </c>
      <c r="H108" s="721"/>
      <c r="I108" s="1487"/>
      <c r="J108" s="834" t="s">
        <v>610</v>
      </c>
      <c r="K108" s="835" t="s">
        <v>604</v>
      </c>
      <c r="L108" s="835" t="s">
        <v>596</v>
      </c>
      <c r="M108" s="835">
        <v>0</v>
      </c>
      <c r="N108" s="836">
        <v>119000</v>
      </c>
      <c r="O108" s="865">
        <f t="shared" si="5"/>
        <v>0</v>
      </c>
      <c r="P108" s="721"/>
      <c r="Q108" s="1487"/>
      <c r="R108" s="834" t="s">
        <v>610</v>
      </c>
      <c r="S108" s="835" t="s">
        <v>604</v>
      </c>
      <c r="T108" s="835" t="s">
        <v>596</v>
      </c>
      <c r="U108" s="835">
        <v>0</v>
      </c>
      <c r="V108" s="836">
        <v>119000</v>
      </c>
      <c r="W108" s="839">
        <f t="shared" si="6"/>
        <v>0</v>
      </c>
      <c r="X108" s="721"/>
      <c r="Y108" s="1487"/>
      <c r="Z108" s="834" t="s">
        <v>608</v>
      </c>
      <c r="AA108" s="835" t="s">
        <v>604</v>
      </c>
      <c r="AB108" s="835" t="s">
        <v>503</v>
      </c>
      <c r="AC108" s="835">
        <v>0</v>
      </c>
      <c r="AD108" s="836">
        <v>26500</v>
      </c>
      <c r="AE108" s="839">
        <f t="shared" si="7"/>
        <v>0</v>
      </c>
      <c r="AF108" s="721"/>
      <c r="AG108" s="1487"/>
      <c r="AH108" s="834" t="s">
        <v>609</v>
      </c>
      <c r="AI108" s="835" t="s">
        <v>604</v>
      </c>
      <c r="AJ108" s="835" t="s">
        <v>596</v>
      </c>
      <c r="AK108" s="835">
        <v>0</v>
      </c>
      <c r="AL108" s="836">
        <v>43000</v>
      </c>
      <c r="AM108" s="839">
        <f t="shared" si="8"/>
        <v>0</v>
      </c>
      <c r="AN108" s="721"/>
      <c r="AO108" s="721"/>
      <c r="AP108" s="721"/>
      <c r="AQ108" s="721"/>
      <c r="AR108" s="721"/>
      <c r="AS108" s="721"/>
      <c r="AT108" s="721"/>
      <c r="AU108" s="721"/>
      <c r="AV108" s="721"/>
      <c r="AW108" s="721"/>
      <c r="AX108" s="721"/>
    </row>
    <row r="109" spans="1:50" ht="13.5" thickBot="1" x14ac:dyDescent="0.25">
      <c r="A109" s="1492"/>
      <c r="B109" s="834" t="s">
        <v>609</v>
      </c>
      <c r="C109" s="835" t="s">
        <v>604</v>
      </c>
      <c r="D109" s="835" t="s">
        <v>596</v>
      </c>
      <c r="E109" s="835">
        <v>0</v>
      </c>
      <c r="F109" s="841">
        <v>43000</v>
      </c>
      <c r="G109" s="833">
        <f t="shared" si="4"/>
        <v>0</v>
      </c>
      <c r="H109" s="721"/>
      <c r="I109" s="1487"/>
      <c r="J109" s="834" t="s">
        <v>611</v>
      </c>
      <c r="K109" s="835" t="s">
        <v>612</v>
      </c>
      <c r="L109" s="835" t="s">
        <v>503</v>
      </c>
      <c r="M109" s="835">
        <v>0</v>
      </c>
      <c r="N109" s="836">
        <v>44900</v>
      </c>
      <c r="O109" s="865">
        <f t="shared" si="5"/>
        <v>0</v>
      </c>
      <c r="P109" s="721"/>
      <c r="Q109" s="1487"/>
      <c r="R109" s="834" t="s">
        <v>611</v>
      </c>
      <c r="S109" s="835" t="s">
        <v>612</v>
      </c>
      <c r="T109" s="835" t="s">
        <v>503</v>
      </c>
      <c r="U109" s="835">
        <v>6</v>
      </c>
      <c r="V109" s="836">
        <v>44900</v>
      </c>
      <c r="W109" s="839">
        <f t="shared" si="6"/>
        <v>269400</v>
      </c>
      <c r="X109" s="721"/>
      <c r="Y109" s="1487"/>
      <c r="Z109" s="834" t="s">
        <v>609</v>
      </c>
      <c r="AA109" s="835" t="s">
        <v>604</v>
      </c>
      <c r="AB109" s="835" t="s">
        <v>596</v>
      </c>
      <c r="AC109" s="835">
        <v>2</v>
      </c>
      <c r="AD109" s="836">
        <v>43000</v>
      </c>
      <c r="AE109" s="839">
        <f t="shared" si="7"/>
        <v>86000</v>
      </c>
      <c r="AF109" s="721"/>
      <c r="AG109" s="1487"/>
      <c r="AH109" s="834" t="s">
        <v>613</v>
      </c>
      <c r="AI109" s="835" t="s">
        <v>604</v>
      </c>
      <c r="AJ109" s="835" t="s">
        <v>503</v>
      </c>
      <c r="AK109" s="835">
        <v>0</v>
      </c>
      <c r="AL109" s="836">
        <v>45000</v>
      </c>
      <c r="AM109" s="839">
        <f t="shared" si="8"/>
        <v>0</v>
      </c>
      <c r="AN109" s="721"/>
      <c r="AO109" s="721"/>
      <c r="AP109" s="721"/>
      <c r="AQ109" s="721"/>
      <c r="AR109" s="721"/>
      <c r="AS109" s="721"/>
      <c r="AT109" s="721"/>
      <c r="AU109" s="721"/>
      <c r="AV109" s="721"/>
      <c r="AW109" s="721"/>
      <c r="AX109" s="721"/>
    </row>
    <row r="110" spans="1:50" ht="13.5" thickBot="1" x14ac:dyDescent="0.25">
      <c r="A110" s="1492"/>
      <c r="B110" s="834" t="s">
        <v>610</v>
      </c>
      <c r="C110" s="835" t="s">
        <v>604</v>
      </c>
      <c r="D110" s="835" t="s">
        <v>596</v>
      </c>
      <c r="E110" s="835">
        <v>0</v>
      </c>
      <c r="F110" s="841">
        <v>119000</v>
      </c>
      <c r="G110" s="833">
        <f t="shared" si="4"/>
        <v>0</v>
      </c>
      <c r="H110" s="721"/>
      <c r="I110" s="1487"/>
      <c r="J110" s="834" t="s">
        <v>611</v>
      </c>
      <c r="K110" s="835" t="s">
        <v>614</v>
      </c>
      <c r="L110" s="835" t="s">
        <v>503</v>
      </c>
      <c r="M110" s="835">
        <v>0</v>
      </c>
      <c r="N110" s="836">
        <v>119470</v>
      </c>
      <c r="O110" s="865">
        <f t="shared" si="5"/>
        <v>0</v>
      </c>
      <c r="P110" s="721"/>
      <c r="Q110" s="1487"/>
      <c r="R110" s="834" t="s">
        <v>611</v>
      </c>
      <c r="S110" s="835" t="s">
        <v>614</v>
      </c>
      <c r="T110" s="835" t="s">
        <v>503</v>
      </c>
      <c r="U110" s="835">
        <v>12</v>
      </c>
      <c r="V110" s="836">
        <v>119470</v>
      </c>
      <c r="W110" s="839">
        <f t="shared" si="6"/>
        <v>1433640</v>
      </c>
      <c r="X110" s="721"/>
      <c r="Y110" s="1487"/>
      <c r="Z110" s="834" t="s">
        <v>610</v>
      </c>
      <c r="AA110" s="835" t="s">
        <v>604</v>
      </c>
      <c r="AB110" s="835" t="s">
        <v>596</v>
      </c>
      <c r="AC110" s="835">
        <v>3</v>
      </c>
      <c r="AD110" s="836">
        <v>119000</v>
      </c>
      <c r="AE110" s="839">
        <f t="shared" si="7"/>
        <v>357000</v>
      </c>
      <c r="AF110" s="721"/>
      <c r="AG110" s="1487"/>
      <c r="AH110" s="834" t="s">
        <v>610</v>
      </c>
      <c r="AI110" s="835" t="s">
        <v>604</v>
      </c>
      <c r="AJ110" s="835" t="s">
        <v>596</v>
      </c>
      <c r="AK110" s="835">
        <v>0</v>
      </c>
      <c r="AL110" s="836">
        <v>119000</v>
      </c>
      <c r="AM110" s="839">
        <f t="shared" si="8"/>
        <v>0</v>
      </c>
      <c r="AN110" s="721"/>
      <c r="AO110" s="721"/>
      <c r="AP110" s="721"/>
      <c r="AQ110" s="721"/>
      <c r="AR110" s="721"/>
      <c r="AS110" s="721"/>
      <c r="AT110" s="721"/>
      <c r="AU110" s="721"/>
      <c r="AV110" s="721"/>
      <c r="AW110" s="721"/>
      <c r="AX110" s="721"/>
    </row>
    <row r="111" spans="1:50" ht="13.5" thickBot="1" x14ac:dyDescent="0.25">
      <c r="A111" s="1492"/>
      <c r="B111" s="834" t="s">
        <v>611</v>
      </c>
      <c r="C111" s="835" t="s">
        <v>612</v>
      </c>
      <c r="D111" s="835" t="s">
        <v>503</v>
      </c>
      <c r="E111" s="835">
        <v>0</v>
      </c>
      <c r="F111" s="841">
        <v>85700</v>
      </c>
      <c r="G111" s="833">
        <f t="shared" si="4"/>
        <v>0</v>
      </c>
      <c r="H111" s="721"/>
      <c r="I111" s="1487"/>
      <c r="J111" s="834" t="s">
        <v>615</v>
      </c>
      <c r="K111" s="835" t="s">
        <v>604</v>
      </c>
      <c r="L111" s="835" t="s">
        <v>503</v>
      </c>
      <c r="M111" s="835">
        <v>0</v>
      </c>
      <c r="N111" s="836">
        <v>125000</v>
      </c>
      <c r="O111" s="865">
        <f t="shared" si="5"/>
        <v>0</v>
      </c>
      <c r="P111" s="721"/>
      <c r="Q111" s="1487"/>
      <c r="R111" s="834" t="s">
        <v>615</v>
      </c>
      <c r="S111" s="835" t="s">
        <v>604</v>
      </c>
      <c r="T111" s="835" t="s">
        <v>503</v>
      </c>
      <c r="U111" s="835">
        <v>0</v>
      </c>
      <c r="V111" s="836">
        <v>125000</v>
      </c>
      <c r="W111" s="839">
        <f t="shared" si="6"/>
        <v>0</v>
      </c>
      <c r="X111" s="721"/>
      <c r="Y111" s="1487"/>
      <c r="Z111" s="834" t="s">
        <v>611</v>
      </c>
      <c r="AA111" s="835" t="s">
        <v>612</v>
      </c>
      <c r="AB111" s="835" t="s">
        <v>503</v>
      </c>
      <c r="AC111" s="835">
        <v>0</v>
      </c>
      <c r="AD111" s="836">
        <v>44900</v>
      </c>
      <c r="AE111" s="839">
        <f t="shared" si="7"/>
        <v>0</v>
      </c>
      <c r="AF111" s="721"/>
      <c r="AG111" s="1487"/>
      <c r="AH111" s="834" t="s">
        <v>611</v>
      </c>
      <c r="AI111" s="835" t="s">
        <v>612</v>
      </c>
      <c r="AJ111" s="835" t="s">
        <v>503</v>
      </c>
      <c r="AK111" s="877">
        <v>0</v>
      </c>
      <c r="AL111" s="836">
        <v>44900</v>
      </c>
      <c r="AM111" s="839">
        <f t="shared" si="8"/>
        <v>0</v>
      </c>
      <c r="AN111" s="721"/>
      <c r="AO111" s="721"/>
      <c r="AP111" s="721"/>
      <c r="AQ111" s="721"/>
      <c r="AR111" s="721"/>
      <c r="AS111" s="721"/>
      <c r="AT111" s="721"/>
      <c r="AU111" s="721"/>
      <c r="AV111" s="721"/>
      <c r="AW111" s="721"/>
      <c r="AX111" s="721"/>
    </row>
    <row r="112" spans="1:50" ht="13.5" thickBot="1" x14ac:dyDescent="0.25">
      <c r="A112" s="1492"/>
      <c r="B112" s="834" t="s">
        <v>611</v>
      </c>
      <c r="C112" s="835" t="s">
        <v>614</v>
      </c>
      <c r="D112" s="835" t="s">
        <v>503</v>
      </c>
      <c r="E112" s="835">
        <v>0</v>
      </c>
      <c r="F112" s="841">
        <v>119470</v>
      </c>
      <c r="G112" s="833">
        <f t="shared" si="4"/>
        <v>0</v>
      </c>
      <c r="H112" s="721"/>
      <c r="I112" s="1487"/>
      <c r="J112" s="834" t="s">
        <v>616</v>
      </c>
      <c r="K112" s="835" t="s">
        <v>604</v>
      </c>
      <c r="L112" s="835" t="s">
        <v>503</v>
      </c>
      <c r="M112" s="835">
        <v>0</v>
      </c>
      <c r="N112" s="836">
        <v>68900</v>
      </c>
      <c r="O112" s="865">
        <f t="shared" si="5"/>
        <v>0</v>
      </c>
      <c r="P112" s="721"/>
      <c r="Q112" s="1487"/>
      <c r="R112" s="834" t="s">
        <v>616</v>
      </c>
      <c r="S112" s="835" t="s">
        <v>604</v>
      </c>
      <c r="T112" s="835" t="s">
        <v>503</v>
      </c>
      <c r="U112" s="835">
        <v>0</v>
      </c>
      <c r="V112" s="836">
        <v>68900</v>
      </c>
      <c r="W112" s="839">
        <f t="shared" si="6"/>
        <v>0</v>
      </c>
      <c r="X112" s="721"/>
      <c r="Y112" s="1487"/>
      <c r="Z112" s="834" t="s">
        <v>611</v>
      </c>
      <c r="AA112" s="835" t="s">
        <v>614</v>
      </c>
      <c r="AB112" s="835" t="s">
        <v>503</v>
      </c>
      <c r="AC112" s="835">
        <v>0</v>
      </c>
      <c r="AD112" s="836">
        <v>119470</v>
      </c>
      <c r="AE112" s="839">
        <f t="shared" si="7"/>
        <v>0</v>
      </c>
      <c r="AF112" s="721"/>
      <c r="AG112" s="1487"/>
      <c r="AH112" s="834" t="s">
        <v>611</v>
      </c>
      <c r="AI112" s="835" t="s">
        <v>614</v>
      </c>
      <c r="AJ112" s="835" t="s">
        <v>503</v>
      </c>
      <c r="AK112" s="877">
        <v>0</v>
      </c>
      <c r="AL112" s="836">
        <v>119470</v>
      </c>
      <c r="AM112" s="839">
        <f t="shared" si="8"/>
        <v>0</v>
      </c>
      <c r="AN112" s="721"/>
      <c r="AO112" s="721"/>
      <c r="AP112" s="721"/>
      <c r="AQ112" s="721"/>
      <c r="AR112" s="721"/>
      <c r="AS112" s="721"/>
      <c r="AT112" s="721"/>
      <c r="AU112" s="721"/>
      <c r="AV112" s="721"/>
      <c r="AW112" s="721"/>
      <c r="AX112" s="721"/>
    </row>
    <row r="113" spans="1:50" ht="13.5" thickBot="1" x14ac:dyDescent="0.25">
      <c r="A113" s="1492"/>
      <c r="B113" s="834" t="s">
        <v>615</v>
      </c>
      <c r="C113" s="835" t="s">
        <v>604</v>
      </c>
      <c r="D113" s="835" t="s">
        <v>503</v>
      </c>
      <c r="E113" s="835">
        <v>0</v>
      </c>
      <c r="F113" s="841">
        <v>125000</v>
      </c>
      <c r="G113" s="833">
        <f t="shared" si="4"/>
        <v>0</v>
      </c>
      <c r="H113" s="721"/>
      <c r="I113" s="1487"/>
      <c r="J113" s="834" t="s">
        <v>617</v>
      </c>
      <c r="K113" s="835" t="s">
        <v>604</v>
      </c>
      <c r="L113" s="835" t="s">
        <v>503</v>
      </c>
      <c r="M113" s="835">
        <v>0</v>
      </c>
      <c r="N113" s="836">
        <v>16000</v>
      </c>
      <c r="O113" s="865">
        <f t="shared" si="5"/>
        <v>0</v>
      </c>
      <c r="P113" s="721"/>
      <c r="Q113" s="1487"/>
      <c r="R113" s="834" t="s">
        <v>617</v>
      </c>
      <c r="S113" s="835" t="s">
        <v>604</v>
      </c>
      <c r="T113" s="835" t="s">
        <v>503</v>
      </c>
      <c r="U113" s="835">
        <v>0</v>
      </c>
      <c r="V113" s="836">
        <v>16000</v>
      </c>
      <c r="W113" s="839">
        <f t="shared" si="6"/>
        <v>0</v>
      </c>
      <c r="X113" s="721"/>
      <c r="Y113" s="1487"/>
      <c r="Z113" s="834" t="s">
        <v>615</v>
      </c>
      <c r="AA113" s="835" t="s">
        <v>604</v>
      </c>
      <c r="AB113" s="835" t="s">
        <v>503</v>
      </c>
      <c r="AC113" s="835">
        <v>0</v>
      </c>
      <c r="AD113" s="836">
        <v>125000</v>
      </c>
      <c r="AE113" s="839">
        <f t="shared" si="7"/>
        <v>0</v>
      </c>
      <c r="AF113" s="721"/>
      <c r="AG113" s="1487"/>
      <c r="AH113" s="834" t="s">
        <v>615</v>
      </c>
      <c r="AI113" s="835" t="s">
        <v>604</v>
      </c>
      <c r="AJ113" s="835" t="s">
        <v>503</v>
      </c>
      <c r="AK113" s="835">
        <v>0</v>
      </c>
      <c r="AL113" s="836">
        <v>125000</v>
      </c>
      <c r="AM113" s="839">
        <f t="shared" si="8"/>
        <v>0</v>
      </c>
      <c r="AN113" s="721"/>
      <c r="AO113" s="721"/>
      <c r="AP113" s="721"/>
      <c r="AQ113" s="721"/>
      <c r="AR113" s="721"/>
      <c r="AS113" s="721"/>
      <c r="AT113" s="721"/>
      <c r="AU113" s="721"/>
      <c r="AV113" s="721"/>
      <c r="AW113" s="721"/>
      <c r="AX113" s="721"/>
    </row>
    <row r="114" spans="1:50" ht="13.5" thickBot="1" x14ac:dyDescent="0.25">
      <c r="A114" s="1492"/>
      <c r="B114" s="834" t="s">
        <v>616</v>
      </c>
      <c r="C114" s="835" t="s">
        <v>604</v>
      </c>
      <c r="D114" s="835" t="s">
        <v>503</v>
      </c>
      <c r="E114" s="835">
        <v>0</v>
      </c>
      <c r="F114" s="841">
        <v>109900</v>
      </c>
      <c r="G114" s="833">
        <f t="shared" si="4"/>
        <v>0</v>
      </c>
      <c r="H114" s="721"/>
      <c r="I114" s="1487"/>
      <c r="J114" s="834" t="s">
        <v>618</v>
      </c>
      <c r="K114" s="835" t="s">
        <v>604</v>
      </c>
      <c r="L114" s="835" t="s">
        <v>503</v>
      </c>
      <c r="M114" s="835">
        <v>0</v>
      </c>
      <c r="N114" s="836">
        <v>42000</v>
      </c>
      <c r="O114" s="865">
        <f t="shared" si="5"/>
        <v>0</v>
      </c>
      <c r="P114" s="721"/>
      <c r="Q114" s="1487"/>
      <c r="R114" s="834" t="s">
        <v>618</v>
      </c>
      <c r="S114" s="835" t="s">
        <v>604</v>
      </c>
      <c r="T114" s="835" t="s">
        <v>503</v>
      </c>
      <c r="U114" s="835">
        <v>0</v>
      </c>
      <c r="V114" s="836">
        <v>42000</v>
      </c>
      <c r="W114" s="839">
        <f t="shared" si="6"/>
        <v>0</v>
      </c>
      <c r="X114" s="721"/>
      <c r="Y114" s="1487"/>
      <c r="Z114" s="834" t="s">
        <v>616</v>
      </c>
      <c r="AA114" s="835" t="s">
        <v>604</v>
      </c>
      <c r="AB114" s="835" t="s">
        <v>503</v>
      </c>
      <c r="AC114" s="835">
        <v>0</v>
      </c>
      <c r="AD114" s="836">
        <v>68900</v>
      </c>
      <c r="AE114" s="839">
        <f t="shared" si="7"/>
        <v>0</v>
      </c>
      <c r="AF114" s="721"/>
      <c r="AG114" s="1487"/>
      <c r="AH114" s="834" t="s">
        <v>616</v>
      </c>
      <c r="AI114" s="835" t="s">
        <v>604</v>
      </c>
      <c r="AJ114" s="835" t="s">
        <v>503</v>
      </c>
      <c r="AK114" s="835">
        <v>0</v>
      </c>
      <c r="AL114" s="836">
        <v>68900</v>
      </c>
      <c r="AM114" s="839">
        <f t="shared" si="8"/>
        <v>0</v>
      </c>
      <c r="AN114" s="721"/>
      <c r="AO114" s="721"/>
      <c r="AP114" s="721"/>
      <c r="AQ114" s="721"/>
      <c r="AR114" s="721"/>
      <c r="AS114" s="721"/>
      <c r="AT114" s="721"/>
      <c r="AU114" s="721"/>
      <c r="AV114" s="721"/>
      <c r="AW114" s="721"/>
      <c r="AX114" s="721"/>
    </row>
    <row r="115" spans="1:50" ht="13.5" thickBot="1" x14ac:dyDescent="0.25">
      <c r="A115" s="1492"/>
      <c r="B115" s="834" t="s">
        <v>617</v>
      </c>
      <c r="C115" s="835" t="s">
        <v>604</v>
      </c>
      <c r="D115" s="835" t="s">
        <v>503</v>
      </c>
      <c r="E115" s="835">
        <v>0</v>
      </c>
      <c r="F115" s="841">
        <v>20100</v>
      </c>
      <c r="G115" s="833">
        <f t="shared" si="4"/>
        <v>0</v>
      </c>
      <c r="H115" s="721"/>
      <c r="I115" s="1487"/>
      <c r="J115" s="834" t="s">
        <v>619</v>
      </c>
      <c r="K115" s="835" t="s">
        <v>604</v>
      </c>
      <c r="L115" s="835" t="s">
        <v>503</v>
      </c>
      <c r="M115" s="835">
        <v>5</v>
      </c>
      <c r="N115" s="836">
        <v>32000</v>
      </c>
      <c r="O115" s="865">
        <f t="shared" si="5"/>
        <v>160000</v>
      </c>
      <c r="P115" s="721"/>
      <c r="Q115" s="1487"/>
      <c r="R115" s="834" t="s">
        <v>619</v>
      </c>
      <c r="S115" s="835" t="s">
        <v>604</v>
      </c>
      <c r="T115" s="835" t="s">
        <v>503</v>
      </c>
      <c r="U115" s="835">
        <v>24</v>
      </c>
      <c r="V115" s="836">
        <v>32000</v>
      </c>
      <c r="W115" s="839">
        <f t="shared" si="6"/>
        <v>768000</v>
      </c>
      <c r="X115" s="721"/>
      <c r="Y115" s="1487"/>
      <c r="Z115" s="834" t="s">
        <v>617</v>
      </c>
      <c r="AA115" s="835" t="s">
        <v>604</v>
      </c>
      <c r="AB115" s="835" t="s">
        <v>503</v>
      </c>
      <c r="AC115" s="835">
        <v>0</v>
      </c>
      <c r="AD115" s="836">
        <v>16000</v>
      </c>
      <c r="AE115" s="839">
        <f t="shared" si="7"/>
        <v>0</v>
      </c>
      <c r="AF115" s="721"/>
      <c r="AG115" s="1487"/>
      <c r="AH115" s="834" t="s">
        <v>620</v>
      </c>
      <c r="AI115" s="835" t="s">
        <v>604</v>
      </c>
      <c r="AJ115" s="835" t="s">
        <v>503</v>
      </c>
      <c r="AK115" s="835">
        <v>0</v>
      </c>
      <c r="AL115" s="836">
        <v>196191</v>
      </c>
      <c r="AM115" s="839">
        <f t="shared" si="8"/>
        <v>0</v>
      </c>
      <c r="AN115" s="721"/>
      <c r="AO115" s="721"/>
      <c r="AP115" s="721"/>
      <c r="AQ115" s="721"/>
      <c r="AR115" s="721"/>
      <c r="AS115" s="721"/>
      <c r="AT115" s="721"/>
      <c r="AU115" s="721"/>
      <c r="AV115" s="721"/>
      <c r="AW115" s="721"/>
      <c r="AX115" s="721"/>
    </row>
    <row r="116" spans="1:50" ht="13.5" thickBot="1" x14ac:dyDescent="0.25">
      <c r="A116" s="1492"/>
      <c r="B116" s="834" t="s">
        <v>618</v>
      </c>
      <c r="C116" s="835" t="s">
        <v>604</v>
      </c>
      <c r="D116" s="835" t="s">
        <v>503</v>
      </c>
      <c r="E116" s="835">
        <v>0</v>
      </c>
      <c r="F116" s="841">
        <v>42000</v>
      </c>
      <c r="G116" s="833">
        <f t="shared" si="4"/>
        <v>0</v>
      </c>
      <c r="H116" s="721"/>
      <c r="I116" s="1487"/>
      <c r="J116" s="834" t="s">
        <v>621</v>
      </c>
      <c r="K116" s="835" t="s">
        <v>604</v>
      </c>
      <c r="L116" s="835" t="s">
        <v>530</v>
      </c>
      <c r="M116" s="835">
        <v>40</v>
      </c>
      <c r="N116" s="836">
        <v>52900</v>
      </c>
      <c r="O116" s="865">
        <f t="shared" si="5"/>
        <v>2116000</v>
      </c>
      <c r="P116" s="721"/>
      <c r="Q116" s="1487"/>
      <c r="R116" s="834" t="s">
        <v>621</v>
      </c>
      <c r="S116" s="835" t="s">
        <v>604</v>
      </c>
      <c r="T116" s="835" t="s">
        <v>530</v>
      </c>
      <c r="U116" s="835">
        <v>24</v>
      </c>
      <c r="V116" s="836">
        <v>52900</v>
      </c>
      <c r="W116" s="839">
        <f t="shared" si="6"/>
        <v>1269600</v>
      </c>
      <c r="X116" s="721"/>
      <c r="Y116" s="1487"/>
      <c r="Z116" s="834" t="s">
        <v>618</v>
      </c>
      <c r="AA116" s="835" t="s">
        <v>604</v>
      </c>
      <c r="AB116" s="835" t="s">
        <v>503</v>
      </c>
      <c r="AC116" s="835">
        <v>0</v>
      </c>
      <c r="AD116" s="836">
        <v>42000</v>
      </c>
      <c r="AE116" s="839">
        <f t="shared" si="7"/>
        <v>0</v>
      </c>
      <c r="AF116" s="721"/>
      <c r="AG116" s="1487"/>
      <c r="AH116" s="834" t="s">
        <v>617</v>
      </c>
      <c r="AI116" s="835" t="s">
        <v>604</v>
      </c>
      <c r="AJ116" s="835" t="s">
        <v>503</v>
      </c>
      <c r="AK116" s="835">
        <v>14</v>
      </c>
      <c r="AL116" s="836">
        <v>16000</v>
      </c>
      <c r="AM116" s="839">
        <f t="shared" si="8"/>
        <v>224000</v>
      </c>
      <c r="AN116" s="721"/>
      <c r="AO116" s="721"/>
      <c r="AP116" s="721"/>
      <c r="AQ116" s="721"/>
      <c r="AR116" s="721"/>
      <c r="AS116" s="721"/>
      <c r="AT116" s="721"/>
      <c r="AU116" s="721"/>
      <c r="AV116" s="721"/>
      <c r="AW116" s="721"/>
      <c r="AX116" s="721"/>
    </row>
    <row r="117" spans="1:50" ht="13.5" thickBot="1" x14ac:dyDescent="0.25">
      <c r="A117" s="1492"/>
      <c r="B117" s="834" t="s">
        <v>622</v>
      </c>
      <c r="C117" s="835" t="s">
        <v>604</v>
      </c>
      <c r="D117" s="835" t="s">
        <v>503</v>
      </c>
      <c r="E117" s="835">
        <v>0</v>
      </c>
      <c r="F117" s="841">
        <v>80000</v>
      </c>
      <c r="G117" s="833">
        <f t="shared" si="4"/>
        <v>0</v>
      </c>
      <c r="H117" s="721"/>
      <c r="I117" s="1488"/>
      <c r="J117" s="834" t="s">
        <v>623</v>
      </c>
      <c r="K117" s="835" t="s">
        <v>604</v>
      </c>
      <c r="L117" s="835" t="s">
        <v>551</v>
      </c>
      <c r="M117" s="835">
        <v>6</v>
      </c>
      <c r="N117" s="836">
        <v>19990</v>
      </c>
      <c r="O117" s="865">
        <f t="shared" si="5"/>
        <v>119940</v>
      </c>
      <c r="P117" s="721"/>
      <c r="Q117" s="1488"/>
      <c r="R117" s="844" t="s">
        <v>623</v>
      </c>
      <c r="S117" s="835" t="s">
        <v>604</v>
      </c>
      <c r="T117" s="835" t="s">
        <v>551</v>
      </c>
      <c r="U117" s="845">
        <v>12</v>
      </c>
      <c r="V117" s="846">
        <v>17000</v>
      </c>
      <c r="W117" s="839">
        <f t="shared" si="6"/>
        <v>204000</v>
      </c>
      <c r="X117" s="721"/>
      <c r="Y117" s="1487"/>
      <c r="Z117" s="834" t="s">
        <v>619</v>
      </c>
      <c r="AA117" s="835" t="s">
        <v>604</v>
      </c>
      <c r="AB117" s="835" t="s">
        <v>503</v>
      </c>
      <c r="AC117" s="835">
        <v>3</v>
      </c>
      <c r="AD117" s="836">
        <v>32000</v>
      </c>
      <c r="AE117" s="839">
        <f t="shared" si="7"/>
        <v>96000</v>
      </c>
      <c r="AF117" s="721"/>
      <c r="AG117" s="1487"/>
      <c r="AH117" s="834" t="s">
        <v>618</v>
      </c>
      <c r="AI117" s="835" t="s">
        <v>604</v>
      </c>
      <c r="AJ117" s="835" t="s">
        <v>503</v>
      </c>
      <c r="AK117" s="835">
        <v>0</v>
      </c>
      <c r="AL117" s="836">
        <v>42000</v>
      </c>
      <c r="AM117" s="839">
        <f t="shared" si="8"/>
        <v>0</v>
      </c>
      <c r="AN117" s="721"/>
      <c r="AO117" s="721"/>
      <c r="AP117" s="721"/>
      <c r="AQ117" s="721"/>
      <c r="AR117" s="721"/>
      <c r="AS117" s="721"/>
      <c r="AT117" s="721"/>
      <c r="AU117" s="721"/>
      <c r="AV117" s="721"/>
      <c r="AW117" s="721"/>
      <c r="AX117" s="721"/>
    </row>
    <row r="118" spans="1:50" ht="13.5" thickBot="1" x14ac:dyDescent="0.25">
      <c r="A118" s="1492"/>
      <c r="B118" s="834" t="s">
        <v>621</v>
      </c>
      <c r="C118" s="835" t="s">
        <v>604</v>
      </c>
      <c r="D118" s="835" t="s">
        <v>530</v>
      </c>
      <c r="E118" s="835">
        <v>0</v>
      </c>
      <c r="F118" s="841">
        <v>52900</v>
      </c>
      <c r="G118" s="833">
        <f t="shared" si="4"/>
        <v>0</v>
      </c>
      <c r="H118" s="721"/>
      <c r="I118" s="1488"/>
      <c r="J118" s="834" t="s">
        <v>624</v>
      </c>
      <c r="K118" s="835" t="s">
        <v>604</v>
      </c>
      <c r="L118" s="835" t="s">
        <v>625</v>
      </c>
      <c r="M118" s="835">
        <v>3</v>
      </c>
      <c r="N118" s="836">
        <v>34000</v>
      </c>
      <c r="O118" s="865">
        <f t="shared" si="5"/>
        <v>102000</v>
      </c>
      <c r="P118" s="721"/>
      <c r="Q118" s="1488"/>
      <c r="R118" s="844" t="s">
        <v>624</v>
      </c>
      <c r="S118" s="835" t="s">
        <v>604</v>
      </c>
      <c r="T118" s="835" t="s">
        <v>625</v>
      </c>
      <c r="U118" s="845">
        <v>6</v>
      </c>
      <c r="V118" s="846">
        <v>18000</v>
      </c>
      <c r="W118" s="839">
        <f t="shared" si="6"/>
        <v>108000</v>
      </c>
      <c r="X118" s="721"/>
      <c r="Y118" s="1487"/>
      <c r="Z118" s="834" t="s">
        <v>621</v>
      </c>
      <c r="AA118" s="835" t="s">
        <v>604</v>
      </c>
      <c r="AB118" s="835" t="s">
        <v>530</v>
      </c>
      <c r="AC118" s="835">
        <v>0</v>
      </c>
      <c r="AD118" s="836">
        <v>52900</v>
      </c>
      <c r="AE118" s="839">
        <f t="shared" si="7"/>
        <v>0</v>
      </c>
      <c r="AF118" s="721"/>
      <c r="AG118" s="1487"/>
      <c r="AH118" s="834" t="s">
        <v>619</v>
      </c>
      <c r="AI118" s="835" t="s">
        <v>604</v>
      </c>
      <c r="AJ118" s="835" t="s">
        <v>503</v>
      </c>
      <c r="AK118" s="835">
        <v>0</v>
      </c>
      <c r="AL118" s="836">
        <v>32000</v>
      </c>
      <c r="AM118" s="839">
        <f t="shared" si="8"/>
        <v>0</v>
      </c>
      <c r="AN118" s="721"/>
      <c r="AO118" s="721"/>
      <c r="AP118" s="721"/>
      <c r="AQ118" s="721"/>
      <c r="AR118" s="721"/>
      <c r="AS118" s="721"/>
      <c r="AT118" s="721"/>
      <c r="AU118" s="721"/>
      <c r="AV118" s="721"/>
      <c r="AW118" s="721"/>
      <c r="AX118" s="721"/>
    </row>
    <row r="119" spans="1:50" ht="13.5" thickBot="1" x14ac:dyDescent="0.25">
      <c r="A119" s="1492"/>
      <c r="B119" s="844" t="s">
        <v>623</v>
      </c>
      <c r="C119" s="835" t="s">
        <v>604</v>
      </c>
      <c r="D119" s="835" t="s">
        <v>551</v>
      </c>
      <c r="E119" s="845">
        <v>0</v>
      </c>
      <c r="F119" s="847">
        <v>17000</v>
      </c>
      <c r="G119" s="833">
        <f t="shared" si="4"/>
        <v>0</v>
      </c>
      <c r="H119" s="721"/>
      <c r="I119" s="1488"/>
      <c r="J119" s="834" t="s">
        <v>626</v>
      </c>
      <c r="K119" s="835" t="s">
        <v>604</v>
      </c>
      <c r="L119" s="835" t="s">
        <v>503</v>
      </c>
      <c r="M119" s="835">
        <v>0</v>
      </c>
      <c r="N119" s="836">
        <v>1000000</v>
      </c>
      <c r="O119" s="865">
        <f t="shared" si="5"/>
        <v>0</v>
      </c>
      <c r="P119" s="721"/>
      <c r="Q119" s="1488"/>
      <c r="R119" s="844" t="s">
        <v>626</v>
      </c>
      <c r="S119" s="835" t="s">
        <v>604</v>
      </c>
      <c r="T119" s="835" t="s">
        <v>503</v>
      </c>
      <c r="U119" s="845">
        <v>0</v>
      </c>
      <c r="V119" s="846">
        <v>1000000</v>
      </c>
      <c r="W119" s="839">
        <f t="shared" si="6"/>
        <v>0</v>
      </c>
      <c r="X119" s="721"/>
      <c r="Y119" s="1488"/>
      <c r="Z119" s="844" t="s">
        <v>623</v>
      </c>
      <c r="AA119" s="835" t="s">
        <v>604</v>
      </c>
      <c r="AB119" s="835" t="s">
        <v>551</v>
      </c>
      <c r="AC119" s="845">
        <v>0</v>
      </c>
      <c r="AD119" s="846">
        <v>17000</v>
      </c>
      <c r="AE119" s="839">
        <f t="shared" si="7"/>
        <v>0</v>
      </c>
      <c r="AF119" s="721"/>
      <c r="AG119" s="1487"/>
      <c r="AH119" s="834" t="s">
        <v>621</v>
      </c>
      <c r="AI119" s="835" t="s">
        <v>604</v>
      </c>
      <c r="AJ119" s="835" t="s">
        <v>530</v>
      </c>
      <c r="AK119" s="835">
        <v>0</v>
      </c>
      <c r="AL119" s="836">
        <v>52900</v>
      </c>
      <c r="AM119" s="839">
        <f t="shared" si="8"/>
        <v>0</v>
      </c>
      <c r="AN119" s="721"/>
      <c r="AO119" s="721"/>
      <c r="AP119" s="721"/>
      <c r="AQ119" s="721"/>
      <c r="AR119" s="721"/>
      <c r="AS119" s="721"/>
      <c r="AT119" s="721"/>
      <c r="AU119" s="721"/>
      <c r="AV119" s="721"/>
      <c r="AW119" s="721"/>
      <c r="AX119" s="721"/>
    </row>
    <row r="120" spans="1:50" ht="13.5" thickBot="1" x14ac:dyDescent="0.25">
      <c r="A120" s="1492"/>
      <c r="B120" s="844" t="s">
        <v>624</v>
      </c>
      <c r="C120" s="835" t="s">
        <v>604</v>
      </c>
      <c r="D120" s="835" t="s">
        <v>625</v>
      </c>
      <c r="E120" s="845">
        <v>0</v>
      </c>
      <c r="F120" s="847">
        <v>34000</v>
      </c>
      <c r="G120" s="833">
        <f t="shared" si="4"/>
        <v>0</v>
      </c>
      <c r="H120" s="721"/>
      <c r="I120" s="1488"/>
      <c r="J120" s="844" t="s">
        <v>627</v>
      </c>
      <c r="K120" s="845" t="s">
        <v>604</v>
      </c>
      <c r="L120" s="845" t="s">
        <v>503</v>
      </c>
      <c r="M120" s="845">
        <v>2</v>
      </c>
      <c r="N120" s="846">
        <v>260000</v>
      </c>
      <c r="O120" s="865">
        <f t="shared" si="5"/>
        <v>520000</v>
      </c>
      <c r="P120" s="721"/>
      <c r="Q120" s="1490"/>
      <c r="R120" s="878" t="s">
        <v>627</v>
      </c>
      <c r="S120" s="879" t="s">
        <v>604</v>
      </c>
      <c r="T120" s="879" t="s">
        <v>503</v>
      </c>
      <c r="U120" s="879">
        <v>0</v>
      </c>
      <c r="V120" s="880">
        <v>260000</v>
      </c>
      <c r="W120" s="839">
        <f t="shared" si="6"/>
        <v>0</v>
      </c>
      <c r="X120" s="721"/>
      <c r="Y120" s="1488"/>
      <c r="Z120" s="844" t="s">
        <v>624</v>
      </c>
      <c r="AA120" s="835" t="s">
        <v>604</v>
      </c>
      <c r="AB120" s="835" t="s">
        <v>625</v>
      </c>
      <c r="AC120" s="845">
        <v>0</v>
      </c>
      <c r="AD120" s="846">
        <v>18000</v>
      </c>
      <c r="AE120" s="839">
        <f t="shared" si="7"/>
        <v>0</v>
      </c>
      <c r="AF120" s="721"/>
      <c r="AG120" s="1488"/>
      <c r="AH120" s="844" t="s">
        <v>623</v>
      </c>
      <c r="AI120" s="835" t="s">
        <v>604</v>
      </c>
      <c r="AJ120" s="835" t="s">
        <v>551</v>
      </c>
      <c r="AK120" s="845">
        <v>0</v>
      </c>
      <c r="AL120" s="846">
        <v>17000</v>
      </c>
      <c r="AM120" s="839">
        <f t="shared" si="8"/>
        <v>0</v>
      </c>
      <c r="AN120" s="721"/>
      <c r="AO120" s="721"/>
      <c r="AP120" s="721"/>
      <c r="AQ120" s="721"/>
      <c r="AR120" s="721"/>
      <c r="AS120" s="721"/>
      <c r="AT120" s="721"/>
      <c r="AU120" s="721"/>
      <c r="AV120" s="721"/>
      <c r="AW120" s="721"/>
      <c r="AX120" s="721"/>
    </row>
    <row r="121" spans="1:50" ht="13.5" thickBot="1" x14ac:dyDescent="0.25">
      <c r="A121" s="1492"/>
      <c r="B121" s="844" t="s">
        <v>626</v>
      </c>
      <c r="C121" s="835" t="s">
        <v>604</v>
      </c>
      <c r="D121" s="835" t="s">
        <v>503</v>
      </c>
      <c r="E121" s="845">
        <v>0</v>
      </c>
      <c r="F121" s="847">
        <v>1000000</v>
      </c>
      <c r="G121" s="833">
        <f t="shared" si="4"/>
        <v>0</v>
      </c>
      <c r="H121" s="721"/>
      <c r="I121" s="849"/>
      <c r="J121" s="850"/>
      <c r="K121" s="851"/>
      <c r="L121" s="851"/>
      <c r="M121" s="851"/>
      <c r="N121" s="881" t="s">
        <v>209</v>
      </c>
      <c r="O121" s="882">
        <f>SUM(O102:O120)</f>
        <v>3017940</v>
      </c>
      <c r="P121" s="721"/>
      <c r="Q121" s="854"/>
      <c r="R121" s="855"/>
      <c r="S121" s="856"/>
      <c r="T121" s="856"/>
      <c r="U121" s="856"/>
      <c r="V121" s="857" t="s">
        <v>209</v>
      </c>
      <c r="W121" s="858">
        <f>SUM(W102:W120)</f>
        <v>4052640</v>
      </c>
      <c r="X121" s="721"/>
      <c r="Y121" s="1488"/>
      <c r="Z121" s="844" t="s">
        <v>626</v>
      </c>
      <c r="AA121" s="835" t="s">
        <v>604</v>
      </c>
      <c r="AB121" s="835" t="s">
        <v>503</v>
      </c>
      <c r="AC121" s="845">
        <v>0</v>
      </c>
      <c r="AD121" s="846">
        <v>1000000</v>
      </c>
      <c r="AE121" s="839">
        <f t="shared" si="7"/>
        <v>0</v>
      </c>
      <c r="AF121" s="721"/>
      <c r="AG121" s="1488"/>
      <c r="AH121" s="844" t="s">
        <v>624</v>
      </c>
      <c r="AI121" s="835" t="s">
        <v>604</v>
      </c>
      <c r="AJ121" s="835" t="s">
        <v>551</v>
      </c>
      <c r="AK121" s="845">
        <v>0</v>
      </c>
      <c r="AL121" s="846">
        <v>18000</v>
      </c>
      <c r="AM121" s="839">
        <f t="shared" si="8"/>
        <v>0</v>
      </c>
      <c r="AN121" s="721"/>
      <c r="AO121" s="721"/>
      <c r="AP121" s="721"/>
      <c r="AQ121" s="721"/>
      <c r="AR121" s="721"/>
      <c r="AS121" s="721"/>
      <c r="AT121" s="721"/>
      <c r="AU121" s="721"/>
      <c r="AV121" s="721"/>
      <c r="AW121" s="721"/>
      <c r="AX121" s="721"/>
    </row>
    <row r="122" spans="1:50" ht="13.5" thickBot="1" x14ac:dyDescent="0.25">
      <c r="A122" s="1492"/>
      <c r="B122" s="883" t="s">
        <v>628</v>
      </c>
      <c r="C122" s="879" t="s">
        <v>604</v>
      </c>
      <c r="D122" s="879" t="s">
        <v>503</v>
      </c>
      <c r="E122" s="879">
        <v>0</v>
      </c>
      <c r="F122" s="884">
        <v>139990</v>
      </c>
      <c r="G122" s="833">
        <f t="shared" si="4"/>
        <v>0</v>
      </c>
      <c r="H122" s="721"/>
      <c r="I122" s="1493" t="s">
        <v>629</v>
      </c>
      <c r="J122" s="862" t="s">
        <v>630</v>
      </c>
      <c r="K122" s="863" t="s">
        <v>631</v>
      </c>
      <c r="L122" s="885" t="s">
        <v>487</v>
      </c>
      <c r="M122" s="863">
        <v>0</v>
      </c>
      <c r="N122" s="864">
        <v>12720</v>
      </c>
      <c r="O122" s="886">
        <f>N122*M122</f>
        <v>0</v>
      </c>
      <c r="P122" s="721"/>
      <c r="Q122" s="1494" t="s">
        <v>629</v>
      </c>
      <c r="R122" s="829" t="s">
        <v>630</v>
      </c>
      <c r="S122" s="831" t="s">
        <v>631</v>
      </c>
      <c r="T122" s="887" t="s">
        <v>487</v>
      </c>
      <c r="U122" s="831">
        <v>0</v>
      </c>
      <c r="V122" s="838">
        <v>12720</v>
      </c>
      <c r="W122" s="839">
        <f t="shared" si="6"/>
        <v>0</v>
      </c>
      <c r="X122" s="721"/>
      <c r="Y122" s="1490"/>
      <c r="Z122" s="878" t="s">
        <v>627</v>
      </c>
      <c r="AA122" s="879" t="s">
        <v>604</v>
      </c>
      <c r="AB122" s="879" t="s">
        <v>503</v>
      </c>
      <c r="AC122" s="879">
        <v>0</v>
      </c>
      <c r="AD122" s="880">
        <v>260000</v>
      </c>
      <c r="AE122" s="839">
        <f t="shared" si="7"/>
        <v>0</v>
      </c>
      <c r="AF122" s="721"/>
      <c r="AG122" s="1488"/>
      <c r="AH122" s="844" t="s">
        <v>626</v>
      </c>
      <c r="AI122" s="835" t="s">
        <v>604</v>
      </c>
      <c r="AJ122" s="835" t="s">
        <v>503</v>
      </c>
      <c r="AK122" s="845">
        <v>0</v>
      </c>
      <c r="AL122" s="846">
        <v>1000000</v>
      </c>
      <c r="AM122" s="839">
        <f t="shared" si="8"/>
        <v>0</v>
      </c>
      <c r="AN122" s="721"/>
      <c r="AO122" s="721"/>
      <c r="AP122" s="721"/>
      <c r="AQ122" s="721"/>
      <c r="AR122" s="721"/>
      <c r="AS122" s="721"/>
      <c r="AT122" s="721"/>
      <c r="AU122" s="721"/>
      <c r="AV122" s="721"/>
      <c r="AW122" s="721"/>
      <c r="AX122" s="721"/>
    </row>
    <row r="123" spans="1:50" ht="13.5" thickBot="1" x14ac:dyDescent="0.25">
      <c r="A123" s="868"/>
      <c r="B123" s="888"/>
      <c r="C123" s="856"/>
      <c r="D123" s="856"/>
      <c r="E123" s="856"/>
      <c r="F123" s="870" t="s">
        <v>209</v>
      </c>
      <c r="G123" s="889">
        <f>SUM(G104:G122)</f>
        <v>0</v>
      </c>
      <c r="H123" s="721"/>
      <c r="I123" s="1493"/>
      <c r="J123" s="834" t="s">
        <v>632</v>
      </c>
      <c r="K123" s="835" t="s">
        <v>631</v>
      </c>
      <c r="L123" s="890" t="s">
        <v>487</v>
      </c>
      <c r="M123" s="835">
        <v>0</v>
      </c>
      <c r="N123" s="836">
        <v>14990</v>
      </c>
      <c r="O123" s="886">
        <f t="shared" ref="O123:O186" si="9">N123*M123</f>
        <v>0</v>
      </c>
      <c r="P123" s="721"/>
      <c r="Q123" s="1493"/>
      <c r="R123" s="834" t="s">
        <v>632</v>
      </c>
      <c r="S123" s="835" t="s">
        <v>631</v>
      </c>
      <c r="T123" s="890" t="s">
        <v>487</v>
      </c>
      <c r="U123" s="835">
        <v>0</v>
      </c>
      <c r="V123" s="836">
        <v>14990</v>
      </c>
      <c r="W123" s="839">
        <f t="shared" si="6"/>
        <v>0</v>
      </c>
      <c r="X123" s="721"/>
      <c r="Y123" s="866"/>
      <c r="Z123" s="855"/>
      <c r="AA123" s="856"/>
      <c r="AB123" s="856"/>
      <c r="AC123" s="856"/>
      <c r="AD123" s="857" t="s">
        <v>209</v>
      </c>
      <c r="AE123" s="858">
        <f>SUM(AE104:AE122)</f>
        <v>539000</v>
      </c>
      <c r="AF123" s="721"/>
      <c r="AG123" s="1488"/>
      <c r="AH123" s="834" t="s">
        <v>633</v>
      </c>
      <c r="AI123" s="835" t="s">
        <v>604</v>
      </c>
      <c r="AJ123" s="835" t="s">
        <v>472</v>
      </c>
      <c r="AK123" s="835">
        <v>0</v>
      </c>
      <c r="AL123" s="846">
        <v>117900</v>
      </c>
      <c r="AM123" s="839">
        <f t="shared" si="8"/>
        <v>0</v>
      </c>
      <c r="AN123" s="721"/>
      <c r="AO123" s="721"/>
      <c r="AP123" s="721"/>
      <c r="AQ123" s="721"/>
      <c r="AR123" s="721"/>
      <c r="AS123" s="721"/>
      <c r="AT123" s="721"/>
      <c r="AU123" s="721"/>
      <c r="AV123" s="721"/>
      <c r="AW123" s="721"/>
      <c r="AX123" s="721"/>
    </row>
    <row r="124" spans="1:50" ht="13.5" thickBot="1" x14ac:dyDescent="0.25">
      <c r="A124" s="1494" t="s">
        <v>629</v>
      </c>
      <c r="B124" s="829" t="s">
        <v>630</v>
      </c>
      <c r="C124" s="831" t="s">
        <v>631</v>
      </c>
      <c r="D124" s="887" t="s">
        <v>487</v>
      </c>
      <c r="E124" s="831">
        <v>0</v>
      </c>
      <c r="F124" s="832">
        <v>12720</v>
      </c>
      <c r="G124" s="833">
        <f t="shared" si="4"/>
        <v>0</v>
      </c>
      <c r="H124" s="721"/>
      <c r="I124" s="1493"/>
      <c r="J124" s="834" t="s">
        <v>634</v>
      </c>
      <c r="K124" s="835" t="s">
        <v>631</v>
      </c>
      <c r="L124" s="890" t="s">
        <v>487</v>
      </c>
      <c r="M124" s="835">
        <v>0</v>
      </c>
      <c r="N124" s="836">
        <v>58900</v>
      </c>
      <c r="O124" s="886">
        <f t="shared" si="9"/>
        <v>0</v>
      </c>
      <c r="P124" s="721"/>
      <c r="Q124" s="1493"/>
      <c r="R124" s="834" t="s">
        <v>634</v>
      </c>
      <c r="S124" s="835" t="s">
        <v>631</v>
      </c>
      <c r="T124" s="890" t="s">
        <v>487</v>
      </c>
      <c r="U124" s="835">
        <v>0</v>
      </c>
      <c r="V124" s="836">
        <v>58900</v>
      </c>
      <c r="W124" s="839">
        <f t="shared" si="6"/>
        <v>0</v>
      </c>
      <c r="X124" s="721"/>
      <c r="Y124" s="1494" t="s">
        <v>629</v>
      </c>
      <c r="Z124" s="829" t="s">
        <v>630</v>
      </c>
      <c r="AA124" s="831" t="s">
        <v>631</v>
      </c>
      <c r="AB124" s="887" t="s">
        <v>487</v>
      </c>
      <c r="AC124" s="831">
        <v>0</v>
      </c>
      <c r="AD124" s="838">
        <v>12720</v>
      </c>
      <c r="AE124" s="839">
        <f t="shared" si="7"/>
        <v>0</v>
      </c>
      <c r="AF124" s="721"/>
      <c r="AG124" s="1488"/>
      <c r="AH124" s="834" t="s">
        <v>635</v>
      </c>
      <c r="AI124" s="835" t="s">
        <v>604</v>
      </c>
      <c r="AJ124" s="835" t="s">
        <v>472</v>
      </c>
      <c r="AK124" s="835">
        <v>0</v>
      </c>
      <c r="AL124" s="846">
        <v>350000</v>
      </c>
      <c r="AM124" s="839">
        <f t="shared" si="8"/>
        <v>0</v>
      </c>
      <c r="AN124" s="721"/>
      <c r="AO124" s="721"/>
      <c r="AP124" s="721"/>
      <c r="AQ124" s="721"/>
      <c r="AR124" s="721"/>
      <c r="AS124" s="721"/>
      <c r="AT124" s="721"/>
      <c r="AU124" s="721"/>
      <c r="AV124" s="721"/>
      <c r="AW124" s="721"/>
      <c r="AX124" s="721"/>
    </row>
    <row r="125" spans="1:50" ht="13.5" thickBot="1" x14ac:dyDescent="0.25">
      <c r="A125" s="1494"/>
      <c r="B125" s="834" t="s">
        <v>632</v>
      </c>
      <c r="C125" s="835" t="s">
        <v>631</v>
      </c>
      <c r="D125" s="890" t="s">
        <v>487</v>
      </c>
      <c r="E125" s="835">
        <v>0</v>
      </c>
      <c r="F125" s="841">
        <v>14990</v>
      </c>
      <c r="G125" s="833">
        <f t="shared" si="4"/>
        <v>0</v>
      </c>
      <c r="H125" s="721"/>
      <c r="I125" s="1493"/>
      <c r="J125" s="834" t="s">
        <v>636</v>
      </c>
      <c r="K125" s="835" t="s">
        <v>631</v>
      </c>
      <c r="L125" s="890" t="s">
        <v>487</v>
      </c>
      <c r="M125" s="835">
        <v>0</v>
      </c>
      <c r="N125" s="836">
        <v>14900</v>
      </c>
      <c r="O125" s="886">
        <f t="shared" si="9"/>
        <v>0</v>
      </c>
      <c r="P125" s="721"/>
      <c r="Q125" s="1493"/>
      <c r="R125" s="834" t="s">
        <v>636</v>
      </c>
      <c r="S125" s="835" t="s">
        <v>631</v>
      </c>
      <c r="T125" s="890" t="s">
        <v>487</v>
      </c>
      <c r="U125" s="835">
        <v>0</v>
      </c>
      <c r="V125" s="836">
        <v>14900</v>
      </c>
      <c r="W125" s="839">
        <f t="shared" si="6"/>
        <v>0</v>
      </c>
      <c r="X125" s="721"/>
      <c r="Y125" s="1493"/>
      <c r="Z125" s="834" t="s">
        <v>632</v>
      </c>
      <c r="AA125" s="835" t="s">
        <v>631</v>
      </c>
      <c r="AB125" s="890" t="s">
        <v>487</v>
      </c>
      <c r="AC125" s="831">
        <v>0</v>
      </c>
      <c r="AD125" s="836">
        <v>14990</v>
      </c>
      <c r="AE125" s="839">
        <f t="shared" si="7"/>
        <v>0</v>
      </c>
      <c r="AF125" s="721"/>
      <c r="AG125" s="1488"/>
      <c r="AH125" s="834" t="s">
        <v>637</v>
      </c>
      <c r="AI125" s="835" t="s">
        <v>604</v>
      </c>
      <c r="AJ125" s="835" t="s">
        <v>472</v>
      </c>
      <c r="AK125" s="835">
        <v>0</v>
      </c>
      <c r="AL125" s="846">
        <v>490000</v>
      </c>
      <c r="AM125" s="839">
        <f t="shared" si="8"/>
        <v>0</v>
      </c>
      <c r="AN125" s="721"/>
      <c r="AO125" s="721"/>
      <c r="AP125" s="721"/>
      <c r="AQ125" s="721"/>
      <c r="AR125" s="721"/>
      <c r="AS125" s="721"/>
      <c r="AT125" s="721"/>
      <c r="AU125" s="721"/>
      <c r="AV125" s="721"/>
      <c r="AW125" s="721"/>
      <c r="AX125" s="721"/>
    </row>
    <row r="126" spans="1:50" ht="13.5" thickBot="1" x14ac:dyDescent="0.25">
      <c r="A126" s="1494"/>
      <c r="B126" s="834" t="s">
        <v>634</v>
      </c>
      <c r="C126" s="835" t="s">
        <v>631</v>
      </c>
      <c r="D126" s="890" t="s">
        <v>487</v>
      </c>
      <c r="E126" s="835">
        <v>0</v>
      </c>
      <c r="F126" s="841">
        <v>58900</v>
      </c>
      <c r="G126" s="833">
        <f t="shared" si="4"/>
        <v>0</v>
      </c>
      <c r="H126" s="721"/>
      <c r="I126" s="1493"/>
      <c r="J126" s="834" t="s">
        <v>638</v>
      </c>
      <c r="K126" s="835" t="s">
        <v>631</v>
      </c>
      <c r="L126" s="890" t="s">
        <v>487</v>
      </c>
      <c r="M126" s="835">
        <v>0</v>
      </c>
      <c r="N126" s="836">
        <v>159980</v>
      </c>
      <c r="O126" s="886">
        <f t="shared" si="9"/>
        <v>0</v>
      </c>
      <c r="P126" s="721"/>
      <c r="Q126" s="1493"/>
      <c r="R126" s="834" t="s">
        <v>638</v>
      </c>
      <c r="S126" s="835" t="s">
        <v>631</v>
      </c>
      <c r="T126" s="890" t="s">
        <v>487</v>
      </c>
      <c r="U126" s="835">
        <v>0</v>
      </c>
      <c r="V126" s="836">
        <v>159980</v>
      </c>
      <c r="W126" s="839">
        <f t="shared" si="6"/>
        <v>0</v>
      </c>
      <c r="X126" s="721"/>
      <c r="Y126" s="1493"/>
      <c r="Z126" s="834" t="s">
        <v>634</v>
      </c>
      <c r="AA126" s="835" t="s">
        <v>631</v>
      </c>
      <c r="AB126" s="890" t="s">
        <v>487</v>
      </c>
      <c r="AC126" s="831">
        <v>0</v>
      </c>
      <c r="AD126" s="836">
        <v>58900</v>
      </c>
      <c r="AE126" s="839">
        <f t="shared" si="7"/>
        <v>0</v>
      </c>
      <c r="AF126" s="721"/>
      <c r="AG126" s="1488"/>
      <c r="AH126" s="834" t="s">
        <v>639</v>
      </c>
      <c r="AI126" s="835" t="s">
        <v>604</v>
      </c>
      <c r="AJ126" s="835" t="s">
        <v>472</v>
      </c>
      <c r="AK126" s="835">
        <v>0</v>
      </c>
      <c r="AL126" s="846">
        <v>150000</v>
      </c>
      <c r="AM126" s="839">
        <f>AK126*AL126</f>
        <v>0</v>
      </c>
      <c r="AN126" s="721"/>
      <c r="AO126" s="721"/>
      <c r="AP126" s="721"/>
      <c r="AQ126" s="721"/>
      <c r="AR126" s="721"/>
      <c r="AS126" s="721"/>
      <c r="AT126" s="721"/>
      <c r="AU126" s="721"/>
      <c r="AV126" s="721"/>
      <c r="AW126" s="721"/>
      <c r="AX126" s="721"/>
    </row>
    <row r="127" spans="1:50" ht="13.5" thickBot="1" x14ac:dyDescent="0.25">
      <c r="A127" s="1494"/>
      <c r="B127" s="834" t="s">
        <v>636</v>
      </c>
      <c r="C127" s="835" t="s">
        <v>631</v>
      </c>
      <c r="D127" s="890" t="s">
        <v>487</v>
      </c>
      <c r="E127" s="835">
        <v>0</v>
      </c>
      <c r="F127" s="841">
        <v>14900</v>
      </c>
      <c r="G127" s="833">
        <f t="shared" si="4"/>
        <v>0</v>
      </c>
      <c r="H127" s="721"/>
      <c r="I127" s="1493"/>
      <c r="J127" s="834" t="s">
        <v>640</v>
      </c>
      <c r="K127" s="835" t="s">
        <v>631</v>
      </c>
      <c r="L127" s="890" t="s">
        <v>487</v>
      </c>
      <c r="M127" s="835">
        <v>0</v>
      </c>
      <c r="N127" s="836">
        <v>12900</v>
      </c>
      <c r="O127" s="886">
        <f t="shared" si="9"/>
        <v>0</v>
      </c>
      <c r="P127" s="721"/>
      <c r="Q127" s="1493"/>
      <c r="R127" s="834" t="s">
        <v>640</v>
      </c>
      <c r="S127" s="835" t="s">
        <v>631</v>
      </c>
      <c r="T127" s="890" t="s">
        <v>487</v>
      </c>
      <c r="U127" s="835">
        <v>0</v>
      </c>
      <c r="V127" s="836">
        <v>12900</v>
      </c>
      <c r="W127" s="839">
        <f t="shared" si="6"/>
        <v>0</v>
      </c>
      <c r="X127" s="721"/>
      <c r="Y127" s="1493"/>
      <c r="Z127" s="834" t="s">
        <v>636</v>
      </c>
      <c r="AA127" s="835" t="s">
        <v>631</v>
      </c>
      <c r="AB127" s="890" t="s">
        <v>487</v>
      </c>
      <c r="AC127" s="831">
        <v>0</v>
      </c>
      <c r="AD127" s="836">
        <v>14900</v>
      </c>
      <c r="AE127" s="839">
        <f t="shared" si="7"/>
        <v>0</v>
      </c>
      <c r="AF127" s="721"/>
      <c r="AG127" s="1490"/>
      <c r="AH127" s="878" t="s">
        <v>641</v>
      </c>
      <c r="AI127" s="879" t="s">
        <v>604</v>
      </c>
      <c r="AJ127" s="879" t="s">
        <v>503</v>
      </c>
      <c r="AK127" s="879">
        <v>2</v>
      </c>
      <c r="AL127" s="880">
        <f>283101*1.042</f>
        <v>294991.24200000003</v>
      </c>
      <c r="AM127" s="839">
        <f t="shared" si="8"/>
        <v>589982.48400000005</v>
      </c>
      <c r="AN127" s="721"/>
      <c r="AO127" s="721"/>
      <c r="AP127" s="721"/>
      <c r="AQ127" s="721"/>
      <c r="AR127" s="721"/>
      <c r="AS127" s="721"/>
      <c r="AT127" s="721"/>
      <c r="AU127" s="721"/>
      <c r="AV127" s="721"/>
      <c r="AW127" s="721"/>
      <c r="AX127" s="721"/>
    </row>
    <row r="128" spans="1:50" ht="13.5" thickBot="1" x14ac:dyDescent="0.25">
      <c r="A128" s="1494"/>
      <c r="B128" s="834" t="s">
        <v>638</v>
      </c>
      <c r="C128" s="835" t="s">
        <v>631</v>
      </c>
      <c r="D128" s="890" t="s">
        <v>487</v>
      </c>
      <c r="E128" s="835">
        <v>0</v>
      </c>
      <c r="F128" s="841">
        <v>159980</v>
      </c>
      <c r="G128" s="833">
        <f t="shared" si="4"/>
        <v>0</v>
      </c>
      <c r="H128" s="721"/>
      <c r="I128" s="1493"/>
      <c r="J128" s="834" t="s">
        <v>642</v>
      </c>
      <c r="K128" s="835" t="s">
        <v>631</v>
      </c>
      <c r="L128" s="890" t="s">
        <v>487</v>
      </c>
      <c r="M128" s="835">
        <v>1</v>
      </c>
      <c r="N128" s="836">
        <v>159900</v>
      </c>
      <c r="O128" s="886">
        <f t="shared" si="9"/>
        <v>159900</v>
      </c>
      <c r="P128" s="721"/>
      <c r="Q128" s="1493"/>
      <c r="R128" s="834" t="s">
        <v>642</v>
      </c>
      <c r="S128" s="835" t="s">
        <v>631</v>
      </c>
      <c r="T128" s="890" t="s">
        <v>487</v>
      </c>
      <c r="U128" s="835">
        <v>0</v>
      </c>
      <c r="V128" s="836">
        <v>159900</v>
      </c>
      <c r="W128" s="839">
        <f t="shared" si="6"/>
        <v>0</v>
      </c>
      <c r="X128" s="721"/>
      <c r="Y128" s="1493"/>
      <c r="Z128" s="834" t="s">
        <v>638</v>
      </c>
      <c r="AA128" s="835" t="s">
        <v>631</v>
      </c>
      <c r="AB128" s="890" t="s">
        <v>487</v>
      </c>
      <c r="AC128" s="831">
        <v>0</v>
      </c>
      <c r="AD128" s="836">
        <v>159980</v>
      </c>
      <c r="AE128" s="839">
        <f t="shared" si="7"/>
        <v>0</v>
      </c>
      <c r="AF128" s="721"/>
      <c r="AG128" s="854"/>
      <c r="AH128" s="855"/>
      <c r="AI128" s="856"/>
      <c r="AJ128" s="856"/>
      <c r="AK128" s="856"/>
      <c r="AL128" s="857" t="s">
        <v>209</v>
      </c>
      <c r="AM128" s="867">
        <f>SUM(AM103:AM127)</f>
        <v>813982.48400000005</v>
      </c>
      <c r="AN128" s="721"/>
      <c r="AO128" s="721"/>
      <c r="AP128" s="721"/>
      <c r="AQ128" s="721"/>
      <c r="AR128" s="721"/>
      <c r="AS128" s="721"/>
      <c r="AT128" s="721"/>
      <c r="AU128" s="721"/>
      <c r="AV128" s="721"/>
      <c r="AW128" s="721"/>
      <c r="AX128" s="721"/>
    </row>
    <row r="129" spans="1:50" ht="13.5" thickBot="1" x14ac:dyDescent="0.25">
      <c r="A129" s="1494"/>
      <c r="B129" s="834" t="s">
        <v>640</v>
      </c>
      <c r="C129" s="835" t="s">
        <v>631</v>
      </c>
      <c r="D129" s="890" t="s">
        <v>487</v>
      </c>
      <c r="E129" s="835">
        <v>0</v>
      </c>
      <c r="F129" s="841">
        <v>12900</v>
      </c>
      <c r="G129" s="833">
        <f t="shared" si="4"/>
        <v>0</v>
      </c>
      <c r="H129" s="721"/>
      <c r="I129" s="1493"/>
      <c r="J129" s="834" t="s">
        <v>643</v>
      </c>
      <c r="K129" s="835" t="s">
        <v>631</v>
      </c>
      <c r="L129" s="890" t="s">
        <v>487</v>
      </c>
      <c r="M129" s="835">
        <v>0</v>
      </c>
      <c r="N129" s="836">
        <v>12790</v>
      </c>
      <c r="O129" s="886">
        <f t="shared" si="9"/>
        <v>0</v>
      </c>
      <c r="P129" s="721"/>
      <c r="Q129" s="1493"/>
      <c r="R129" s="834" t="s">
        <v>643</v>
      </c>
      <c r="S129" s="835" t="s">
        <v>631</v>
      </c>
      <c r="T129" s="890" t="s">
        <v>487</v>
      </c>
      <c r="U129" s="835">
        <v>0</v>
      </c>
      <c r="V129" s="836">
        <v>12790</v>
      </c>
      <c r="W129" s="839">
        <f t="shared" si="6"/>
        <v>0</v>
      </c>
      <c r="X129" s="721"/>
      <c r="Y129" s="1493"/>
      <c r="Z129" s="834" t="s">
        <v>640</v>
      </c>
      <c r="AA129" s="835" t="s">
        <v>631</v>
      </c>
      <c r="AB129" s="890" t="s">
        <v>487</v>
      </c>
      <c r="AC129" s="831">
        <v>0</v>
      </c>
      <c r="AD129" s="836">
        <v>12900</v>
      </c>
      <c r="AE129" s="839">
        <f t="shared" si="7"/>
        <v>0</v>
      </c>
      <c r="AF129" s="721"/>
      <c r="AG129" s="1494" t="s">
        <v>644</v>
      </c>
      <c r="AH129" s="829" t="s">
        <v>630</v>
      </c>
      <c r="AI129" s="831" t="s">
        <v>631</v>
      </c>
      <c r="AJ129" s="887" t="s">
        <v>487</v>
      </c>
      <c r="AK129" s="831">
        <v>0</v>
      </c>
      <c r="AL129" s="838">
        <v>12720</v>
      </c>
      <c r="AM129" s="839"/>
      <c r="AN129" s="721"/>
      <c r="AO129" s="721"/>
      <c r="AP129" s="721"/>
      <c r="AQ129" s="721"/>
      <c r="AR129" s="721"/>
      <c r="AS129" s="721"/>
      <c r="AT129" s="721"/>
      <c r="AU129" s="721"/>
      <c r="AV129" s="721"/>
      <c r="AW129" s="721"/>
      <c r="AX129" s="721"/>
    </row>
    <row r="130" spans="1:50" ht="13.5" thickBot="1" x14ac:dyDescent="0.25">
      <c r="A130" s="1494"/>
      <c r="B130" s="834" t="s">
        <v>642</v>
      </c>
      <c r="C130" s="835" t="s">
        <v>631</v>
      </c>
      <c r="D130" s="890" t="s">
        <v>487</v>
      </c>
      <c r="E130" s="835">
        <v>0</v>
      </c>
      <c r="F130" s="841">
        <v>159900</v>
      </c>
      <c r="G130" s="833">
        <f t="shared" si="4"/>
        <v>0</v>
      </c>
      <c r="H130" s="721"/>
      <c r="I130" s="1493"/>
      <c r="J130" s="834" t="s">
        <v>645</v>
      </c>
      <c r="K130" s="835" t="s">
        <v>631</v>
      </c>
      <c r="L130" s="890" t="s">
        <v>487</v>
      </c>
      <c r="M130" s="835">
        <v>0</v>
      </c>
      <c r="N130" s="836">
        <v>19900</v>
      </c>
      <c r="O130" s="886">
        <f t="shared" si="9"/>
        <v>0</v>
      </c>
      <c r="P130" s="721"/>
      <c r="Q130" s="1493"/>
      <c r="R130" s="834" t="s">
        <v>645</v>
      </c>
      <c r="S130" s="835" t="s">
        <v>631</v>
      </c>
      <c r="T130" s="890" t="s">
        <v>487</v>
      </c>
      <c r="U130" s="835">
        <v>0</v>
      </c>
      <c r="V130" s="836">
        <v>19900</v>
      </c>
      <c r="W130" s="839">
        <f t="shared" si="6"/>
        <v>0</v>
      </c>
      <c r="X130" s="721"/>
      <c r="Y130" s="1493"/>
      <c r="Z130" s="834" t="s">
        <v>642</v>
      </c>
      <c r="AA130" s="835" t="s">
        <v>631</v>
      </c>
      <c r="AB130" s="890" t="s">
        <v>487</v>
      </c>
      <c r="AC130" s="831">
        <v>0</v>
      </c>
      <c r="AD130" s="836">
        <v>159900</v>
      </c>
      <c r="AE130" s="839">
        <f t="shared" si="7"/>
        <v>0</v>
      </c>
      <c r="AF130" s="721"/>
      <c r="AG130" s="1493"/>
      <c r="AH130" s="834" t="s">
        <v>632</v>
      </c>
      <c r="AI130" s="835" t="s">
        <v>631</v>
      </c>
      <c r="AJ130" s="890" t="s">
        <v>487</v>
      </c>
      <c r="AK130" s="831">
        <v>0</v>
      </c>
      <c r="AL130" s="836">
        <v>14990</v>
      </c>
      <c r="AM130" s="839">
        <f t="shared" si="8"/>
        <v>0</v>
      </c>
      <c r="AN130" s="721"/>
      <c r="AO130" s="721"/>
      <c r="AP130" s="721"/>
      <c r="AQ130" s="721"/>
      <c r="AR130" s="721"/>
      <c r="AS130" s="721"/>
      <c r="AT130" s="721"/>
      <c r="AU130" s="721"/>
      <c r="AV130" s="721"/>
      <c r="AW130" s="721"/>
      <c r="AX130" s="721"/>
    </row>
    <row r="131" spans="1:50" ht="13.5" thickBot="1" x14ac:dyDescent="0.25">
      <c r="A131" s="1494"/>
      <c r="B131" s="834" t="s">
        <v>643</v>
      </c>
      <c r="C131" s="835" t="s">
        <v>631</v>
      </c>
      <c r="D131" s="890" t="s">
        <v>487</v>
      </c>
      <c r="E131" s="835">
        <v>0</v>
      </c>
      <c r="F131" s="841">
        <v>12790</v>
      </c>
      <c r="G131" s="833">
        <f t="shared" si="4"/>
        <v>0</v>
      </c>
      <c r="H131" s="721"/>
      <c r="I131" s="1493"/>
      <c r="J131" s="834" t="s">
        <v>646</v>
      </c>
      <c r="K131" s="835" t="s">
        <v>631</v>
      </c>
      <c r="L131" s="890" t="s">
        <v>487</v>
      </c>
      <c r="M131" s="835">
        <v>0</v>
      </c>
      <c r="N131" s="836">
        <v>59990</v>
      </c>
      <c r="O131" s="886">
        <f t="shared" si="9"/>
        <v>0</v>
      </c>
      <c r="P131" s="721"/>
      <c r="Q131" s="1493"/>
      <c r="R131" s="834" t="s">
        <v>646</v>
      </c>
      <c r="S131" s="835" t="s">
        <v>631</v>
      </c>
      <c r="T131" s="890" t="s">
        <v>487</v>
      </c>
      <c r="U131" s="835">
        <v>0</v>
      </c>
      <c r="V131" s="836">
        <v>59990</v>
      </c>
      <c r="W131" s="839">
        <f t="shared" si="6"/>
        <v>0</v>
      </c>
      <c r="X131" s="721"/>
      <c r="Y131" s="1493"/>
      <c r="Z131" s="834" t="s">
        <v>643</v>
      </c>
      <c r="AA131" s="835" t="s">
        <v>631</v>
      </c>
      <c r="AB131" s="890" t="s">
        <v>487</v>
      </c>
      <c r="AC131" s="831">
        <v>0</v>
      </c>
      <c r="AD131" s="836">
        <v>12790</v>
      </c>
      <c r="AE131" s="839">
        <f t="shared" si="7"/>
        <v>0</v>
      </c>
      <c r="AF131" s="721"/>
      <c r="AG131" s="1493"/>
      <c r="AH131" s="834" t="s">
        <v>634</v>
      </c>
      <c r="AI131" s="835" t="s">
        <v>631</v>
      </c>
      <c r="AJ131" s="890" t="s">
        <v>487</v>
      </c>
      <c r="AK131" s="831">
        <v>0</v>
      </c>
      <c r="AL131" s="836">
        <v>58900</v>
      </c>
      <c r="AM131" s="839">
        <f t="shared" si="8"/>
        <v>0</v>
      </c>
      <c r="AN131" s="721"/>
      <c r="AO131" s="721"/>
      <c r="AP131" s="721"/>
      <c r="AQ131" s="721"/>
      <c r="AR131" s="721"/>
      <c r="AS131" s="721"/>
      <c r="AT131" s="721"/>
      <c r="AU131" s="721"/>
      <c r="AV131" s="721"/>
      <c r="AW131" s="721"/>
      <c r="AX131" s="721"/>
    </row>
    <row r="132" spans="1:50" ht="13.5" thickBot="1" x14ac:dyDescent="0.25">
      <c r="A132" s="1494"/>
      <c r="B132" s="834" t="s">
        <v>645</v>
      </c>
      <c r="C132" s="835" t="s">
        <v>631</v>
      </c>
      <c r="D132" s="890" t="s">
        <v>487</v>
      </c>
      <c r="E132" s="835">
        <v>0</v>
      </c>
      <c r="F132" s="841">
        <v>19900</v>
      </c>
      <c r="G132" s="833">
        <f t="shared" si="4"/>
        <v>0</v>
      </c>
      <c r="H132" s="721"/>
      <c r="I132" s="1493"/>
      <c r="J132" s="834" t="s">
        <v>647</v>
      </c>
      <c r="K132" s="835" t="s">
        <v>648</v>
      </c>
      <c r="L132" s="890" t="s">
        <v>487</v>
      </c>
      <c r="M132" s="835">
        <v>0</v>
      </c>
      <c r="N132" s="836">
        <v>6990</v>
      </c>
      <c r="O132" s="886">
        <f t="shared" si="9"/>
        <v>0</v>
      </c>
      <c r="P132" s="721"/>
      <c r="Q132" s="1493"/>
      <c r="R132" s="834" t="s">
        <v>647</v>
      </c>
      <c r="S132" s="835" t="s">
        <v>648</v>
      </c>
      <c r="T132" s="890" t="s">
        <v>487</v>
      </c>
      <c r="U132" s="835">
        <v>0</v>
      </c>
      <c r="V132" s="836">
        <v>6990</v>
      </c>
      <c r="W132" s="839">
        <f t="shared" si="6"/>
        <v>0</v>
      </c>
      <c r="X132" s="721"/>
      <c r="Y132" s="1493"/>
      <c r="Z132" s="834" t="s">
        <v>645</v>
      </c>
      <c r="AA132" s="835" t="s">
        <v>631</v>
      </c>
      <c r="AB132" s="890" t="s">
        <v>487</v>
      </c>
      <c r="AC132" s="831">
        <v>0</v>
      </c>
      <c r="AD132" s="836">
        <v>19900</v>
      </c>
      <c r="AE132" s="839">
        <f t="shared" si="7"/>
        <v>0</v>
      </c>
      <c r="AF132" s="721"/>
      <c r="AG132" s="1493"/>
      <c r="AH132" s="834" t="s">
        <v>636</v>
      </c>
      <c r="AI132" s="835" t="s">
        <v>631</v>
      </c>
      <c r="AJ132" s="890" t="s">
        <v>487</v>
      </c>
      <c r="AK132" s="831">
        <v>0</v>
      </c>
      <c r="AL132" s="836">
        <v>14900</v>
      </c>
      <c r="AM132" s="839">
        <f t="shared" si="8"/>
        <v>0</v>
      </c>
      <c r="AN132" s="721"/>
      <c r="AO132" s="721"/>
      <c r="AP132" s="721"/>
      <c r="AQ132" s="721"/>
      <c r="AR132" s="721"/>
      <c r="AS132" s="721"/>
      <c r="AT132" s="721"/>
      <c r="AU132" s="721"/>
      <c r="AV132" s="721"/>
      <c r="AW132" s="721"/>
      <c r="AX132" s="721"/>
    </row>
    <row r="133" spans="1:50" ht="13.5" thickBot="1" x14ac:dyDescent="0.25">
      <c r="A133" s="1494"/>
      <c r="B133" s="834" t="s">
        <v>646</v>
      </c>
      <c r="C133" s="835" t="s">
        <v>631</v>
      </c>
      <c r="D133" s="890" t="s">
        <v>487</v>
      </c>
      <c r="E133" s="835">
        <v>0</v>
      </c>
      <c r="F133" s="841">
        <v>59990</v>
      </c>
      <c r="G133" s="833">
        <f t="shared" si="4"/>
        <v>0</v>
      </c>
      <c r="H133" s="721"/>
      <c r="I133" s="1493"/>
      <c r="J133" s="834" t="s">
        <v>649</v>
      </c>
      <c r="K133" s="835" t="s">
        <v>648</v>
      </c>
      <c r="L133" s="890" t="s">
        <v>487</v>
      </c>
      <c r="M133" s="835">
        <v>0</v>
      </c>
      <c r="N133" s="836">
        <v>6990</v>
      </c>
      <c r="O133" s="886">
        <f t="shared" si="9"/>
        <v>0</v>
      </c>
      <c r="P133" s="721"/>
      <c r="Q133" s="1493"/>
      <c r="R133" s="834" t="s">
        <v>649</v>
      </c>
      <c r="S133" s="835" t="s">
        <v>648</v>
      </c>
      <c r="T133" s="890" t="s">
        <v>487</v>
      </c>
      <c r="U133" s="835">
        <v>0</v>
      </c>
      <c r="V133" s="836">
        <v>6990</v>
      </c>
      <c r="W133" s="839">
        <f t="shared" si="6"/>
        <v>0</v>
      </c>
      <c r="X133" s="721"/>
      <c r="Y133" s="1493"/>
      <c r="Z133" s="834" t="s">
        <v>646</v>
      </c>
      <c r="AA133" s="835" t="s">
        <v>631</v>
      </c>
      <c r="AB133" s="890" t="s">
        <v>487</v>
      </c>
      <c r="AC133" s="831">
        <v>0</v>
      </c>
      <c r="AD133" s="836">
        <v>59990</v>
      </c>
      <c r="AE133" s="839">
        <f t="shared" si="7"/>
        <v>0</v>
      </c>
      <c r="AF133" s="721"/>
      <c r="AG133" s="1493"/>
      <c r="AH133" s="834" t="s">
        <v>638</v>
      </c>
      <c r="AI133" s="835" t="s">
        <v>631</v>
      </c>
      <c r="AJ133" s="890" t="s">
        <v>487</v>
      </c>
      <c r="AK133" s="831">
        <v>0</v>
      </c>
      <c r="AL133" s="836">
        <v>159980</v>
      </c>
      <c r="AM133" s="839">
        <f t="shared" si="8"/>
        <v>0</v>
      </c>
      <c r="AN133" s="721"/>
      <c r="AO133" s="721"/>
      <c r="AP133" s="721"/>
      <c r="AQ133" s="721"/>
      <c r="AR133" s="721"/>
      <c r="AS133" s="721"/>
      <c r="AT133" s="721"/>
      <c r="AU133" s="721"/>
      <c r="AV133" s="721"/>
      <c r="AW133" s="721"/>
      <c r="AX133" s="721"/>
    </row>
    <row r="134" spans="1:50" ht="13.5" thickBot="1" x14ac:dyDescent="0.25">
      <c r="A134" s="1494"/>
      <c r="B134" s="834" t="s">
        <v>647</v>
      </c>
      <c r="C134" s="835" t="s">
        <v>648</v>
      </c>
      <c r="D134" s="890" t="s">
        <v>487</v>
      </c>
      <c r="E134" s="835">
        <v>0</v>
      </c>
      <c r="F134" s="841">
        <v>6990</v>
      </c>
      <c r="G134" s="833">
        <f t="shared" si="4"/>
        <v>0</v>
      </c>
      <c r="H134" s="721"/>
      <c r="I134" s="1493"/>
      <c r="J134" s="834" t="s">
        <v>650</v>
      </c>
      <c r="K134" s="835" t="s">
        <v>651</v>
      </c>
      <c r="L134" s="890" t="s">
        <v>487</v>
      </c>
      <c r="M134" s="835">
        <v>0</v>
      </c>
      <c r="N134" s="836">
        <v>6990</v>
      </c>
      <c r="O134" s="886">
        <f t="shared" si="9"/>
        <v>0</v>
      </c>
      <c r="P134" s="721"/>
      <c r="Q134" s="1493"/>
      <c r="R134" s="834" t="s">
        <v>650</v>
      </c>
      <c r="S134" s="835" t="s">
        <v>651</v>
      </c>
      <c r="T134" s="890" t="s">
        <v>487</v>
      </c>
      <c r="U134" s="835">
        <v>0</v>
      </c>
      <c r="V134" s="836">
        <v>6990</v>
      </c>
      <c r="W134" s="839">
        <f t="shared" si="6"/>
        <v>0</v>
      </c>
      <c r="X134" s="721"/>
      <c r="Y134" s="1493"/>
      <c r="Z134" s="834" t="s">
        <v>647</v>
      </c>
      <c r="AA134" s="835" t="s">
        <v>648</v>
      </c>
      <c r="AB134" s="890" t="s">
        <v>487</v>
      </c>
      <c r="AC134" s="831">
        <v>0</v>
      </c>
      <c r="AD134" s="836">
        <v>6990</v>
      </c>
      <c r="AE134" s="839">
        <f t="shared" si="7"/>
        <v>0</v>
      </c>
      <c r="AF134" s="721"/>
      <c r="AG134" s="1493"/>
      <c r="AH134" s="834" t="s">
        <v>640</v>
      </c>
      <c r="AI134" s="835" t="s">
        <v>631</v>
      </c>
      <c r="AJ134" s="890" t="s">
        <v>487</v>
      </c>
      <c r="AK134" s="831">
        <v>0</v>
      </c>
      <c r="AL134" s="836">
        <v>12900</v>
      </c>
      <c r="AM134" s="839">
        <f t="shared" si="8"/>
        <v>0</v>
      </c>
      <c r="AN134" s="721"/>
      <c r="AO134" s="721"/>
      <c r="AP134" s="721"/>
      <c r="AQ134" s="721"/>
      <c r="AR134" s="721"/>
      <c r="AS134" s="721"/>
      <c r="AT134" s="721"/>
      <c r="AU134" s="721"/>
      <c r="AV134" s="721"/>
      <c r="AW134" s="721"/>
      <c r="AX134" s="721"/>
    </row>
    <row r="135" spans="1:50" ht="13.5" thickBot="1" x14ac:dyDescent="0.25">
      <c r="A135" s="1494"/>
      <c r="B135" s="834" t="s">
        <v>649</v>
      </c>
      <c r="C135" s="835" t="s">
        <v>648</v>
      </c>
      <c r="D135" s="890" t="s">
        <v>487</v>
      </c>
      <c r="E135" s="835">
        <v>0</v>
      </c>
      <c r="F135" s="841">
        <v>6990</v>
      </c>
      <c r="G135" s="833">
        <f t="shared" si="4"/>
        <v>0</v>
      </c>
      <c r="H135" s="721"/>
      <c r="I135" s="1493"/>
      <c r="J135" s="834" t="s">
        <v>652</v>
      </c>
      <c r="K135" s="835" t="s">
        <v>651</v>
      </c>
      <c r="L135" s="890" t="s">
        <v>487</v>
      </c>
      <c r="M135" s="835">
        <v>0</v>
      </c>
      <c r="N135" s="836">
        <v>6990</v>
      </c>
      <c r="O135" s="886">
        <f t="shared" si="9"/>
        <v>0</v>
      </c>
      <c r="P135" s="721"/>
      <c r="Q135" s="1493"/>
      <c r="R135" s="834" t="s">
        <v>652</v>
      </c>
      <c r="S135" s="835" t="s">
        <v>651</v>
      </c>
      <c r="T135" s="890" t="s">
        <v>487</v>
      </c>
      <c r="U135" s="835">
        <v>0</v>
      </c>
      <c r="V135" s="836">
        <v>6990</v>
      </c>
      <c r="W135" s="839">
        <f t="shared" si="6"/>
        <v>0</v>
      </c>
      <c r="X135" s="721"/>
      <c r="Y135" s="1493"/>
      <c r="Z135" s="834" t="s">
        <v>649</v>
      </c>
      <c r="AA135" s="835" t="s">
        <v>648</v>
      </c>
      <c r="AB135" s="890" t="s">
        <v>487</v>
      </c>
      <c r="AC135" s="831">
        <v>0</v>
      </c>
      <c r="AD135" s="836">
        <v>6990</v>
      </c>
      <c r="AE135" s="839">
        <f t="shared" si="7"/>
        <v>0</v>
      </c>
      <c r="AF135" s="721"/>
      <c r="AG135" s="1493"/>
      <c r="AH135" s="834" t="s">
        <v>642</v>
      </c>
      <c r="AI135" s="835" t="s">
        <v>631</v>
      </c>
      <c r="AJ135" s="890" t="s">
        <v>487</v>
      </c>
      <c r="AK135" s="831">
        <v>0</v>
      </c>
      <c r="AL135" s="836">
        <v>159900</v>
      </c>
      <c r="AM135" s="839">
        <f t="shared" si="8"/>
        <v>0</v>
      </c>
      <c r="AN135" s="721"/>
      <c r="AO135" s="721"/>
      <c r="AP135" s="721"/>
      <c r="AQ135" s="721"/>
      <c r="AR135" s="721"/>
      <c r="AS135" s="721"/>
      <c r="AT135" s="721"/>
      <c r="AU135" s="721"/>
      <c r="AV135" s="721"/>
      <c r="AW135" s="721"/>
      <c r="AX135" s="721"/>
    </row>
    <row r="136" spans="1:50" ht="13.5" thickBot="1" x14ac:dyDescent="0.25">
      <c r="A136" s="1494"/>
      <c r="B136" s="834" t="s">
        <v>650</v>
      </c>
      <c r="C136" s="835" t="s">
        <v>651</v>
      </c>
      <c r="D136" s="890" t="s">
        <v>487</v>
      </c>
      <c r="E136" s="835">
        <v>0</v>
      </c>
      <c r="F136" s="841">
        <v>6990</v>
      </c>
      <c r="G136" s="833">
        <f t="shared" si="4"/>
        <v>0</v>
      </c>
      <c r="H136" s="721"/>
      <c r="I136" s="1493"/>
      <c r="J136" s="834" t="s">
        <v>653</v>
      </c>
      <c r="K136" s="835" t="s">
        <v>651</v>
      </c>
      <c r="L136" s="890" t="s">
        <v>487</v>
      </c>
      <c r="M136" s="835">
        <v>0</v>
      </c>
      <c r="N136" s="836">
        <v>7900</v>
      </c>
      <c r="O136" s="886">
        <f t="shared" si="9"/>
        <v>0</v>
      </c>
      <c r="P136" s="721"/>
      <c r="Q136" s="1493"/>
      <c r="R136" s="834" t="s">
        <v>653</v>
      </c>
      <c r="S136" s="835" t="s">
        <v>651</v>
      </c>
      <c r="T136" s="890" t="s">
        <v>487</v>
      </c>
      <c r="U136" s="835">
        <v>0</v>
      </c>
      <c r="V136" s="836">
        <v>7900</v>
      </c>
      <c r="W136" s="839">
        <f t="shared" si="6"/>
        <v>0</v>
      </c>
      <c r="X136" s="721"/>
      <c r="Y136" s="1493"/>
      <c r="Z136" s="834" t="s">
        <v>650</v>
      </c>
      <c r="AA136" s="835" t="s">
        <v>651</v>
      </c>
      <c r="AB136" s="890" t="s">
        <v>487</v>
      </c>
      <c r="AC136" s="831">
        <v>1</v>
      </c>
      <c r="AD136" s="836">
        <v>6990</v>
      </c>
      <c r="AE136" s="839">
        <f t="shared" si="7"/>
        <v>6990</v>
      </c>
      <c r="AF136" s="721"/>
      <c r="AG136" s="1493"/>
      <c r="AH136" s="834" t="s">
        <v>643</v>
      </c>
      <c r="AI136" s="835" t="s">
        <v>631</v>
      </c>
      <c r="AJ136" s="890" t="s">
        <v>487</v>
      </c>
      <c r="AK136" s="831">
        <v>0</v>
      </c>
      <c r="AL136" s="836">
        <v>12790</v>
      </c>
      <c r="AM136" s="839">
        <f t="shared" si="8"/>
        <v>0</v>
      </c>
      <c r="AN136" s="721"/>
      <c r="AO136" s="721"/>
      <c r="AP136" s="721"/>
      <c r="AQ136" s="721"/>
      <c r="AR136" s="721"/>
      <c r="AS136" s="721"/>
      <c r="AT136" s="721"/>
      <c r="AU136" s="721"/>
      <c r="AV136" s="721"/>
      <c r="AW136" s="721"/>
      <c r="AX136" s="721"/>
    </row>
    <row r="137" spans="1:50" ht="13.5" thickBot="1" x14ac:dyDescent="0.25">
      <c r="A137" s="1494"/>
      <c r="B137" s="834" t="s">
        <v>652</v>
      </c>
      <c r="C137" s="835" t="s">
        <v>651</v>
      </c>
      <c r="D137" s="890" t="s">
        <v>487</v>
      </c>
      <c r="E137" s="835">
        <v>0</v>
      </c>
      <c r="F137" s="841">
        <v>6990</v>
      </c>
      <c r="G137" s="833">
        <f t="shared" si="4"/>
        <v>0</v>
      </c>
      <c r="H137" s="721"/>
      <c r="I137" s="1493"/>
      <c r="J137" s="834" t="s">
        <v>654</v>
      </c>
      <c r="K137" s="835" t="s">
        <v>655</v>
      </c>
      <c r="L137" s="890" t="s">
        <v>487</v>
      </c>
      <c r="M137" s="835">
        <v>0</v>
      </c>
      <c r="N137" s="836">
        <v>14990</v>
      </c>
      <c r="O137" s="886">
        <f t="shared" si="9"/>
        <v>0</v>
      </c>
      <c r="P137" s="721"/>
      <c r="Q137" s="1493"/>
      <c r="R137" s="834" t="s">
        <v>654</v>
      </c>
      <c r="S137" s="835" t="s">
        <v>655</v>
      </c>
      <c r="T137" s="890" t="s">
        <v>487</v>
      </c>
      <c r="U137" s="835">
        <v>0</v>
      </c>
      <c r="V137" s="836">
        <v>14990</v>
      </c>
      <c r="W137" s="839">
        <f t="shared" si="6"/>
        <v>0</v>
      </c>
      <c r="X137" s="721"/>
      <c r="Y137" s="1493"/>
      <c r="Z137" s="834" t="s">
        <v>652</v>
      </c>
      <c r="AA137" s="835" t="s">
        <v>651</v>
      </c>
      <c r="AB137" s="890" t="s">
        <v>487</v>
      </c>
      <c r="AC137" s="831">
        <v>1</v>
      </c>
      <c r="AD137" s="836">
        <v>6990</v>
      </c>
      <c r="AE137" s="839">
        <f t="shared" si="7"/>
        <v>6990</v>
      </c>
      <c r="AF137" s="721"/>
      <c r="AG137" s="1493"/>
      <c r="AH137" s="834" t="s">
        <v>645</v>
      </c>
      <c r="AI137" s="835" t="s">
        <v>631</v>
      </c>
      <c r="AJ137" s="890" t="s">
        <v>487</v>
      </c>
      <c r="AK137" s="831">
        <v>0</v>
      </c>
      <c r="AL137" s="836">
        <v>19900</v>
      </c>
      <c r="AM137" s="839">
        <f t="shared" si="8"/>
        <v>0</v>
      </c>
      <c r="AN137" s="721"/>
      <c r="AO137" s="721"/>
      <c r="AP137" s="721"/>
      <c r="AQ137" s="721"/>
      <c r="AR137" s="721"/>
      <c r="AS137" s="721"/>
      <c r="AT137" s="721"/>
      <c r="AU137" s="721"/>
      <c r="AV137" s="721"/>
      <c r="AW137" s="721"/>
      <c r="AX137" s="721"/>
    </row>
    <row r="138" spans="1:50" ht="13.5" thickBot="1" x14ac:dyDescent="0.25">
      <c r="A138" s="1494"/>
      <c r="B138" s="834" t="s">
        <v>653</v>
      </c>
      <c r="C138" s="835" t="s">
        <v>651</v>
      </c>
      <c r="D138" s="890" t="s">
        <v>487</v>
      </c>
      <c r="E138" s="835">
        <v>0</v>
      </c>
      <c r="F138" s="841">
        <v>7900</v>
      </c>
      <c r="G138" s="833">
        <f t="shared" si="4"/>
        <v>0</v>
      </c>
      <c r="H138" s="721"/>
      <c r="I138" s="1493"/>
      <c r="J138" s="834" t="s">
        <v>656</v>
      </c>
      <c r="K138" s="835" t="s">
        <v>655</v>
      </c>
      <c r="L138" s="890" t="s">
        <v>487</v>
      </c>
      <c r="M138" s="835">
        <v>0</v>
      </c>
      <c r="N138" s="836">
        <v>8900</v>
      </c>
      <c r="O138" s="886">
        <f t="shared" si="9"/>
        <v>0</v>
      </c>
      <c r="P138" s="721"/>
      <c r="Q138" s="1493"/>
      <c r="R138" s="834" t="s">
        <v>656</v>
      </c>
      <c r="S138" s="835" t="s">
        <v>655</v>
      </c>
      <c r="T138" s="890" t="s">
        <v>487</v>
      </c>
      <c r="U138" s="835">
        <v>0</v>
      </c>
      <c r="V138" s="836">
        <v>8900</v>
      </c>
      <c r="W138" s="839">
        <f t="shared" si="6"/>
        <v>0</v>
      </c>
      <c r="X138" s="721"/>
      <c r="Y138" s="1493"/>
      <c r="Z138" s="834" t="s">
        <v>653</v>
      </c>
      <c r="AA138" s="835" t="s">
        <v>651</v>
      </c>
      <c r="AB138" s="890" t="s">
        <v>487</v>
      </c>
      <c r="AC138" s="831">
        <v>1</v>
      </c>
      <c r="AD138" s="836">
        <v>7900</v>
      </c>
      <c r="AE138" s="839">
        <f t="shared" si="7"/>
        <v>7900</v>
      </c>
      <c r="AF138" s="721"/>
      <c r="AG138" s="1493"/>
      <c r="AH138" s="834" t="s">
        <v>646</v>
      </c>
      <c r="AI138" s="835" t="s">
        <v>631</v>
      </c>
      <c r="AJ138" s="890" t="s">
        <v>487</v>
      </c>
      <c r="AK138" s="831">
        <v>0</v>
      </c>
      <c r="AL138" s="836">
        <v>59990</v>
      </c>
      <c r="AM138" s="839">
        <f t="shared" si="8"/>
        <v>0</v>
      </c>
      <c r="AN138" s="721"/>
      <c r="AO138" s="721"/>
      <c r="AP138" s="721"/>
      <c r="AQ138" s="721"/>
      <c r="AR138" s="721"/>
      <c r="AS138" s="721"/>
      <c r="AT138" s="721"/>
      <c r="AU138" s="721"/>
      <c r="AV138" s="721"/>
      <c r="AW138" s="721"/>
      <c r="AX138" s="721"/>
    </row>
    <row r="139" spans="1:50" ht="13.5" thickBot="1" x14ac:dyDescent="0.25">
      <c r="A139" s="1494"/>
      <c r="B139" s="834" t="s">
        <v>654</v>
      </c>
      <c r="C139" s="835" t="s">
        <v>655</v>
      </c>
      <c r="D139" s="890" t="s">
        <v>487</v>
      </c>
      <c r="E139" s="835">
        <v>0</v>
      </c>
      <c r="F139" s="841">
        <v>14990</v>
      </c>
      <c r="G139" s="833">
        <f t="shared" si="4"/>
        <v>0</v>
      </c>
      <c r="H139" s="721"/>
      <c r="I139" s="1493"/>
      <c r="J139" s="834" t="s">
        <v>657</v>
      </c>
      <c r="K139" s="835" t="s">
        <v>655</v>
      </c>
      <c r="L139" s="890" t="s">
        <v>487</v>
      </c>
      <c r="M139" s="835">
        <v>0</v>
      </c>
      <c r="N139" s="836">
        <v>8900</v>
      </c>
      <c r="O139" s="886">
        <f t="shared" si="9"/>
        <v>0</v>
      </c>
      <c r="P139" s="721"/>
      <c r="Q139" s="1493"/>
      <c r="R139" s="834" t="s">
        <v>657</v>
      </c>
      <c r="S139" s="835" t="s">
        <v>655</v>
      </c>
      <c r="T139" s="890" t="s">
        <v>487</v>
      </c>
      <c r="U139" s="835">
        <v>0</v>
      </c>
      <c r="V139" s="836">
        <v>8900</v>
      </c>
      <c r="W139" s="839">
        <f t="shared" si="6"/>
        <v>0</v>
      </c>
      <c r="X139" s="721"/>
      <c r="Y139" s="1493"/>
      <c r="Z139" s="834" t="s">
        <v>654</v>
      </c>
      <c r="AA139" s="835" t="s">
        <v>655</v>
      </c>
      <c r="AB139" s="890" t="s">
        <v>487</v>
      </c>
      <c r="AC139" s="831">
        <v>0</v>
      </c>
      <c r="AD139" s="836">
        <v>14990</v>
      </c>
      <c r="AE139" s="839">
        <f t="shared" si="7"/>
        <v>0</v>
      </c>
      <c r="AF139" s="721"/>
      <c r="AG139" s="1493"/>
      <c r="AH139" s="834" t="s">
        <v>647</v>
      </c>
      <c r="AI139" s="835" t="s">
        <v>648</v>
      </c>
      <c r="AJ139" s="890" t="s">
        <v>487</v>
      </c>
      <c r="AK139" s="831">
        <v>0</v>
      </c>
      <c r="AL139" s="836">
        <v>6990</v>
      </c>
      <c r="AM139" s="839">
        <f t="shared" si="8"/>
        <v>0</v>
      </c>
      <c r="AN139" s="721"/>
      <c r="AO139" s="721"/>
      <c r="AP139" s="721"/>
      <c r="AQ139" s="721"/>
      <c r="AR139" s="721"/>
      <c r="AS139" s="721"/>
      <c r="AT139" s="721"/>
      <c r="AU139" s="721"/>
      <c r="AV139" s="721"/>
      <c r="AW139" s="721"/>
      <c r="AX139" s="721"/>
    </row>
    <row r="140" spans="1:50" ht="13.5" thickBot="1" x14ac:dyDescent="0.25">
      <c r="A140" s="1494"/>
      <c r="B140" s="834" t="s">
        <v>656</v>
      </c>
      <c r="C140" s="835" t="s">
        <v>655</v>
      </c>
      <c r="D140" s="890" t="s">
        <v>487</v>
      </c>
      <c r="E140" s="835">
        <v>0</v>
      </c>
      <c r="F140" s="841">
        <v>8900</v>
      </c>
      <c r="G140" s="833">
        <f t="shared" si="4"/>
        <v>0</v>
      </c>
      <c r="H140" s="721"/>
      <c r="I140" s="1493"/>
      <c r="J140" s="834" t="s">
        <v>658</v>
      </c>
      <c r="K140" s="835" t="s">
        <v>655</v>
      </c>
      <c r="L140" s="890" t="s">
        <v>487</v>
      </c>
      <c r="M140" s="835">
        <v>0</v>
      </c>
      <c r="N140" s="836">
        <v>8900</v>
      </c>
      <c r="O140" s="886">
        <f t="shared" si="9"/>
        <v>0</v>
      </c>
      <c r="P140" s="721"/>
      <c r="Q140" s="1493"/>
      <c r="R140" s="834" t="s">
        <v>658</v>
      </c>
      <c r="S140" s="835" t="s">
        <v>655</v>
      </c>
      <c r="T140" s="890" t="s">
        <v>487</v>
      </c>
      <c r="U140" s="835">
        <v>0</v>
      </c>
      <c r="V140" s="836">
        <v>8900</v>
      </c>
      <c r="W140" s="839">
        <f t="shared" si="6"/>
        <v>0</v>
      </c>
      <c r="X140" s="721"/>
      <c r="Y140" s="1493"/>
      <c r="Z140" s="834" t="s">
        <v>656</v>
      </c>
      <c r="AA140" s="835" t="s">
        <v>655</v>
      </c>
      <c r="AB140" s="890" t="s">
        <v>487</v>
      </c>
      <c r="AC140" s="831">
        <v>0</v>
      </c>
      <c r="AD140" s="836">
        <v>8900</v>
      </c>
      <c r="AE140" s="839">
        <f t="shared" si="7"/>
        <v>0</v>
      </c>
      <c r="AF140" s="721"/>
      <c r="AG140" s="1493"/>
      <c r="AH140" s="834" t="s">
        <v>649</v>
      </c>
      <c r="AI140" s="835" t="s">
        <v>648</v>
      </c>
      <c r="AJ140" s="890" t="s">
        <v>487</v>
      </c>
      <c r="AK140" s="831">
        <v>0</v>
      </c>
      <c r="AL140" s="836">
        <v>6990</v>
      </c>
      <c r="AM140" s="839">
        <f t="shared" si="8"/>
        <v>0</v>
      </c>
      <c r="AN140" s="721"/>
      <c r="AO140" s="721"/>
      <c r="AP140" s="721"/>
      <c r="AQ140" s="721"/>
      <c r="AR140" s="721"/>
      <c r="AS140" s="721"/>
      <c r="AT140" s="721"/>
      <c r="AU140" s="721"/>
      <c r="AV140" s="721"/>
      <c r="AW140" s="721"/>
      <c r="AX140" s="721"/>
    </row>
    <row r="141" spans="1:50" ht="13.5" thickBot="1" x14ac:dyDescent="0.25">
      <c r="A141" s="1494"/>
      <c r="B141" s="834" t="s">
        <v>657</v>
      </c>
      <c r="C141" s="835" t="s">
        <v>655</v>
      </c>
      <c r="D141" s="890" t="s">
        <v>487</v>
      </c>
      <c r="E141" s="835">
        <v>0</v>
      </c>
      <c r="F141" s="841">
        <v>8900</v>
      </c>
      <c r="G141" s="833">
        <f t="shared" si="4"/>
        <v>0</v>
      </c>
      <c r="H141" s="721"/>
      <c r="I141" s="1493"/>
      <c r="J141" s="834" t="s">
        <v>659</v>
      </c>
      <c r="K141" s="835" t="s">
        <v>655</v>
      </c>
      <c r="L141" s="890" t="s">
        <v>487</v>
      </c>
      <c r="M141" s="835">
        <v>0</v>
      </c>
      <c r="N141" s="836">
        <v>8900</v>
      </c>
      <c r="O141" s="886">
        <f t="shared" si="9"/>
        <v>0</v>
      </c>
      <c r="P141" s="721"/>
      <c r="Q141" s="1493"/>
      <c r="R141" s="834" t="s">
        <v>659</v>
      </c>
      <c r="S141" s="835" t="s">
        <v>655</v>
      </c>
      <c r="T141" s="890" t="s">
        <v>487</v>
      </c>
      <c r="U141" s="835">
        <v>0</v>
      </c>
      <c r="V141" s="836">
        <v>8900</v>
      </c>
      <c r="W141" s="839">
        <f t="shared" si="6"/>
        <v>0</v>
      </c>
      <c r="X141" s="721"/>
      <c r="Y141" s="1493"/>
      <c r="Z141" s="834" t="s">
        <v>657</v>
      </c>
      <c r="AA141" s="835" t="s">
        <v>655</v>
      </c>
      <c r="AB141" s="890" t="s">
        <v>487</v>
      </c>
      <c r="AC141" s="831">
        <v>0</v>
      </c>
      <c r="AD141" s="836">
        <v>8900</v>
      </c>
      <c r="AE141" s="839">
        <f t="shared" si="7"/>
        <v>0</v>
      </c>
      <c r="AF141" s="721"/>
      <c r="AG141" s="1493"/>
      <c r="AH141" s="834" t="s">
        <v>650</v>
      </c>
      <c r="AI141" s="835" t="s">
        <v>651</v>
      </c>
      <c r="AJ141" s="890" t="s">
        <v>487</v>
      </c>
      <c r="AK141" s="831">
        <v>0</v>
      </c>
      <c r="AL141" s="836">
        <v>6990</v>
      </c>
      <c r="AM141" s="839">
        <f t="shared" si="8"/>
        <v>0</v>
      </c>
      <c r="AN141" s="721"/>
      <c r="AO141" s="721"/>
      <c r="AP141" s="721"/>
      <c r="AQ141" s="721"/>
      <c r="AR141" s="721"/>
      <c r="AS141" s="721"/>
      <c r="AT141" s="721"/>
      <c r="AU141" s="721"/>
      <c r="AV141" s="721"/>
      <c r="AW141" s="721"/>
      <c r="AX141" s="721"/>
    </row>
    <row r="142" spans="1:50" ht="13.5" thickBot="1" x14ac:dyDescent="0.25">
      <c r="A142" s="1494"/>
      <c r="B142" s="834" t="s">
        <v>658</v>
      </c>
      <c r="C142" s="835" t="s">
        <v>655</v>
      </c>
      <c r="D142" s="890" t="s">
        <v>487</v>
      </c>
      <c r="E142" s="835">
        <v>0</v>
      </c>
      <c r="F142" s="841">
        <v>8900</v>
      </c>
      <c r="G142" s="833">
        <f t="shared" si="4"/>
        <v>0</v>
      </c>
      <c r="H142" s="721"/>
      <c r="I142" s="1493"/>
      <c r="J142" s="834" t="s">
        <v>660</v>
      </c>
      <c r="K142" s="835" t="s">
        <v>661</v>
      </c>
      <c r="L142" s="890" t="s">
        <v>487</v>
      </c>
      <c r="M142" s="835">
        <v>1</v>
      </c>
      <c r="N142" s="836">
        <v>24990</v>
      </c>
      <c r="O142" s="886">
        <f t="shared" si="9"/>
        <v>24990</v>
      </c>
      <c r="P142" s="721"/>
      <c r="Q142" s="1493"/>
      <c r="R142" s="834" t="s">
        <v>660</v>
      </c>
      <c r="S142" s="835" t="s">
        <v>661</v>
      </c>
      <c r="T142" s="890" t="s">
        <v>487</v>
      </c>
      <c r="U142" s="835">
        <v>0</v>
      </c>
      <c r="V142" s="836">
        <v>24990</v>
      </c>
      <c r="W142" s="839">
        <f t="shared" si="6"/>
        <v>0</v>
      </c>
      <c r="X142" s="721"/>
      <c r="Y142" s="1493"/>
      <c r="Z142" s="834" t="s">
        <v>658</v>
      </c>
      <c r="AA142" s="835" t="s">
        <v>655</v>
      </c>
      <c r="AB142" s="890" t="s">
        <v>487</v>
      </c>
      <c r="AC142" s="831">
        <v>0</v>
      </c>
      <c r="AD142" s="836">
        <v>8900</v>
      </c>
      <c r="AE142" s="839">
        <f t="shared" si="7"/>
        <v>0</v>
      </c>
      <c r="AF142" s="721"/>
      <c r="AG142" s="1493"/>
      <c r="AH142" s="834" t="s">
        <v>652</v>
      </c>
      <c r="AI142" s="835" t="s">
        <v>651</v>
      </c>
      <c r="AJ142" s="890" t="s">
        <v>487</v>
      </c>
      <c r="AK142" s="831">
        <v>0</v>
      </c>
      <c r="AL142" s="836">
        <v>6990</v>
      </c>
      <c r="AM142" s="839">
        <f t="shared" si="8"/>
        <v>0</v>
      </c>
      <c r="AN142" s="721"/>
      <c r="AO142" s="721"/>
      <c r="AP142" s="721"/>
      <c r="AQ142" s="721"/>
      <c r="AR142" s="721"/>
      <c r="AS142" s="721"/>
      <c r="AT142" s="721"/>
      <c r="AU142" s="721"/>
      <c r="AV142" s="721"/>
      <c r="AW142" s="721"/>
      <c r="AX142" s="721"/>
    </row>
    <row r="143" spans="1:50" ht="13.5" thickBot="1" x14ac:dyDescent="0.25">
      <c r="A143" s="1494"/>
      <c r="B143" s="834" t="s">
        <v>659</v>
      </c>
      <c r="C143" s="835" t="s">
        <v>655</v>
      </c>
      <c r="D143" s="890" t="s">
        <v>487</v>
      </c>
      <c r="E143" s="835">
        <v>0</v>
      </c>
      <c r="F143" s="841">
        <v>8900</v>
      </c>
      <c r="G143" s="833">
        <f t="shared" si="4"/>
        <v>0</v>
      </c>
      <c r="H143" s="721"/>
      <c r="I143" s="1493"/>
      <c r="J143" s="834" t="s">
        <v>662</v>
      </c>
      <c r="K143" s="835" t="s">
        <v>661</v>
      </c>
      <c r="L143" s="890" t="s">
        <v>487</v>
      </c>
      <c r="M143" s="835">
        <v>10</v>
      </c>
      <c r="N143" s="836">
        <v>4900</v>
      </c>
      <c r="O143" s="886">
        <f t="shared" si="9"/>
        <v>49000</v>
      </c>
      <c r="P143" s="721"/>
      <c r="Q143" s="1493"/>
      <c r="R143" s="834" t="s">
        <v>662</v>
      </c>
      <c r="S143" s="835" t="s">
        <v>661</v>
      </c>
      <c r="T143" s="890" t="s">
        <v>487</v>
      </c>
      <c r="U143" s="835">
        <v>0</v>
      </c>
      <c r="V143" s="836">
        <v>4900</v>
      </c>
      <c r="W143" s="839">
        <f t="shared" si="6"/>
        <v>0</v>
      </c>
      <c r="X143" s="721"/>
      <c r="Y143" s="1493"/>
      <c r="Z143" s="834" t="s">
        <v>659</v>
      </c>
      <c r="AA143" s="835" t="s">
        <v>655</v>
      </c>
      <c r="AB143" s="890" t="s">
        <v>487</v>
      </c>
      <c r="AC143" s="831">
        <v>0</v>
      </c>
      <c r="AD143" s="836">
        <v>8900</v>
      </c>
      <c r="AE143" s="839">
        <f t="shared" si="7"/>
        <v>0</v>
      </c>
      <c r="AF143" s="721"/>
      <c r="AG143" s="1493"/>
      <c r="AH143" s="834" t="s">
        <v>653</v>
      </c>
      <c r="AI143" s="835" t="s">
        <v>651</v>
      </c>
      <c r="AJ143" s="890" t="s">
        <v>487</v>
      </c>
      <c r="AK143" s="831">
        <v>0</v>
      </c>
      <c r="AL143" s="836">
        <v>7900</v>
      </c>
      <c r="AM143" s="839">
        <f t="shared" si="8"/>
        <v>0</v>
      </c>
      <c r="AN143" s="721"/>
      <c r="AO143" s="721"/>
      <c r="AP143" s="721"/>
      <c r="AQ143" s="721"/>
      <c r="AR143" s="721"/>
      <c r="AS143" s="721"/>
      <c r="AT143" s="721"/>
      <c r="AU143" s="721"/>
      <c r="AV143" s="721"/>
      <c r="AW143" s="721"/>
      <c r="AX143" s="721"/>
    </row>
    <row r="144" spans="1:50" ht="13.5" thickBot="1" x14ac:dyDescent="0.25">
      <c r="A144" s="1494"/>
      <c r="B144" s="834" t="s">
        <v>660</v>
      </c>
      <c r="C144" s="835" t="s">
        <v>661</v>
      </c>
      <c r="D144" s="890" t="s">
        <v>487</v>
      </c>
      <c r="E144" s="835">
        <v>0</v>
      </c>
      <c r="F144" s="841">
        <v>24990</v>
      </c>
      <c r="G144" s="833">
        <f t="shared" si="4"/>
        <v>0</v>
      </c>
      <c r="H144" s="721"/>
      <c r="I144" s="1493"/>
      <c r="J144" s="834" t="s">
        <v>663</v>
      </c>
      <c r="K144" s="835" t="s">
        <v>661</v>
      </c>
      <c r="L144" s="890" t="s">
        <v>487</v>
      </c>
      <c r="M144" s="835">
        <v>10</v>
      </c>
      <c r="N144" s="836">
        <v>9900</v>
      </c>
      <c r="O144" s="886">
        <f t="shared" si="9"/>
        <v>99000</v>
      </c>
      <c r="P144" s="721"/>
      <c r="Q144" s="1493"/>
      <c r="R144" s="834" t="s">
        <v>663</v>
      </c>
      <c r="S144" s="835" t="s">
        <v>661</v>
      </c>
      <c r="T144" s="890" t="s">
        <v>487</v>
      </c>
      <c r="U144" s="835">
        <v>0</v>
      </c>
      <c r="V144" s="836">
        <v>9900</v>
      </c>
      <c r="W144" s="839">
        <f t="shared" si="6"/>
        <v>0</v>
      </c>
      <c r="X144" s="721"/>
      <c r="Y144" s="1493"/>
      <c r="Z144" s="834" t="s">
        <v>660</v>
      </c>
      <c r="AA144" s="835" t="s">
        <v>661</v>
      </c>
      <c r="AB144" s="890" t="s">
        <v>487</v>
      </c>
      <c r="AC144" s="831">
        <v>0</v>
      </c>
      <c r="AD144" s="836">
        <v>24990</v>
      </c>
      <c r="AE144" s="839">
        <f t="shared" si="7"/>
        <v>0</v>
      </c>
      <c r="AF144" s="721"/>
      <c r="AG144" s="1493"/>
      <c r="AH144" s="834" t="s">
        <v>654</v>
      </c>
      <c r="AI144" s="835" t="s">
        <v>655</v>
      </c>
      <c r="AJ144" s="890" t="s">
        <v>487</v>
      </c>
      <c r="AK144" s="831">
        <v>0</v>
      </c>
      <c r="AL144" s="836">
        <v>14990</v>
      </c>
      <c r="AM144" s="839">
        <f t="shared" si="8"/>
        <v>0</v>
      </c>
      <c r="AN144" s="721"/>
      <c r="AO144" s="721"/>
      <c r="AP144" s="721"/>
      <c r="AQ144" s="721"/>
      <c r="AR144" s="721"/>
      <c r="AS144" s="721"/>
      <c r="AT144" s="721"/>
      <c r="AU144" s="721"/>
      <c r="AV144" s="721"/>
      <c r="AW144" s="721"/>
      <c r="AX144" s="721"/>
    </row>
    <row r="145" spans="1:50" ht="13.5" thickBot="1" x14ac:dyDescent="0.25">
      <c r="A145" s="1494"/>
      <c r="B145" s="834" t="s">
        <v>662</v>
      </c>
      <c r="C145" s="835" t="s">
        <v>661</v>
      </c>
      <c r="D145" s="890" t="s">
        <v>487</v>
      </c>
      <c r="E145" s="835">
        <v>12</v>
      </c>
      <c r="F145" s="841">
        <v>4900</v>
      </c>
      <c r="G145" s="833">
        <f t="shared" si="4"/>
        <v>58800</v>
      </c>
      <c r="H145" s="721"/>
      <c r="I145" s="1493"/>
      <c r="J145" s="834" t="s">
        <v>664</v>
      </c>
      <c r="K145" s="835" t="s">
        <v>661</v>
      </c>
      <c r="L145" s="890" t="s">
        <v>487</v>
      </c>
      <c r="M145" s="835">
        <v>10</v>
      </c>
      <c r="N145" s="836">
        <v>11900</v>
      </c>
      <c r="O145" s="886">
        <f t="shared" si="9"/>
        <v>119000</v>
      </c>
      <c r="P145" s="721"/>
      <c r="Q145" s="1493"/>
      <c r="R145" s="834" t="s">
        <v>664</v>
      </c>
      <c r="S145" s="835" t="s">
        <v>661</v>
      </c>
      <c r="T145" s="890" t="s">
        <v>487</v>
      </c>
      <c r="U145" s="835">
        <v>0</v>
      </c>
      <c r="V145" s="836">
        <v>11900</v>
      </c>
      <c r="W145" s="839">
        <f t="shared" si="6"/>
        <v>0</v>
      </c>
      <c r="X145" s="721"/>
      <c r="Y145" s="1493"/>
      <c r="Z145" s="834" t="s">
        <v>662</v>
      </c>
      <c r="AA145" s="835" t="s">
        <v>661</v>
      </c>
      <c r="AB145" s="890" t="s">
        <v>487</v>
      </c>
      <c r="AC145" s="831">
        <v>0</v>
      </c>
      <c r="AD145" s="836">
        <v>4900</v>
      </c>
      <c r="AE145" s="839">
        <f t="shared" si="7"/>
        <v>0</v>
      </c>
      <c r="AF145" s="721"/>
      <c r="AG145" s="1493"/>
      <c r="AH145" s="834" t="s">
        <v>656</v>
      </c>
      <c r="AI145" s="835" t="s">
        <v>655</v>
      </c>
      <c r="AJ145" s="890" t="s">
        <v>487</v>
      </c>
      <c r="AK145" s="831">
        <v>0</v>
      </c>
      <c r="AL145" s="836">
        <v>8900</v>
      </c>
      <c r="AM145" s="839">
        <f t="shared" si="8"/>
        <v>0</v>
      </c>
      <c r="AN145" s="721"/>
      <c r="AO145" s="721"/>
      <c r="AP145" s="721"/>
      <c r="AQ145" s="721"/>
      <c r="AR145" s="721"/>
      <c r="AS145" s="721"/>
      <c r="AT145" s="721"/>
      <c r="AU145" s="721"/>
      <c r="AV145" s="721"/>
      <c r="AW145" s="721"/>
      <c r="AX145" s="721"/>
    </row>
    <row r="146" spans="1:50" ht="13.5" thickBot="1" x14ac:dyDescent="0.25">
      <c r="A146" s="1494"/>
      <c r="B146" s="834" t="s">
        <v>663</v>
      </c>
      <c r="C146" s="835" t="s">
        <v>661</v>
      </c>
      <c r="D146" s="890" t="s">
        <v>487</v>
      </c>
      <c r="E146" s="835">
        <v>0</v>
      </c>
      <c r="F146" s="841">
        <v>9900</v>
      </c>
      <c r="G146" s="833">
        <f t="shared" si="4"/>
        <v>0</v>
      </c>
      <c r="H146" s="721"/>
      <c r="I146" s="1493"/>
      <c r="J146" s="834" t="s">
        <v>665</v>
      </c>
      <c r="K146" s="835" t="s">
        <v>661</v>
      </c>
      <c r="L146" s="890" t="s">
        <v>487</v>
      </c>
      <c r="M146" s="835">
        <v>1</v>
      </c>
      <c r="N146" s="836">
        <v>8900</v>
      </c>
      <c r="O146" s="886">
        <f t="shared" si="9"/>
        <v>8900</v>
      </c>
      <c r="P146" s="721"/>
      <c r="Q146" s="1493"/>
      <c r="R146" s="834" t="s">
        <v>665</v>
      </c>
      <c r="S146" s="835" t="s">
        <v>661</v>
      </c>
      <c r="T146" s="890" t="s">
        <v>487</v>
      </c>
      <c r="U146" s="835">
        <v>0</v>
      </c>
      <c r="V146" s="836">
        <v>8900</v>
      </c>
      <c r="W146" s="839">
        <f t="shared" si="6"/>
        <v>0</v>
      </c>
      <c r="X146" s="721"/>
      <c r="Y146" s="1493"/>
      <c r="Z146" s="834" t="s">
        <v>663</v>
      </c>
      <c r="AA146" s="835" t="s">
        <v>661</v>
      </c>
      <c r="AB146" s="890" t="s">
        <v>487</v>
      </c>
      <c r="AC146" s="831">
        <v>0</v>
      </c>
      <c r="AD146" s="836">
        <v>9900</v>
      </c>
      <c r="AE146" s="839">
        <f t="shared" si="7"/>
        <v>0</v>
      </c>
      <c r="AF146" s="721"/>
      <c r="AG146" s="1493"/>
      <c r="AH146" s="834" t="s">
        <v>657</v>
      </c>
      <c r="AI146" s="835" t="s">
        <v>655</v>
      </c>
      <c r="AJ146" s="890" t="s">
        <v>487</v>
      </c>
      <c r="AK146" s="831">
        <v>0</v>
      </c>
      <c r="AL146" s="836">
        <v>8900</v>
      </c>
      <c r="AM146" s="839">
        <f t="shared" si="8"/>
        <v>0</v>
      </c>
      <c r="AN146" s="721"/>
      <c r="AO146" s="721"/>
      <c r="AP146" s="721"/>
      <c r="AQ146" s="721"/>
      <c r="AR146" s="721"/>
      <c r="AS146" s="721"/>
      <c r="AT146" s="721"/>
      <c r="AU146" s="721"/>
      <c r="AV146" s="721"/>
      <c r="AW146" s="721"/>
      <c r="AX146" s="721"/>
    </row>
    <row r="147" spans="1:50" ht="13.5" thickBot="1" x14ac:dyDescent="0.25">
      <c r="A147" s="1494"/>
      <c r="B147" s="834" t="s">
        <v>664</v>
      </c>
      <c r="C147" s="835" t="s">
        <v>661</v>
      </c>
      <c r="D147" s="890" t="s">
        <v>487</v>
      </c>
      <c r="E147" s="835">
        <v>0</v>
      </c>
      <c r="F147" s="841">
        <v>11900</v>
      </c>
      <c r="G147" s="833">
        <f t="shared" si="4"/>
        <v>0</v>
      </c>
      <c r="H147" s="721"/>
      <c r="I147" s="1493"/>
      <c r="J147" s="834" t="s">
        <v>666</v>
      </c>
      <c r="K147" s="835" t="s">
        <v>661</v>
      </c>
      <c r="L147" s="890" t="s">
        <v>487</v>
      </c>
      <c r="M147" s="835">
        <v>0</v>
      </c>
      <c r="N147" s="836">
        <v>94900</v>
      </c>
      <c r="O147" s="886">
        <f t="shared" si="9"/>
        <v>0</v>
      </c>
      <c r="P147" s="721"/>
      <c r="Q147" s="1493"/>
      <c r="R147" s="834" t="s">
        <v>666</v>
      </c>
      <c r="S147" s="835" t="s">
        <v>661</v>
      </c>
      <c r="T147" s="890" t="s">
        <v>487</v>
      </c>
      <c r="U147" s="835">
        <v>0</v>
      </c>
      <c r="V147" s="836">
        <v>94900</v>
      </c>
      <c r="W147" s="839">
        <f t="shared" si="6"/>
        <v>0</v>
      </c>
      <c r="X147" s="721"/>
      <c r="Y147" s="1493"/>
      <c r="Z147" s="834" t="s">
        <v>664</v>
      </c>
      <c r="AA147" s="835" t="s">
        <v>661</v>
      </c>
      <c r="AB147" s="890" t="s">
        <v>487</v>
      </c>
      <c r="AC147" s="831">
        <v>0</v>
      </c>
      <c r="AD147" s="836">
        <v>11900</v>
      </c>
      <c r="AE147" s="839">
        <f t="shared" si="7"/>
        <v>0</v>
      </c>
      <c r="AF147" s="721"/>
      <c r="AG147" s="1493"/>
      <c r="AH147" s="834" t="s">
        <v>658</v>
      </c>
      <c r="AI147" s="835" t="s">
        <v>655</v>
      </c>
      <c r="AJ147" s="890" t="s">
        <v>487</v>
      </c>
      <c r="AK147" s="831">
        <v>0</v>
      </c>
      <c r="AL147" s="836">
        <v>8900</v>
      </c>
      <c r="AM147" s="839">
        <f t="shared" si="8"/>
        <v>0</v>
      </c>
      <c r="AN147" s="721"/>
      <c r="AO147" s="721"/>
      <c r="AP147" s="721"/>
      <c r="AQ147" s="721"/>
      <c r="AR147" s="721"/>
      <c r="AS147" s="721"/>
      <c r="AT147" s="721"/>
      <c r="AU147" s="721"/>
      <c r="AV147" s="721"/>
      <c r="AW147" s="721"/>
      <c r="AX147" s="721"/>
    </row>
    <row r="148" spans="1:50" ht="13.5" thickBot="1" x14ac:dyDescent="0.25">
      <c r="A148" s="1494"/>
      <c r="B148" s="834" t="s">
        <v>665</v>
      </c>
      <c r="C148" s="835" t="s">
        <v>661</v>
      </c>
      <c r="D148" s="890" t="s">
        <v>487</v>
      </c>
      <c r="E148" s="835">
        <v>1</v>
      </c>
      <c r="F148" s="841">
        <v>8900</v>
      </c>
      <c r="G148" s="833">
        <f t="shared" si="4"/>
        <v>8900</v>
      </c>
      <c r="H148" s="721"/>
      <c r="I148" s="1493"/>
      <c r="J148" s="834" t="s">
        <v>667</v>
      </c>
      <c r="K148" s="835" t="s">
        <v>661</v>
      </c>
      <c r="L148" s="890" t="s">
        <v>487</v>
      </c>
      <c r="M148" s="835">
        <v>0</v>
      </c>
      <c r="N148" s="836">
        <v>4900</v>
      </c>
      <c r="O148" s="886">
        <f t="shared" si="9"/>
        <v>0</v>
      </c>
      <c r="P148" s="721"/>
      <c r="Q148" s="1493"/>
      <c r="R148" s="834" t="s">
        <v>667</v>
      </c>
      <c r="S148" s="835" t="s">
        <v>661</v>
      </c>
      <c r="T148" s="890" t="s">
        <v>487</v>
      </c>
      <c r="U148" s="835">
        <v>0</v>
      </c>
      <c r="V148" s="836">
        <v>4900</v>
      </c>
      <c r="W148" s="839">
        <f t="shared" si="6"/>
        <v>0</v>
      </c>
      <c r="X148" s="721"/>
      <c r="Y148" s="1493"/>
      <c r="Z148" s="834" t="s">
        <v>665</v>
      </c>
      <c r="AA148" s="835" t="s">
        <v>661</v>
      </c>
      <c r="AB148" s="890" t="s">
        <v>487</v>
      </c>
      <c r="AC148" s="831">
        <v>0</v>
      </c>
      <c r="AD148" s="836">
        <v>8900</v>
      </c>
      <c r="AE148" s="839">
        <f t="shared" si="7"/>
        <v>0</v>
      </c>
      <c r="AF148" s="721"/>
      <c r="AG148" s="1493"/>
      <c r="AH148" s="834" t="s">
        <v>659</v>
      </c>
      <c r="AI148" s="835" t="s">
        <v>655</v>
      </c>
      <c r="AJ148" s="890" t="s">
        <v>487</v>
      </c>
      <c r="AK148" s="831">
        <v>0</v>
      </c>
      <c r="AL148" s="836">
        <v>8900</v>
      </c>
      <c r="AM148" s="839">
        <f t="shared" si="8"/>
        <v>0</v>
      </c>
      <c r="AN148" s="721"/>
      <c r="AO148" s="721"/>
      <c r="AP148" s="721"/>
      <c r="AQ148" s="721"/>
      <c r="AR148" s="721"/>
      <c r="AS148" s="721"/>
      <c r="AT148" s="721"/>
      <c r="AU148" s="721"/>
      <c r="AV148" s="721"/>
      <c r="AW148" s="721"/>
      <c r="AX148" s="721"/>
    </row>
    <row r="149" spans="1:50" ht="13.5" thickBot="1" x14ac:dyDescent="0.25">
      <c r="A149" s="1494"/>
      <c r="B149" s="834" t="s">
        <v>666</v>
      </c>
      <c r="C149" s="835" t="s">
        <v>661</v>
      </c>
      <c r="D149" s="890" t="s">
        <v>487</v>
      </c>
      <c r="E149" s="835">
        <v>0</v>
      </c>
      <c r="F149" s="841">
        <v>94900</v>
      </c>
      <c r="G149" s="833">
        <f t="shared" si="4"/>
        <v>0</v>
      </c>
      <c r="H149" s="721"/>
      <c r="I149" s="1493"/>
      <c r="J149" s="834" t="s">
        <v>668</v>
      </c>
      <c r="K149" s="835" t="s">
        <v>669</v>
      </c>
      <c r="L149" s="890" t="s">
        <v>487</v>
      </c>
      <c r="M149" s="835">
        <v>0</v>
      </c>
      <c r="N149" s="836">
        <v>23310</v>
      </c>
      <c r="O149" s="886">
        <f t="shared" si="9"/>
        <v>0</v>
      </c>
      <c r="P149" s="721"/>
      <c r="Q149" s="1493"/>
      <c r="R149" s="834" t="s">
        <v>668</v>
      </c>
      <c r="S149" s="835" t="s">
        <v>669</v>
      </c>
      <c r="T149" s="890" t="s">
        <v>487</v>
      </c>
      <c r="U149" s="835">
        <v>0</v>
      </c>
      <c r="V149" s="836">
        <v>23310</v>
      </c>
      <c r="W149" s="839">
        <f t="shared" si="6"/>
        <v>0</v>
      </c>
      <c r="X149" s="721"/>
      <c r="Y149" s="1493"/>
      <c r="Z149" s="834" t="s">
        <v>666</v>
      </c>
      <c r="AA149" s="835" t="s">
        <v>661</v>
      </c>
      <c r="AB149" s="890" t="s">
        <v>487</v>
      </c>
      <c r="AC149" s="831">
        <v>0</v>
      </c>
      <c r="AD149" s="836">
        <v>94900</v>
      </c>
      <c r="AE149" s="839">
        <f t="shared" si="7"/>
        <v>0</v>
      </c>
      <c r="AF149" s="721"/>
      <c r="AG149" s="1493"/>
      <c r="AH149" s="834" t="s">
        <v>660</v>
      </c>
      <c r="AI149" s="835" t="s">
        <v>661</v>
      </c>
      <c r="AJ149" s="890" t="s">
        <v>487</v>
      </c>
      <c r="AK149" s="831">
        <v>0</v>
      </c>
      <c r="AL149" s="836">
        <v>24990</v>
      </c>
      <c r="AM149" s="839">
        <f t="shared" si="8"/>
        <v>0</v>
      </c>
      <c r="AN149" s="721"/>
      <c r="AO149" s="721"/>
      <c r="AP149" s="721"/>
      <c r="AQ149" s="721"/>
      <c r="AR149" s="721"/>
      <c r="AS149" s="721"/>
      <c r="AT149" s="721"/>
      <c r="AU149" s="721"/>
      <c r="AV149" s="721"/>
      <c r="AW149" s="721"/>
      <c r="AX149" s="721"/>
    </row>
    <row r="150" spans="1:50" ht="13.5" thickBot="1" x14ac:dyDescent="0.25">
      <c r="A150" s="1494"/>
      <c r="B150" s="834" t="s">
        <v>667</v>
      </c>
      <c r="C150" s="835" t="s">
        <v>661</v>
      </c>
      <c r="D150" s="890" t="s">
        <v>487</v>
      </c>
      <c r="E150" s="835">
        <v>0</v>
      </c>
      <c r="F150" s="841">
        <v>4900</v>
      </c>
      <c r="G150" s="833">
        <f t="shared" si="4"/>
        <v>0</v>
      </c>
      <c r="H150" s="721"/>
      <c r="I150" s="1493"/>
      <c r="J150" s="834" t="s">
        <v>670</v>
      </c>
      <c r="K150" s="835" t="s">
        <v>669</v>
      </c>
      <c r="L150" s="890" t="s">
        <v>487</v>
      </c>
      <c r="M150" s="835">
        <v>0</v>
      </c>
      <c r="N150" s="836">
        <v>23310</v>
      </c>
      <c r="O150" s="886">
        <f t="shared" si="9"/>
        <v>0</v>
      </c>
      <c r="P150" s="721"/>
      <c r="Q150" s="1493"/>
      <c r="R150" s="834" t="s">
        <v>670</v>
      </c>
      <c r="S150" s="835" t="s">
        <v>669</v>
      </c>
      <c r="T150" s="890" t="s">
        <v>487</v>
      </c>
      <c r="U150" s="835">
        <v>0</v>
      </c>
      <c r="V150" s="836">
        <v>23310</v>
      </c>
      <c r="W150" s="839">
        <f t="shared" si="6"/>
        <v>0</v>
      </c>
      <c r="X150" s="721"/>
      <c r="Y150" s="1493"/>
      <c r="Z150" s="834" t="s">
        <v>667</v>
      </c>
      <c r="AA150" s="835" t="s">
        <v>661</v>
      </c>
      <c r="AB150" s="890" t="s">
        <v>487</v>
      </c>
      <c r="AC150" s="831">
        <v>0</v>
      </c>
      <c r="AD150" s="836">
        <v>4900</v>
      </c>
      <c r="AE150" s="839">
        <f t="shared" si="7"/>
        <v>0</v>
      </c>
      <c r="AF150" s="721"/>
      <c r="AG150" s="1493"/>
      <c r="AH150" s="834" t="s">
        <v>662</v>
      </c>
      <c r="AI150" s="835" t="s">
        <v>661</v>
      </c>
      <c r="AJ150" s="890" t="s">
        <v>487</v>
      </c>
      <c r="AK150" s="831">
        <v>0</v>
      </c>
      <c r="AL150" s="836">
        <v>4900</v>
      </c>
      <c r="AM150" s="839">
        <f t="shared" si="8"/>
        <v>0</v>
      </c>
      <c r="AN150" s="721"/>
      <c r="AO150" s="721"/>
      <c r="AP150" s="721"/>
      <c r="AQ150" s="721"/>
      <c r="AR150" s="721"/>
      <c r="AS150" s="721"/>
      <c r="AT150" s="721"/>
      <c r="AU150" s="721"/>
      <c r="AV150" s="721"/>
      <c r="AW150" s="721"/>
      <c r="AX150" s="721"/>
    </row>
    <row r="151" spans="1:50" ht="13.5" thickBot="1" x14ac:dyDescent="0.25">
      <c r="A151" s="1494"/>
      <c r="B151" s="834" t="s">
        <v>668</v>
      </c>
      <c r="C151" s="835" t="s">
        <v>669</v>
      </c>
      <c r="D151" s="890" t="s">
        <v>487</v>
      </c>
      <c r="E151" s="835">
        <v>0</v>
      </c>
      <c r="F151" s="841">
        <v>23310</v>
      </c>
      <c r="G151" s="833">
        <f t="shared" si="4"/>
        <v>0</v>
      </c>
      <c r="H151" s="721"/>
      <c r="I151" s="1493"/>
      <c r="J151" s="834" t="s">
        <v>671</v>
      </c>
      <c r="K151" s="835" t="s">
        <v>669</v>
      </c>
      <c r="L151" s="890" t="s">
        <v>487</v>
      </c>
      <c r="M151" s="835">
        <v>0</v>
      </c>
      <c r="N151" s="836">
        <v>26900</v>
      </c>
      <c r="O151" s="886">
        <f t="shared" si="9"/>
        <v>0</v>
      </c>
      <c r="P151" s="721"/>
      <c r="Q151" s="1493"/>
      <c r="R151" s="834" t="s">
        <v>671</v>
      </c>
      <c r="S151" s="835" t="s">
        <v>669</v>
      </c>
      <c r="T151" s="890" t="s">
        <v>487</v>
      </c>
      <c r="U151" s="835">
        <v>0</v>
      </c>
      <c r="V151" s="836">
        <v>26900</v>
      </c>
      <c r="W151" s="839">
        <f t="shared" si="6"/>
        <v>0</v>
      </c>
      <c r="X151" s="721"/>
      <c r="Y151" s="1493"/>
      <c r="Z151" s="834" t="s">
        <v>668</v>
      </c>
      <c r="AA151" s="835" t="s">
        <v>669</v>
      </c>
      <c r="AB151" s="890" t="s">
        <v>487</v>
      </c>
      <c r="AC151" s="831">
        <v>0</v>
      </c>
      <c r="AD151" s="836">
        <v>23310</v>
      </c>
      <c r="AE151" s="839">
        <f t="shared" si="7"/>
        <v>0</v>
      </c>
      <c r="AF151" s="721"/>
      <c r="AG151" s="1493"/>
      <c r="AH151" s="834" t="s">
        <v>663</v>
      </c>
      <c r="AI151" s="835" t="s">
        <v>661</v>
      </c>
      <c r="AJ151" s="890" t="s">
        <v>487</v>
      </c>
      <c r="AK151" s="831">
        <v>0</v>
      </c>
      <c r="AL151" s="836">
        <v>9900</v>
      </c>
      <c r="AM151" s="839">
        <f t="shared" si="8"/>
        <v>0</v>
      </c>
      <c r="AN151" s="721"/>
      <c r="AO151" s="721"/>
      <c r="AP151" s="721"/>
      <c r="AQ151" s="721"/>
      <c r="AR151" s="721"/>
      <c r="AS151" s="721"/>
      <c r="AT151" s="721"/>
      <c r="AU151" s="721"/>
      <c r="AV151" s="721"/>
      <c r="AW151" s="721"/>
      <c r="AX151" s="721"/>
    </row>
    <row r="152" spans="1:50" ht="13.5" thickBot="1" x14ac:dyDescent="0.25">
      <c r="A152" s="1494"/>
      <c r="B152" s="834" t="s">
        <v>670</v>
      </c>
      <c r="C152" s="835" t="s">
        <v>669</v>
      </c>
      <c r="D152" s="890" t="s">
        <v>487</v>
      </c>
      <c r="E152" s="835">
        <v>0</v>
      </c>
      <c r="F152" s="841">
        <v>23310</v>
      </c>
      <c r="G152" s="833">
        <f t="shared" si="4"/>
        <v>0</v>
      </c>
      <c r="H152" s="721"/>
      <c r="I152" s="1493"/>
      <c r="J152" s="834" t="s">
        <v>672</v>
      </c>
      <c r="K152" s="835" t="s">
        <v>669</v>
      </c>
      <c r="L152" s="890" t="s">
        <v>487</v>
      </c>
      <c r="M152" s="835">
        <v>0</v>
      </c>
      <c r="N152" s="836">
        <v>26900</v>
      </c>
      <c r="O152" s="886">
        <f t="shared" si="9"/>
        <v>0</v>
      </c>
      <c r="P152" s="721"/>
      <c r="Q152" s="1493"/>
      <c r="R152" s="834" t="s">
        <v>672</v>
      </c>
      <c r="S152" s="835" t="s">
        <v>669</v>
      </c>
      <c r="T152" s="890" t="s">
        <v>487</v>
      </c>
      <c r="U152" s="835">
        <v>0</v>
      </c>
      <c r="V152" s="836">
        <v>26900</v>
      </c>
      <c r="W152" s="839">
        <f t="shared" si="6"/>
        <v>0</v>
      </c>
      <c r="X152" s="721"/>
      <c r="Y152" s="1493"/>
      <c r="Z152" s="834" t="s">
        <v>670</v>
      </c>
      <c r="AA152" s="835" t="s">
        <v>669</v>
      </c>
      <c r="AB152" s="890" t="s">
        <v>487</v>
      </c>
      <c r="AC152" s="831">
        <v>0</v>
      </c>
      <c r="AD152" s="836">
        <v>23310</v>
      </c>
      <c r="AE152" s="839">
        <f t="shared" si="7"/>
        <v>0</v>
      </c>
      <c r="AF152" s="721"/>
      <c r="AG152" s="1493"/>
      <c r="AH152" s="834" t="s">
        <v>664</v>
      </c>
      <c r="AI152" s="835" t="s">
        <v>661</v>
      </c>
      <c r="AJ152" s="890" t="s">
        <v>487</v>
      </c>
      <c r="AK152" s="831">
        <v>0</v>
      </c>
      <c r="AL152" s="836">
        <v>11900</v>
      </c>
      <c r="AM152" s="839">
        <f t="shared" si="8"/>
        <v>0</v>
      </c>
      <c r="AN152" s="721"/>
      <c r="AO152" s="721"/>
      <c r="AP152" s="721"/>
      <c r="AQ152" s="721"/>
      <c r="AR152" s="721"/>
      <c r="AS152" s="721"/>
      <c r="AT152" s="721"/>
      <c r="AU152" s="721"/>
      <c r="AV152" s="721"/>
      <c r="AW152" s="721"/>
      <c r="AX152" s="721"/>
    </row>
    <row r="153" spans="1:50" ht="13.5" thickBot="1" x14ac:dyDescent="0.25">
      <c r="A153" s="1494"/>
      <c r="B153" s="834" t="s">
        <v>671</v>
      </c>
      <c r="C153" s="835" t="s">
        <v>669</v>
      </c>
      <c r="D153" s="890" t="s">
        <v>487</v>
      </c>
      <c r="E153" s="835">
        <v>0</v>
      </c>
      <c r="F153" s="841">
        <v>26900</v>
      </c>
      <c r="G153" s="833">
        <f t="shared" si="4"/>
        <v>0</v>
      </c>
      <c r="H153" s="721"/>
      <c r="I153" s="1493"/>
      <c r="J153" s="834" t="s">
        <v>673</v>
      </c>
      <c r="K153" s="835" t="s">
        <v>674</v>
      </c>
      <c r="L153" s="890" t="s">
        <v>487</v>
      </c>
      <c r="M153" s="835">
        <v>0</v>
      </c>
      <c r="N153" s="836">
        <v>7900</v>
      </c>
      <c r="O153" s="886">
        <f t="shared" si="9"/>
        <v>0</v>
      </c>
      <c r="P153" s="721"/>
      <c r="Q153" s="1493"/>
      <c r="R153" s="834" t="s">
        <v>673</v>
      </c>
      <c r="S153" s="835" t="s">
        <v>674</v>
      </c>
      <c r="T153" s="890" t="s">
        <v>487</v>
      </c>
      <c r="U153" s="835">
        <v>0</v>
      </c>
      <c r="V153" s="836">
        <v>7900</v>
      </c>
      <c r="W153" s="839">
        <f t="shared" si="6"/>
        <v>0</v>
      </c>
      <c r="X153" s="721"/>
      <c r="Y153" s="1493"/>
      <c r="Z153" s="834" t="s">
        <v>671</v>
      </c>
      <c r="AA153" s="835" t="s">
        <v>669</v>
      </c>
      <c r="AB153" s="890" t="s">
        <v>487</v>
      </c>
      <c r="AC153" s="831">
        <v>0</v>
      </c>
      <c r="AD153" s="836">
        <v>26900</v>
      </c>
      <c r="AE153" s="839">
        <f t="shared" si="7"/>
        <v>0</v>
      </c>
      <c r="AF153" s="721"/>
      <c r="AG153" s="1493"/>
      <c r="AH153" s="834" t="s">
        <v>665</v>
      </c>
      <c r="AI153" s="835" t="s">
        <v>661</v>
      </c>
      <c r="AJ153" s="890" t="s">
        <v>487</v>
      </c>
      <c r="AK153" s="831">
        <v>0</v>
      </c>
      <c r="AL153" s="836">
        <v>8900</v>
      </c>
      <c r="AM153" s="839">
        <f t="shared" si="8"/>
        <v>0</v>
      </c>
      <c r="AN153" s="721"/>
      <c r="AO153" s="721"/>
      <c r="AP153" s="721"/>
      <c r="AQ153" s="721"/>
      <c r="AR153" s="721"/>
      <c r="AS153" s="721"/>
      <c r="AT153" s="721"/>
      <c r="AU153" s="721"/>
      <c r="AV153" s="721"/>
      <c r="AW153" s="721"/>
      <c r="AX153" s="721"/>
    </row>
    <row r="154" spans="1:50" ht="13.5" thickBot="1" x14ac:dyDescent="0.25">
      <c r="A154" s="1494"/>
      <c r="B154" s="834" t="s">
        <v>672</v>
      </c>
      <c r="C154" s="835" t="s">
        <v>669</v>
      </c>
      <c r="D154" s="890" t="s">
        <v>487</v>
      </c>
      <c r="E154" s="835">
        <v>0</v>
      </c>
      <c r="F154" s="841">
        <v>26900</v>
      </c>
      <c r="G154" s="833">
        <f t="shared" si="4"/>
        <v>0</v>
      </c>
      <c r="H154" s="721"/>
      <c r="I154" s="1493"/>
      <c r="J154" s="834" t="s">
        <v>675</v>
      </c>
      <c r="K154" s="835" t="s">
        <v>674</v>
      </c>
      <c r="L154" s="890" t="s">
        <v>487</v>
      </c>
      <c r="M154" s="835">
        <v>10</v>
      </c>
      <c r="N154" s="836">
        <v>7900</v>
      </c>
      <c r="O154" s="886">
        <f t="shared" si="9"/>
        <v>79000</v>
      </c>
      <c r="P154" s="721"/>
      <c r="Q154" s="1493"/>
      <c r="R154" s="834" t="s">
        <v>675</v>
      </c>
      <c r="S154" s="835" t="s">
        <v>674</v>
      </c>
      <c r="T154" s="890" t="s">
        <v>487</v>
      </c>
      <c r="U154" s="835">
        <v>0</v>
      </c>
      <c r="V154" s="836">
        <v>7900</v>
      </c>
      <c r="W154" s="839">
        <f t="shared" si="6"/>
        <v>0</v>
      </c>
      <c r="X154" s="721"/>
      <c r="Y154" s="1493"/>
      <c r="Z154" s="834" t="s">
        <v>672</v>
      </c>
      <c r="AA154" s="835" t="s">
        <v>669</v>
      </c>
      <c r="AB154" s="890" t="s">
        <v>487</v>
      </c>
      <c r="AC154" s="831">
        <v>0</v>
      </c>
      <c r="AD154" s="836">
        <v>26900</v>
      </c>
      <c r="AE154" s="839">
        <f t="shared" si="7"/>
        <v>0</v>
      </c>
      <c r="AF154" s="721"/>
      <c r="AG154" s="1493"/>
      <c r="AH154" s="834" t="s">
        <v>666</v>
      </c>
      <c r="AI154" s="835" t="s">
        <v>661</v>
      </c>
      <c r="AJ154" s="890" t="s">
        <v>487</v>
      </c>
      <c r="AK154" s="831">
        <v>0</v>
      </c>
      <c r="AL154" s="836">
        <v>94900</v>
      </c>
      <c r="AM154" s="839">
        <f t="shared" si="8"/>
        <v>0</v>
      </c>
      <c r="AN154" s="721"/>
      <c r="AO154" s="721"/>
      <c r="AP154" s="721"/>
      <c r="AQ154" s="721"/>
      <c r="AR154" s="721"/>
      <c r="AS154" s="721"/>
      <c r="AT154" s="721"/>
      <c r="AU154" s="721"/>
      <c r="AV154" s="721"/>
      <c r="AW154" s="721"/>
      <c r="AX154" s="721"/>
    </row>
    <row r="155" spans="1:50" ht="13.5" thickBot="1" x14ac:dyDescent="0.25">
      <c r="A155" s="1494"/>
      <c r="B155" s="834" t="s">
        <v>673</v>
      </c>
      <c r="C155" s="835" t="s">
        <v>674</v>
      </c>
      <c r="D155" s="890" t="s">
        <v>487</v>
      </c>
      <c r="E155" s="835">
        <v>0</v>
      </c>
      <c r="F155" s="841">
        <v>7900</v>
      </c>
      <c r="G155" s="833">
        <f t="shared" ref="G155:G218" si="10">E155*F155</f>
        <v>0</v>
      </c>
      <c r="H155" s="721"/>
      <c r="I155" s="1493"/>
      <c r="J155" s="834" t="s">
        <v>676</v>
      </c>
      <c r="K155" s="835" t="s">
        <v>674</v>
      </c>
      <c r="L155" s="890" t="s">
        <v>487</v>
      </c>
      <c r="M155" s="835">
        <v>0</v>
      </c>
      <c r="N155" s="836">
        <v>7900</v>
      </c>
      <c r="O155" s="886">
        <f t="shared" si="9"/>
        <v>0</v>
      </c>
      <c r="P155" s="721"/>
      <c r="Q155" s="1493"/>
      <c r="R155" s="834" t="s">
        <v>676</v>
      </c>
      <c r="S155" s="835" t="s">
        <v>674</v>
      </c>
      <c r="T155" s="890" t="s">
        <v>487</v>
      </c>
      <c r="U155" s="835">
        <v>0</v>
      </c>
      <c r="V155" s="836">
        <v>7900</v>
      </c>
      <c r="W155" s="839">
        <f t="shared" ref="W155:W218" si="11">U155*V155</f>
        <v>0</v>
      </c>
      <c r="X155" s="721"/>
      <c r="Y155" s="1493"/>
      <c r="Z155" s="834" t="s">
        <v>673</v>
      </c>
      <c r="AA155" s="835" t="s">
        <v>674</v>
      </c>
      <c r="AB155" s="890" t="s">
        <v>487</v>
      </c>
      <c r="AC155" s="831">
        <v>0</v>
      </c>
      <c r="AD155" s="836">
        <v>7900</v>
      </c>
      <c r="AE155" s="839">
        <f t="shared" ref="AE155:AE218" si="12">AC155*AD155</f>
        <v>0</v>
      </c>
      <c r="AF155" s="721"/>
      <c r="AG155" s="1493"/>
      <c r="AH155" s="834" t="s">
        <v>667</v>
      </c>
      <c r="AI155" s="835" t="s">
        <v>661</v>
      </c>
      <c r="AJ155" s="890" t="s">
        <v>487</v>
      </c>
      <c r="AK155" s="831">
        <v>0</v>
      </c>
      <c r="AL155" s="836">
        <v>4900</v>
      </c>
      <c r="AM155" s="839">
        <f t="shared" ref="AM155:AM217" si="13">AK155*AL155</f>
        <v>0</v>
      </c>
      <c r="AN155" s="721"/>
      <c r="AO155" s="721"/>
      <c r="AP155" s="721"/>
      <c r="AQ155" s="721"/>
      <c r="AR155" s="721"/>
      <c r="AS155" s="721"/>
      <c r="AT155" s="721"/>
      <c r="AU155" s="721"/>
      <c r="AV155" s="721"/>
      <c r="AW155" s="721"/>
      <c r="AX155" s="721"/>
    </row>
    <row r="156" spans="1:50" ht="13.5" thickBot="1" x14ac:dyDescent="0.25">
      <c r="A156" s="1494"/>
      <c r="B156" s="834" t="s">
        <v>675</v>
      </c>
      <c r="C156" s="835" t="s">
        <v>674</v>
      </c>
      <c r="D156" s="890" t="s">
        <v>487</v>
      </c>
      <c r="E156" s="835">
        <v>0</v>
      </c>
      <c r="F156" s="841">
        <v>7900</v>
      </c>
      <c r="G156" s="833">
        <f t="shared" si="10"/>
        <v>0</v>
      </c>
      <c r="H156" s="721"/>
      <c r="I156" s="1493"/>
      <c r="J156" s="834" t="s">
        <v>677</v>
      </c>
      <c r="K156" s="835" t="s">
        <v>678</v>
      </c>
      <c r="L156" s="890" t="s">
        <v>487</v>
      </c>
      <c r="M156" s="835">
        <v>0</v>
      </c>
      <c r="N156" s="836">
        <v>8190</v>
      </c>
      <c r="O156" s="886">
        <f t="shared" si="9"/>
        <v>0</v>
      </c>
      <c r="P156" s="721"/>
      <c r="Q156" s="1493"/>
      <c r="R156" s="834" t="s">
        <v>677</v>
      </c>
      <c r="S156" s="835" t="s">
        <v>678</v>
      </c>
      <c r="T156" s="890" t="s">
        <v>487</v>
      </c>
      <c r="U156" s="835">
        <v>0</v>
      </c>
      <c r="V156" s="836">
        <v>8190</v>
      </c>
      <c r="W156" s="839">
        <f t="shared" si="11"/>
        <v>0</v>
      </c>
      <c r="X156" s="721"/>
      <c r="Y156" s="1493"/>
      <c r="Z156" s="834" t="s">
        <v>675</v>
      </c>
      <c r="AA156" s="835" t="s">
        <v>674</v>
      </c>
      <c r="AB156" s="890" t="s">
        <v>487</v>
      </c>
      <c r="AC156" s="831">
        <v>0</v>
      </c>
      <c r="AD156" s="836">
        <v>7900</v>
      </c>
      <c r="AE156" s="839">
        <f t="shared" si="12"/>
        <v>0</v>
      </c>
      <c r="AF156" s="721"/>
      <c r="AG156" s="1493"/>
      <c r="AH156" s="834" t="s">
        <v>668</v>
      </c>
      <c r="AI156" s="835" t="s">
        <v>669</v>
      </c>
      <c r="AJ156" s="890" t="s">
        <v>487</v>
      </c>
      <c r="AK156" s="831">
        <v>6</v>
      </c>
      <c r="AL156" s="836">
        <v>23310</v>
      </c>
      <c r="AM156" s="839">
        <f t="shared" si="13"/>
        <v>139860</v>
      </c>
      <c r="AN156" s="721"/>
      <c r="AO156" s="721"/>
      <c r="AP156" s="721"/>
      <c r="AQ156" s="721"/>
      <c r="AR156" s="721"/>
      <c r="AS156" s="721"/>
      <c r="AT156" s="721"/>
      <c r="AU156" s="721"/>
      <c r="AV156" s="721"/>
      <c r="AW156" s="721"/>
      <c r="AX156" s="721"/>
    </row>
    <row r="157" spans="1:50" ht="13.5" thickBot="1" x14ac:dyDescent="0.25">
      <c r="A157" s="1494"/>
      <c r="B157" s="834" t="s">
        <v>676</v>
      </c>
      <c r="C157" s="835" t="s">
        <v>674</v>
      </c>
      <c r="D157" s="890" t="s">
        <v>487</v>
      </c>
      <c r="E157" s="835">
        <v>0</v>
      </c>
      <c r="F157" s="841">
        <v>7900</v>
      </c>
      <c r="G157" s="833">
        <f t="shared" si="10"/>
        <v>0</v>
      </c>
      <c r="H157" s="721"/>
      <c r="I157" s="1493"/>
      <c r="J157" s="834" t="s">
        <v>679</v>
      </c>
      <c r="K157" s="835" t="s">
        <v>678</v>
      </c>
      <c r="L157" s="890" t="s">
        <v>487</v>
      </c>
      <c r="M157" s="835">
        <v>0</v>
      </c>
      <c r="N157" s="836">
        <v>14900</v>
      </c>
      <c r="O157" s="886">
        <f t="shared" si="9"/>
        <v>0</v>
      </c>
      <c r="P157" s="721"/>
      <c r="Q157" s="1493"/>
      <c r="R157" s="834" t="s">
        <v>679</v>
      </c>
      <c r="S157" s="835" t="s">
        <v>678</v>
      </c>
      <c r="T157" s="890" t="s">
        <v>487</v>
      </c>
      <c r="U157" s="835">
        <v>0</v>
      </c>
      <c r="V157" s="836">
        <v>14900</v>
      </c>
      <c r="W157" s="839">
        <f t="shared" si="11"/>
        <v>0</v>
      </c>
      <c r="X157" s="721"/>
      <c r="Y157" s="1493"/>
      <c r="Z157" s="834" t="s">
        <v>676</v>
      </c>
      <c r="AA157" s="835" t="s">
        <v>674</v>
      </c>
      <c r="AB157" s="890" t="s">
        <v>487</v>
      </c>
      <c r="AC157" s="831">
        <v>0</v>
      </c>
      <c r="AD157" s="836">
        <v>7900</v>
      </c>
      <c r="AE157" s="839">
        <f t="shared" si="12"/>
        <v>0</v>
      </c>
      <c r="AF157" s="721"/>
      <c r="AG157" s="1493"/>
      <c r="AH157" s="834" t="s">
        <v>670</v>
      </c>
      <c r="AI157" s="835" t="s">
        <v>669</v>
      </c>
      <c r="AJ157" s="890" t="s">
        <v>487</v>
      </c>
      <c r="AK157" s="831">
        <v>6</v>
      </c>
      <c r="AL157" s="836">
        <v>23310</v>
      </c>
      <c r="AM157" s="839">
        <f t="shared" si="13"/>
        <v>139860</v>
      </c>
      <c r="AN157" s="721"/>
      <c r="AO157" s="721"/>
      <c r="AP157" s="721"/>
      <c r="AQ157" s="721"/>
      <c r="AR157" s="721"/>
      <c r="AS157" s="721"/>
      <c r="AT157" s="721"/>
      <c r="AU157" s="721"/>
      <c r="AV157" s="721"/>
      <c r="AW157" s="721"/>
      <c r="AX157" s="721"/>
    </row>
    <row r="158" spans="1:50" ht="13.5" thickBot="1" x14ac:dyDescent="0.25">
      <c r="A158" s="1494"/>
      <c r="B158" s="834" t="s">
        <v>677</v>
      </c>
      <c r="C158" s="835" t="s">
        <v>678</v>
      </c>
      <c r="D158" s="890" t="s">
        <v>487</v>
      </c>
      <c r="E158" s="835">
        <v>0</v>
      </c>
      <c r="F158" s="841">
        <v>8190</v>
      </c>
      <c r="G158" s="833">
        <f t="shared" si="10"/>
        <v>0</v>
      </c>
      <c r="H158" s="721"/>
      <c r="I158" s="1493"/>
      <c r="J158" s="834" t="s">
        <v>680</v>
      </c>
      <c r="K158" s="835" t="s">
        <v>678</v>
      </c>
      <c r="L158" s="890" t="s">
        <v>487</v>
      </c>
      <c r="M158" s="835">
        <v>0</v>
      </c>
      <c r="N158" s="836">
        <v>6900</v>
      </c>
      <c r="O158" s="886">
        <f t="shared" si="9"/>
        <v>0</v>
      </c>
      <c r="P158" s="721"/>
      <c r="Q158" s="1493"/>
      <c r="R158" s="834" t="s">
        <v>680</v>
      </c>
      <c r="S158" s="835" t="s">
        <v>678</v>
      </c>
      <c r="T158" s="890" t="s">
        <v>487</v>
      </c>
      <c r="U158" s="835">
        <v>0</v>
      </c>
      <c r="V158" s="836">
        <v>6900</v>
      </c>
      <c r="W158" s="839">
        <f t="shared" si="11"/>
        <v>0</v>
      </c>
      <c r="X158" s="721"/>
      <c r="Y158" s="1493"/>
      <c r="Z158" s="834" t="s">
        <v>677</v>
      </c>
      <c r="AA158" s="835" t="s">
        <v>678</v>
      </c>
      <c r="AB158" s="890" t="s">
        <v>487</v>
      </c>
      <c r="AC158" s="831">
        <v>0</v>
      </c>
      <c r="AD158" s="836">
        <v>8190</v>
      </c>
      <c r="AE158" s="839">
        <f t="shared" si="12"/>
        <v>0</v>
      </c>
      <c r="AF158" s="721"/>
      <c r="AG158" s="1493"/>
      <c r="AH158" s="834" t="s">
        <v>671</v>
      </c>
      <c r="AI158" s="835" t="s">
        <v>669</v>
      </c>
      <c r="AJ158" s="890" t="s">
        <v>487</v>
      </c>
      <c r="AK158" s="831">
        <v>0</v>
      </c>
      <c r="AL158" s="836">
        <v>26900</v>
      </c>
      <c r="AM158" s="839">
        <f t="shared" si="13"/>
        <v>0</v>
      </c>
      <c r="AN158" s="721"/>
      <c r="AO158" s="721"/>
      <c r="AP158" s="721"/>
      <c r="AQ158" s="721"/>
      <c r="AR158" s="721"/>
      <c r="AS158" s="721"/>
      <c r="AT158" s="721"/>
      <c r="AU158" s="721"/>
      <c r="AV158" s="721"/>
      <c r="AW158" s="721"/>
      <c r="AX158" s="721"/>
    </row>
    <row r="159" spans="1:50" ht="13.5" thickBot="1" x14ac:dyDescent="0.25">
      <c r="A159" s="1494"/>
      <c r="B159" s="834" t="s">
        <v>679</v>
      </c>
      <c r="C159" s="835" t="s">
        <v>678</v>
      </c>
      <c r="D159" s="890" t="s">
        <v>487</v>
      </c>
      <c r="E159" s="835">
        <v>0</v>
      </c>
      <c r="F159" s="841">
        <v>14900</v>
      </c>
      <c r="G159" s="833">
        <f t="shared" si="10"/>
        <v>0</v>
      </c>
      <c r="H159" s="721"/>
      <c r="I159" s="1493"/>
      <c r="J159" s="834" t="s">
        <v>681</v>
      </c>
      <c r="K159" s="835" t="s">
        <v>678</v>
      </c>
      <c r="L159" s="890" t="s">
        <v>487</v>
      </c>
      <c r="M159" s="835">
        <v>0</v>
      </c>
      <c r="N159" s="836">
        <v>29000</v>
      </c>
      <c r="O159" s="886">
        <f t="shared" si="9"/>
        <v>0</v>
      </c>
      <c r="P159" s="721"/>
      <c r="Q159" s="1493"/>
      <c r="R159" s="834" t="s">
        <v>681</v>
      </c>
      <c r="S159" s="835" t="s">
        <v>678</v>
      </c>
      <c r="T159" s="890" t="s">
        <v>487</v>
      </c>
      <c r="U159" s="835">
        <v>0</v>
      </c>
      <c r="V159" s="836">
        <v>29000</v>
      </c>
      <c r="W159" s="839">
        <f t="shared" si="11"/>
        <v>0</v>
      </c>
      <c r="X159" s="721"/>
      <c r="Y159" s="1493"/>
      <c r="Z159" s="834" t="s">
        <v>679</v>
      </c>
      <c r="AA159" s="835" t="s">
        <v>678</v>
      </c>
      <c r="AB159" s="890" t="s">
        <v>487</v>
      </c>
      <c r="AC159" s="831">
        <v>0</v>
      </c>
      <c r="AD159" s="836">
        <v>14900</v>
      </c>
      <c r="AE159" s="839">
        <f t="shared" si="12"/>
        <v>0</v>
      </c>
      <c r="AF159" s="721"/>
      <c r="AG159" s="1493"/>
      <c r="AH159" s="834" t="s">
        <v>672</v>
      </c>
      <c r="AI159" s="835" t="s">
        <v>669</v>
      </c>
      <c r="AJ159" s="890" t="s">
        <v>487</v>
      </c>
      <c r="AK159" s="831">
        <v>0</v>
      </c>
      <c r="AL159" s="836">
        <v>26900</v>
      </c>
      <c r="AM159" s="839">
        <f t="shared" si="13"/>
        <v>0</v>
      </c>
      <c r="AN159" s="721"/>
      <c r="AO159" s="721"/>
      <c r="AP159" s="721"/>
      <c r="AQ159" s="721"/>
      <c r="AR159" s="721"/>
      <c r="AS159" s="721"/>
      <c r="AT159" s="721"/>
      <c r="AU159" s="721"/>
      <c r="AV159" s="721"/>
      <c r="AW159" s="721"/>
      <c r="AX159" s="721"/>
    </row>
    <row r="160" spans="1:50" ht="13.5" thickBot="1" x14ac:dyDescent="0.25">
      <c r="A160" s="1494"/>
      <c r="B160" s="834" t="s">
        <v>680</v>
      </c>
      <c r="C160" s="835" t="s">
        <v>678</v>
      </c>
      <c r="D160" s="890" t="s">
        <v>487</v>
      </c>
      <c r="E160" s="835">
        <v>0</v>
      </c>
      <c r="F160" s="841">
        <v>6900</v>
      </c>
      <c r="G160" s="833">
        <f t="shared" si="10"/>
        <v>0</v>
      </c>
      <c r="H160" s="721"/>
      <c r="I160" s="1493"/>
      <c r="J160" s="834" t="s">
        <v>682</v>
      </c>
      <c r="K160" s="835" t="s">
        <v>678</v>
      </c>
      <c r="L160" s="890" t="s">
        <v>487</v>
      </c>
      <c r="M160" s="835">
        <v>0</v>
      </c>
      <c r="N160" s="836">
        <v>7900</v>
      </c>
      <c r="O160" s="886">
        <f t="shared" si="9"/>
        <v>0</v>
      </c>
      <c r="P160" s="721"/>
      <c r="Q160" s="1493"/>
      <c r="R160" s="834" t="s">
        <v>682</v>
      </c>
      <c r="S160" s="835" t="s">
        <v>678</v>
      </c>
      <c r="T160" s="890" t="s">
        <v>487</v>
      </c>
      <c r="U160" s="835">
        <v>0</v>
      </c>
      <c r="V160" s="836">
        <v>7900</v>
      </c>
      <c r="W160" s="839">
        <f t="shared" si="11"/>
        <v>0</v>
      </c>
      <c r="X160" s="721"/>
      <c r="Y160" s="1493"/>
      <c r="Z160" s="834" t="s">
        <v>680</v>
      </c>
      <c r="AA160" s="835" t="s">
        <v>678</v>
      </c>
      <c r="AB160" s="890" t="s">
        <v>487</v>
      </c>
      <c r="AC160" s="831">
        <v>0</v>
      </c>
      <c r="AD160" s="836">
        <v>6900</v>
      </c>
      <c r="AE160" s="839">
        <f t="shared" si="12"/>
        <v>0</v>
      </c>
      <c r="AF160" s="721"/>
      <c r="AG160" s="1493"/>
      <c r="AH160" s="834" t="s">
        <v>673</v>
      </c>
      <c r="AI160" s="835" t="s">
        <v>674</v>
      </c>
      <c r="AJ160" s="890" t="s">
        <v>487</v>
      </c>
      <c r="AK160" s="831">
        <v>0</v>
      </c>
      <c r="AL160" s="836">
        <v>7900</v>
      </c>
      <c r="AM160" s="839">
        <f t="shared" si="13"/>
        <v>0</v>
      </c>
      <c r="AN160" s="721"/>
      <c r="AO160" s="721"/>
      <c r="AP160" s="721"/>
      <c r="AQ160" s="721"/>
      <c r="AR160" s="721"/>
      <c r="AS160" s="721"/>
      <c r="AT160" s="721"/>
      <c r="AU160" s="721"/>
      <c r="AV160" s="721"/>
      <c r="AW160" s="721"/>
      <c r="AX160" s="721"/>
    </row>
    <row r="161" spans="1:50" ht="13.5" thickBot="1" x14ac:dyDescent="0.25">
      <c r="A161" s="1494"/>
      <c r="B161" s="834" t="s">
        <v>681</v>
      </c>
      <c r="C161" s="835" t="s">
        <v>678</v>
      </c>
      <c r="D161" s="890" t="s">
        <v>487</v>
      </c>
      <c r="E161" s="835">
        <v>0</v>
      </c>
      <c r="F161" s="841">
        <v>29000</v>
      </c>
      <c r="G161" s="833">
        <f t="shared" si="10"/>
        <v>0</v>
      </c>
      <c r="H161" s="721"/>
      <c r="I161" s="1493"/>
      <c r="J161" s="834" t="s">
        <v>683</v>
      </c>
      <c r="K161" s="835" t="s">
        <v>684</v>
      </c>
      <c r="L161" s="890" t="s">
        <v>487</v>
      </c>
      <c r="M161" s="835">
        <v>0</v>
      </c>
      <c r="N161" s="836">
        <v>14500</v>
      </c>
      <c r="O161" s="886">
        <f t="shared" si="9"/>
        <v>0</v>
      </c>
      <c r="P161" s="721"/>
      <c r="Q161" s="1493"/>
      <c r="R161" s="834" t="s">
        <v>683</v>
      </c>
      <c r="S161" s="835" t="s">
        <v>684</v>
      </c>
      <c r="T161" s="890" t="s">
        <v>487</v>
      </c>
      <c r="U161" s="835">
        <v>0</v>
      </c>
      <c r="V161" s="836">
        <v>14500</v>
      </c>
      <c r="W161" s="839">
        <f t="shared" si="11"/>
        <v>0</v>
      </c>
      <c r="X161" s="721"/>
      <c r="Y161" s="1493"/>
      <c r="Z161" s="834" t="s">
        <v>681</v>
      </c>
      <c r="AA161" s="835" t="s">
        <v>678</v>
      </c>
      <c r="AB161" s="890" t="s">
        <v>487</v>
      </c>
      <c r="AC161" s="831">
        <v>0</v>
      </c>
      <c r="AD161" s="836">
        <v>29000</v>
      </c>
      <c r="AE161" s="839">
        <f t="shared" si="12"/>
        <v>0</v>
      </c>
      <c r="AF161" s="721"/>
      <c r="AG161" s="1493"/>
      <c r="AH161" s="834" t="s">
        <v>675</v>
      </c>
      <c r="AI161" s="835" t="s">
        <v>674</v>
      </c>
      <c r="AJ161" s="890" t="s">
        <v>487</v>
      </c>
      <c r="AK161" s="831">
        <v>0</v>
      </c>
      <c r="AL161" s="836">
        <v>7900</v>
      </c>
      <c r="AM161" s="839">
        <f t="shared" si="13"/>
        <v>0</v>
      </c>
      <c r="AN161" s="721"/>
      <c r="AO161" s="721"/>
      <c r="AP161" s="721"/>
      <c r="AQ161" s="721"/>
      <c r="AR161" s="721"/>
      <c r="AS161" s="721"/>
      <c r="AT161" s="721"/>
      <c r="AU161" s="721"/>
      <c r="AV161" s="721"/>
      <c r="AW161" s="721"/>
      <c r="AX161" s="721"/>
    </row>
    <row r="162" spans="1:50" ht="13.5" thickBot="1" x14ac:dyDescent="0.25">
      <c r="A162" s="1494"/>
      <c r="B162" s="834" t="s">
        <v>682</v>
      </c>
      <c r="C162" s="835" t="s">
        <v>678</v>
      </c>
      <c r="D162" s="890" t="s">
        <v>487</v>
      </c>
      <c r="E162" s="835">
        <v>0</v>
      </c>
      <c r="F162" s="841">
        <v>7900</v>
      </c>
      <c r="G162" s="833">
        <f t="shared" si="10"/>
        <v>0</v>
      </c>
      <c r="H162" s="721"/>
      <c r="I162" s="1493"/>
      <c r="J162" s="834" t="s">
        <v>685</v>
      </c>
      <c r="K162" s="835" t="s">
        <v>684</v>
      </c>
      <c r="L162" s="890" t="s">
        <v>487</v>
      </c>
      <c r="M162" s="835">
        <v>0</v>
      </c>
      <c r="N162" s="836">
        <v>14500</v>
      </c>
      <c r="O162" s="886">
        <f t="shared" si="9"/>
        <v>0</v>
      </c>
      <c r="P162" s="721"/>
      <c r="Q162" s="1493"/>
      <c r="R162" s="834" t="s">
        <v>685</v>
      </c>
      <c r="S162" s="835" t="s">
        <v>684</v>
      </c>
      <c r="T162" s="890" t="s">
        <v>487</v>
      </c>
      <c r="U162" s="835">
        <v>0</v>
      </c>
      <c r="V162" s="836">
        <v>14500</v>
      </c>
      <c r="W162" s="839">
        <f t="shared" si="11"/>
        <v>0</v>
      </c>
      <c r="X162" s="721"/>
      <c r="Y162" s="1493"/>
      <c r="Z162" s="834" t="s">
        <v>682</v>
      </c>
      <c r="AA162" s="835" t="s">
        <v>678</v>
      </c>
      <c r="AB162" s="890" t="s">
        <v>487</v>
      </c>
      <c r="AC162" s="831">
        <v>0</v>
      </c>
      <c r="AD162" s="836">
        <v>7900</v>
      </c>
      <c r="AE162" s="839">
        <f t="shared" si="12"/>
        <v>0</v>
      </c>
      <c r="AF162" s="721"/>
      <c r="AG162" s="1493"/>
      <c r="AH162" s="834" t="s">
        <v>676</v>
      </c>
      <c r="AI162" s="835" t="s">
        <v>674</v>
      </c>
      <c r="AJ162" s="890" t="s">
        <v>487</v>
      </c>
      <c r="AK162" s="831">
        <v>0</v>
      </c>
      <c r="AL162" s="836">
        <v>7900</v>
      </c>
      <c r="AM162" s="839">
        <f t="shared" si="13"/>
        <v>0</v>
      </c>
      <c r="AN162" s="721"/>
      <c r="AO162" s="721"/>
      <c r="AP162" s="721"/>
      <c r="AQ162" s="721"/>
      <c r="AR162" s="721"/>
      <c r="AS162" s="721"/>
      <c r="AT162" s="721"/>
      <c r="AU162" s="721"/>
      <c r="AV162" s="721"/>
      <c r="AW162" s="721"/>
      <c r="AX162" s="721"/>
    </row>
    <row r="163" spans="1:50" ht="13.5" thickBot="1" x14ac:dyDescent="0.25">
      <c r="A163" s="1494"/>
      <c r="B163" s="834" t="s">
        <v>683</v>
      </c>
      <c r="C163" s="835" t="s">
        <v>684</v>
      </c>
      <c r="D163" s="890" t="s">
        <v>487</v>
      </c>
      <c r="E163" s="835">
        <v>0</v>
      </c>
      <c r="F163" s="841">
        <v>14500</v>
      </c>
      <c r="G163" s="833">
        <f t="shared" si="10"/>
        <v>0</v>
      </c>
      <c r="H163" s="721"/>
      <c r="I163" s="1493"/>
      <c r="J163" s="834" t="s">
        <v>686</v>
      </c>
      <c r="K163" s="835" t="s">
        <v>684</v>
      </c>
      <c r="L163" s="890" t="s">
        <v>487</v>
      </c>
      <c r="M163" s="835">
        <v>6</v>
      </c>
      <c r="N163" s="836">
        <v>14500</v>
      </c>
      <c r="O163" s="886">
        <f t="shared" si="9"/>
        <v>87000</v>
      </c>
      <c r="P163" s="721"/>
      <c r="Q163" s="1493"/>
      <c r="R163" s="834" t="s">
        <v>686</v>
      </c>
      <c r="S163" s="835" t="s">
        <v>684</v>
      </c>
      <c r="T163" s="890" t="s">
        <v>487</v>
      </c>
      <c r="U163" s="835">
        <v>0</v>
      </c>
      <c r="V163" s="836">
        <v>14500</v>
      </c>
      <c r="W163" s="839">
        <f t="shared" si="11"/>
        <v>0</v>
      </c>
      <c r="X163" s="721"/>
      <c r="Y163" s="1493"/>
      <c r="Z163" s="834" t="s">
        <v>683</v>
      </c>
      <c r="AA163" s="835" t="s">
        <v>684</v>
      </c>
      <c r="AB163" s="890" t="s">
        <v>487</v>
      </c>
      <c r="AC163" s="831">
        <v>0</v>
      </c>
      <c r="AD163" s="836">
        <v>14500</v>
      </c>
      <c r="AE163" s="839">
        <f t="shared" si="12"/>
        <v>0</v>
      </c>
      <c r="AF163" s="721"/>
      <c r="AG163" s="1493"/>
      <c r="AH163" s="834" t="s">
        <v>677</v>
      </c>
      <c r="AI163" s="835" t="s">
        <v>678</v>
      </c>
      <c r="AJ163" s="890" t="s">
        <v>487</v>
      </c>
      <c r="AK163" s="831">
        <v>0</v>
      </c>
      <c r="AL163" s="836">
        <v>8190</v>
      </c>
      <c r="AM163" s="839">
        <f t="shared" si="13"/>
        <v>0</v>
      </c>
      <c r="AN163" s="721"/>
      <c r="AO163" s="721"/>
      <c r="AP163" s="721"/>
      <c r="AQ163" s="721"/>
      <c r="AR163" s="721"/>
      <c r="AS163" s="721"/>
      <c r="AT163" s="721"/>
      <c r="AU163" s="721"/>
      <c r="AV163" s="721"/>
      <c r="AW163" s="721"/>
      <c r="AX163" s="721"/>
    </row>
    <row r="164" spans="1:50" ht="13.5" thickBot="1" x14ac:dyDescent="0.25">
      <c r="A164" s="1494"/>
      <c r="B164" s="834" t="s">
        <v>685</v>
      </c>
      <c r="C164" s="835" t="s">
        <v>684</v>
      </c>
      <c r="D164" s="890" t="s">
        <v>487</v>
      </c>
      <c r="E164" s="835">
        <v>0</v>
      </c>
      <c r="F164" s="841">
        <v>14500</v>
      </c>
      <c r="G164" s="833">
        <f t="shared" si="10"/>
        <v>0</v>
      </c>
      <c r="H164" s="721"/>
      <c r="I164" s="1493"/>
      <c r="J164" s="834" t="s">
        <v>687</v>
      </c>
      <c r="K164" s="835" t="s">
        <v>684</v>
      </c>
      <c r="L164" s="890" t="s">
        <v>487</v>
      </c>
      <c r="M164" s="835">
        <v>0</v>
      </c>
      <c r="N164" s="836">
        <v>14500</v>
      </c>
      <c r="O164" s="886">
        <f t="shared" si="9"/>
        <v>0</v>
      </c>
      <c r="P164" s="721"/>
      <c r="Q164" s="1493"/>
      <c r="R164" s="834" t="s">
        <v>687</v>
      </c>
      <c r="S164" s="835" t="s">
        <v>684</v>
      </c>
      <c r="T164" s="890" t="s">
        <v>487</v>
      </c>
      <c r="U164" s="835">
        <v>0</v>
      </c>
      <c r="V164" s="836">
        <v>14500</v>
      </c>
      <c r="W164" s="839">
        <f t="shared" si="11"/>
        <v>0</v>
      </c>
      <c r="X164" s="721"/>
      <c r="Y164" s="1493"/>
      <c r="Z164" s="834" t="s">
        <v>685</v>
      </c>
      <c r="AA164" s="835" t="s">
        <v>684</v>
      </c>
      <c r="AB164" s="890" t="s">
        <v>487</v>
      </c>
      <c r="AC164" s="831">
        <v>0</v>
      </c>
      <c r="AD164" s="836">
        <v>14500</v>
      </c>
      <c r="AE164" s="839">
        <f t="shared" si="12"/>
        <v>0</v>
      </c>
      <c r="AF164" s="721"/>
      <c r="AG164" s="1493"/>
      <c r="AH164" s="834" t="s">
        <v>679</v>
      </c>
      <c r="AI164" s="835" t="s">
        <v>678</v>
      </c>
      <c r="AJ164" s="890" t="s">
        <v>487</v>
      </c>
      <c r="AK164" s="831">
        <v>0</v>
      </c>
      <c r="AL164" s="836">
        <v>14900</v>
      </c>
      <c r="AM164" s="839">
        <f t="shared" si="13"/>
        <v>0</v>
      </c>
      <c r="AN164" s="721"/>
      <c r="AO164" s="721"/>
      <c r="AP164" s="721"/>
      <c r="AQ164" s="721"/>
      <c r="AR164" s="721"/>
      <c r="AS164" s="721"/>
      <c r="AT164" s="721"/>
      <c r="AU164" s="721"/>
      <c r="AV164" s="721"/>
      <c r="AW164" s="721"/>
      <c r="AX164" s="721"/>
    </row>
    <row r="165" spans="1:50" ht="13.5" thickBot="1" x14ac:dyDescent="0.25">
      <c r="A165" s="1494"/>
      <c r="B165" s="834" t="s">
        <v>686</v>
      </c>
      <c r="C165" s="835" t="s">
        <v>684</v>
      </c>
      <c r="D165" s="890" t="s">
        <v>487</v>
      </c>
      <c r="E165" s="835">
        <v>0</v>
      </c>
      <c r="F165" s="841">
        <v>14500</v>
      </c>
      <c r="G165" s="833">
        <f t="shared" si="10"/>
        <v>0</v>
      </c>
      <c r="H165" s="721"/>
      <c r="I165" s="1493"/>
      <c r="J165" s="834" t="s">
        <v>688</v>
      </c>
      <c r="K165" s="835" t="s">
        <v>684</v>
      </c>
      <c r="L165" s="890" t="s">
        <v>487</v>
      </c>
      <c r="M165" s="835">
        <v>0</v>
      </c>
      <c r="N165" s="836">
        <v>18900</v>
      </c>
      <c r="O165" s="886">
        <f t="shared" si="9"/>
        <v>0</v>
      </c>
      <c r="P165" s="721"/>
      <c r="Q165" s="1493"/>
      <c r="R165" s="834" t="s">
        <v>688</v>
      </c>
      <c r="S165" s="835" t="s">
        <v>684</v>
      </c>
      <c r="T165" s="890" t="s">
        <v>487</v>
      </c>
      <c r="U165" s="835">
        <v>0</v>
      </c>
      <c r="V165" s="836">
        <v>18900</v>
      </c>
      <c r="W165" s="839">
        <f t="shared" si="11"/>
        <v>0</v>
      </c>
      <c r="X165" s="721"/>
      <c r="Y165" s="1493"/>
      <c r="Z165" s="834" t="s">
        <v>686</v>
      </c>
      <c r="AA165" s="835" t="s">
        <v>684</v>
      </c>
      <c r="AB165" s="890" t="s">
        <v>487</v>
      </c>
      <c r="AC165" s="831">
        <v>0</v>
      </c>
      <c r="AD165" s="836">
        <v>14500</v>
      </c>
      <c r="AE165" s="839">
        <f t="shared" si="12"/>
        <v>0</v>
      </c>
      <c r="AF165" s="721"/>
      <c r="AG165" s="1493"/>
      <c r="AH165" s="834" t="s">
        <v>680</v>
      </c>
      <c r="AI165" s="835" t="s">
        <v>678</v>
      </c>
      <c r="AJ165" s="890" t="s">
        <v>487</v>
      </c>
      <c r="AK165" s="831">
        <v>0</v>
      </c>
      <c r="AL165" s="836">
        <v>6900</v>
      </c>
      <c r="AM165" s="839">
        <f t="shared" si="13"/>
        <v>0</v>
      </c>
      <c r="AN165" s="721"/>
      <c r="AO165" s="721"/>
      <c r="AP165" s="721"/>
      <c r="AQ165" s="721"/>
      <c r="AR165" s="721"/>
      <c r="AS165" s="721"/>
      <c r="AT165" s="721"/>
      <c r="AU165" s="721"/>
      <c r="AV165" s="721"/>
      <c r="AW165" s="721"/>
      <c r="AX165" s="721"/>
    </row>
    <row r="166" spans="1:50" ht="13.5" thickBot="1" x14ac:dyDescent="0.25">
      <c r="A166" s="1494"/>
      <c r="B166" s="834" t="s">
        <v>687</v>
      </c>
      <c r="C166" s="835" t="s">
        <v>684</v>
      </c>
      <c r="D166" s="890" t="s">
        <v>487</v>
      </c>
      <c r="E166" s="835">
        <v>0</v>
      </c>
      <c r="F166" s="841">
        <v>14500</v>
      </c>
      <c r="G166" s="833">
        <f t="shared" si="10"/>
        <v>0</v>
      </c>
      <c r="H166" s="721"/>
      <c r="I166" s="1493"/>
      <c r="J166" s="834" t="s">
        <v>689</v>
      </c>
      <c r="K166" s="835" t="s">
        <v>684</v>
      </c>
      <c r="L166" s="890" t="s">
        <v>487</v>
      </c>
      <c r="M166" s="835">
        <v>0</v>
      </c>
      <c r="N166" s="836">
        <v>7900</v>
      </c>
      <c r="O166" s="886">
        <f t="shared" si="9"/>
        <v>0</v>
      </c>
      <c r="P166" s="721"/>
      <c r="Q166" s="1493"/>
      <c r="R166" s="834" t="s">
        <v>689</v>
      </c>
      <c r="S166" s="835" t="s">
        <v>684</v>
      </c>
      <c r="T166" s="890" t="s">
        <v>487</v>
      </c>
      <c r="U166" s="835">
        <v>0</v>
      </c>
      <c r="V166" s="836">
        <v>7900</v>
      </c>
      <c r="W166" s="839">
        <f t="shared" si="11"/>
        <v>0</v>
      </c>
      <c r="X166" s="721"/>
      <c r="Y166" s="1493"/>
      <c r="Z166" s="834" t="s">
        <v>687</v>
      </c>
      <c r="AA166" s="835" t="s">
        <v>684</v>
      </c>
      <c r="AB166" s="890" t="s">
        <v>487</v>
      </c>
      <c r="AC166" s="831">
        <v>0</v>
      </c>
      <c r="AD166" s="836">
        <v>14500</v>
      </c>
      <c r="AE166" s="839">
        <f t="shared" si="12"/>
        <v>0</v>
      </c>
      <c r="AF166" s="721"/>
      <c r="AG166" s="1493"/>
      <c r="AH166" s="834" t="s">
        <v>681</v>
      </c>
      <c r="AI166" s="835" t="s">
        <v>678</v>
      </c>
      <c r="AJ166" s="890" t="s">
        <v>487</v>
      </c>
      <c r="AK166" s="831">
        <v>0</v>
      </c>
      <c r="AL166" s="836">
        <v>29000</v>
      </c>
      <c r="AM166" s="839">
        <f t="shared" si="13"/>
        <v>0</v>
      </c>
      <c r="AN166" s="721"/>
      <c r="AO166" s="721"/>
      <c r="AP166" s="721"/>
      <c r="AQ166" s="721"/>
      <c r="AR166" s="721"/>
      <c r="AS166" s="721"/>
      <c r="AT166" s="721"/>
      <c r="AU166" s="721"/>
      <c r="AV166" s="721"/>
      <c r="AW166" s="721"/>
      <c r="AX166" s="721"/>
    </row>
    <row r="167" spans="1:50" ht="13.5" thickBot="1" x14ac:dyDescent="0.25">
      <c r="A167" s="1494"/>
      <c r="B167" s="834" t="s">
        <v>688</v>
      </c>
      <c r="C167" s="835" t="s">
        <v>684</v>
      </c>
      <c r="D167" s="890" t="s">
        <v>487</v>
      </c>
      <c r="E167" s="835">
        <v>0</v>
      </c>
      <c r="F167" s="841">
        <v>18900</v>
      </c>
      <c r="G167" s="833">
        <f t="shared" si="10"/>
        <v>0</v>
      </c>
      <c r="H167" s="721"/>
      <c r="I167" s="1493"/>
      <c r="J167" s="834" t="s">
        <v>690</v>
      </c>
      <c r="K167" s="835" t="s">
        <v>684</v>
      </c>
      <c r="L167" s="890" t="s">
        <v>487</v>
      </c>
      <c r="M167" s="835">
        <v>0</v>
      </c>
      <c r="N167" s="836">
        <v>24900</v>
      </c>
      <c r="O167" s="886">
        <f t="shared" si="9"/>
        <v>0</v>
      </c>
      <c r="P167" s="721"/>
      <c r="Q167" s="1493"/>
      <c r="R167" s="834" t="s">
        <v>690</v>
      </c>
      <c r="S167" s="835" t="s">
        <v>684</v>
      </c>
      <c r="T167" s="890" t="s">
        <v>487</v>
      </c>
      <c r="U167" s="835">
        <v>0</v>
      </c>
      <c r="V167" s="836">
        <v>24900</v>
      </c>
      <c r="W167" s="839">
        <f t="shared" si="11"/>
        <v>0</v>
      </c>
      <c r="X167" s="721"/>
      <c r="Y167" s="1493"/>
      <c r="Z167" s="834" t="s">
        <v>688</v>
      </c>
      <c r="AA167" s="835" t="s">
        <v>684</v>
      </c>
      <c r="AB167" s="890" t="s">
        <v>487</v>
      </c>
      <c r="AC167" s="831">
        <v>0</v>
      </c>
      <c r="AD167" s="836">
        <v>18900</v>
      </c>
      <c r="AE167" s="839">
        <f t="shared" si="12"/>
        <v>0</v>
      </c>
      <c r="AF167" s="721"/>
      <c r="AG167" s="1493"/>
      <c r="AH167" s="834" t="s">
        <v>682</v>
      </c>
      <c r="AI167" s="835" t="s">
        <v>678</v>
      </c>
      <c r="AJ167" s="890" t="s">
        <v>487</v>
      </c>
      <c r="AK167" s="831">
        <v>0</v>
      </c>
      <c r="AL167" s="836">
        <v>7900</v>
      </c>
      <c r="AM167" s="839">
        <f t="shared" si="13"/>
        <v>0</v>
      </c>
      <c r="AN167" s="721"/>
      <c r="AO167" s="721"/>
      <c r="AP167" s="721"/>
      <c r="AQ167" s="721"/>
      <c r="AR167" s="721"/>
      <c r="AS167" s="721"/>
      <c r="AT167" s="721"/>
      <c r="AU167" s="721"/>
      <c r="AV167" s="721"/>
      <c r="AW167" s="721"/>
      <c r="AX167" s="721"/>
    </row>
    <row r="168" spans="1:50" ht="13.5" thickBot="1" x14ac:dyDescent="0.25">
      <c r="A168" s="1494"/>
      <c r="B168" s="834" t="s">
        <v>689</v>
      </c>
      <c r="C168" s="835" t="s">
        <v>684</v>
      </c>
      <c r="D168" s="890" t="s">
        <v>487</v>
      </c>
      <c r="E168" s="835">
        <v>0</v>
      </c>
      <c r="F168" s="841">
        <v>7900</v>
      </c>
      <c r="G168" s="833">
        <f t="shared" si="10"/>
        <v>0</v>
      </c>
      <c r="H168" s="721"/>
      <c r="I168" s="1493"/>
      <c r="J168" s="834" t="s">
        <v>691</v>
      </c>
      <c r="K168" s="835" t="s">
        <v>684</v>
      </c>
      <c r="L168" s="890" t="s">
        <v>487</v>
      </c>
      <c r="M168" s="835">
        <v>0</v>
      </c>
      <c r="N168" s="836">
        <v>21900</v>
      </c>
      <c r="O168" s="886">
        <f t="shared" si="9"/>
        <v>0</v>
      </c>
      <c r="P168" s="721"/>
      <c r="Q168" s="1493"/>
      <c r="R168" s="834" t="s">
        <v>691</v>
      </c>
      <c r="S168" s="835" t="s">
        <v>684</v>
      </c>
      <c r="T168" s="890" t="s">
        <v>487</v>
      </c>
      <c r="U168" s="835">
        <v>0</v>
      </c>
      <c r="V168" s="836">
        <v>21900</v>
      </c>
      <c r="W168" s="839">
        <f t="shared" si="11"/>
        <v>0</v>
      </c>
      <c r="X168" s="721"/>
      <c r="Y168" s="1493"/>
      <c r="Z168" s="834" t="s">
        <v>689</v>
      </c>
      <c r="AA168" s="835" t="s">
        <v>684</v>
      </c>
      <c r="AB168" s="890" t="s">
        <v>487</v>
      </c>
      <c r="AC168" s="831">
        <v>0</v>
      </c>
      <c r="AD168" s="836">
        <v>7900</v>
      </c>
      <c r="AE168" s="839">
        <f t="shared" si="12"/>
        <v>0</v>
      </c>
      <c r="AF168" s="721"/>
      <c r="AG168" s="1493"/>
      <c r="AH168" s="834" t="s">
        <v>683</v>
      </c>
      <c r="AI168" s="835" t="s">
        <v>684</v>
      </c>
      <c r="AJ168" s="890" t="s">
        <v>487</v>
      </c>
      <c r="AK168" s="831">
        <v>0</v>
      </c>
      <c r="AL168" s="836">
        <v>14500</v>
      </c>
      <c r="AM168" s="839">
        <f t="shared" si="13"/>
        <v>0</v>
      </c>
      <c r="AN168" s="721"/>
      <c r="AO168" s="721"/>
      <c r="AP168" s="721"/>
      <c r="AQ168" s="721"/>
      <c r="AR168" s="721"/>
      <c r="AS168" s="721"/>
      <c r="AT168" s="721"/>
      <c r="AU168" s="721"/>
      <c r="AV168" s="721"/>
      <c r="AW168" s="721"/>
      <c r="AX168" s="721"/>
    </row>
    <row r="169" spans="1:50" ht="13.5" thickBot="1" x14ac:dyDescent="0.25">
      <c r="A169" s="1494"/>
      <c r="B169" s="834" t="s">
        <v>690</v>
      </c>
      <c r="C169" s="835" t="s">
        <v>684</v>
      </c>
      <c r="D169" s="890" t="s">
        <v>487</v>
      </c>
      <c r="E169" s="835">
        <v>0</v>
      </c>
      <c r="F169" s="841">
        <v>24900</v>
      </c>
      <c r="G169" s="833">
        <f t="shared" si="10"/>
        <v>0</v>
      </c>
      <c r="H169" s="721"/>
      <c r="I169" s="1493"/>
      <c r="J169" s="834" t="s">
        <v>692</v>
      </c>
      <c r="K169" s="835" t="s">
        <v>693</v>
      </c>
      <c r="L169" s="890" t="s">
        <v>487</v>
      </c>
      <c r="M169" s="835">
        <v>0</v>
      </c>
      <c r="N169" s="836">
        <v>6900</v>
      </c>
      <c r="O169" s="886">
        <f t="shared" si="9"/>
        <v>0</v>
      </c>
      <c r="P169" s="721"/>
      <c r="Q169" s="1493"/>
      <c r="R169" s="834" t="s">
        <v>692</v>
      </c>
      <c r="S169" s="835" t="s">
        <v>693</v>
      </c>
      <c r="T169" s="890" t="s">
        <v>487</v>
      </c>
      <c r="U169" s="835">
        <v>0</v>
      </c>
      <c r="V169" s="836">
        <v>6900</v>
      </c>
      <c r="W169" s="839">
        <f t="shared" si="11"/>
        <v>0</v>
      </c>
      <c r="X169" s="721"/>
      <c r="Y169" s="1493"/>
      <c r="Z169" s="834" t="s">
        <v>690</v>
      </c>
      <c r="AA169" s="835" t="s">
        <v>684</v>
      </c>
      <c r="AB169" s="890" t="s">
        <v>487</v>
      </c>
      <c r="AC169" s="831">
        <v>0</v>
      </c>
      <c r="AD169" s="836">
        <v>24900</v>
      </c>
      <c r="AE169" s="839">
        <f t="shared" si="12"/>
        <v>0</v>
      </c>
      <c r="AF169" s="721"/>
      <c r="AG169" s="1493"/>
      <c r="AH169" s="834" t="s">
        <v>685</v>
      </c>
      <c r="AI169" s="835" t="s">
        <v>684</v>
      </c>
      <c r="AJ169" s="890" t="s">
        <v>487</v>
      </c>
      <c r="AK169" s="831">
        <v>0</v>
      </c>
      <c r="AL169" s="836">
        <v>14500</v>
      </c>
      <c r="AM169" s="839">
        <f t="shared" si="13"/>
        <v>0</v>
      </c>
      <c r="AN169" s="721"/>
      <c r="AO169" s="721"/>
      <c r="AP169" s="721"/>
      <c r="AQ169" s="721"/>
      <c r="AR169" s="721"/>
      <c r="AS169" s="721"/>
      <c r="AT169" s="721"/>
      <c r="AU169" s="721"/>
      <c r="AV169" s="721"/>
      <c r="AW169" s="721"/>
      <c r="AX169" s="721"/>
    </row>
    <row r="170" spans="1:50" ht="13.5" thickBot="1" x14ac:dyDescent="0.25">
      <c r="A170" s="1494"/>
      <c r="B170" s="834" t="s">
        <v>691</v>
      </c>
      <c r="C170" s="835" t="s">
        <v>684</v>
      </c>
      <c r="D170" s="890" t="s">
        <v>487</v>
      </c>
      <c r="E170" s="835">
        <v>0</v>
      </c>
      <c r="F170" s="841">
        <v>21900</v>
      </c>
      <c r="G170" s="833">
        <f t="shared" si="10"/>
        <v>0</v>
      </c>
      <c r="H170" s="721"/>
      <c r="I170" s="1493"/>
      <c r="J170" s="834" t="s">
        <v>694</v>
      </c>
      <c r="K170" s="835" t="s">
        <v>693</v>
      </c>
      <c r="L170" s="890" t="s">
        <v>487</v>
      </c>
      <c r="M170" s="835">
        <v>0</v>
      </c>
      <c r="N170" s="836">
        <v>11900</v>
      </c>
      <c r="O170" s="886">
        <f t="shared" si="9"/>
        <v>0</v>
      </c>
      <c r="P170" s="721"/>
      <c r="Q170" s="1493"/>
      <c r="R170" s="834" t="s">
        <v>694</v>
      </c>
      <c r="S170" s="835" t="s">
        <v>693</v>
      </c>
      <c r="T170" s="890" t="s">
        <v>487</v>
      </c>
      <c r="U170" s="835">
        <v>0</v>
      </c>
      <c r="V170" s="836">
        <v>11900</v>
      </c>
      <c r="W170" s="839">
        <f t="shared" si="11"/>
        <v>0</v>
      </c>
      <c r="X170" s="721"/>
      <c r="Y170" s="1493"/>
      <c r="Z170" s="834" t="s">
        <v>691</v>
      </c>
      <c r="AA170" s="835" t="s">
        <v>684</v>
      </c>
      <c r="AB170" s="890" t="s">
        <v>487</v>
      </c>
      <c r="AC170" s="831">
        <v>1</v>
      </c>
      <c r="AD170" s="836">
        <v>21900</v>
      </c>
      <c r="AE170" s="839">
        <f t="shared" si="12"/>
        <v>21900</v>
      </c>
      <c r="AF170" s="721"/>
      <c r="AG170" s="1493"/>
      <c r="AH170" s="834" t="s">
        <v>686</v>
      </c>
      <c r="AI170" s="835" t="s">
        <v>684</v>
      </c>
      <c r="AJ170" s="890" t="s">
        <v>487</v>
      </c>
      <c r="AK170" s="831">
        <v>0</v>
      </c>
      <c r="AL170" s="836">
        <v>14500</v>
      </c>
      <c r="AM170" s="839">
        <f t="shared" si="13"/>
        <v>0</v>
      </c>
      <c r="AN170" s="721"/>
      <c r="AO170" s="721"/>
      <c r="AP170" s="721"/>
      <c r="AQ170" s="721"/>
      <c r="AR170" s="721"/>
      <c r="AS170" s="721"/>
      <c r="AT170" s="721"/>
      <c r="AU170" s="721"/>
      <c r="AV170" s="721"/>
      <c r="AW170" s="721"/>
      <c r="AX170" s="721"/>
    </row>
    <row r="171" spans="1:50" ht="13.5" thickBot="1" x14ac:dyDescent="0.25">
      <c r="A171" s="1494"/>
      <c r="B171" s="834" t="s">
        <v>692</v>
      </c>
      <c r="C171" s="835" t="s">
        <v>693</v>
      </c>
      <c r="D171" s="890" t="s">
        <v>487</v>
      </c>
      <c r="E171" s="835">
        <v>0</v>
      </c>
      <c r="F171" s="841">
        <v>6900</v>
      </c>
      <c r="G171" s="833">
        <f t="shared" si="10"/>
        <v>0</v>
      </c>
      <c r="H171" s="721"/>
      <c r="I171" s="1493"/>
      <c r="J171" s="834" t="s">
        <v>695</v>
      </c>
      <c r="K171" s="835" t="s">
        <v>693</v>
      </c>
      <c r="L171" s="890" t="s">
        <v>487</v>
      </c>
      <c r="M171" s="835">
        <v>0</v>
      </c>
      <c r="N171" s="836">
        <v>13900</v>
      </c>
      <c r="O171" s="886">
        <f t="shared" si="9"/>
        <v>0</v>
      </c>
      <c r="P171" s="721"/>
      <c r="Q171" s="1493"/>
      <c r="R171" s="834" t="s">
        <v>695</v>
      </c>
      <c r="S171" s="835" t="s">
        <v>693</v>
      </c>
      <c r="T171" s="890" t="s">
        <v>487</v>
      </c>
      <c r="U171" s="835">
        <v>0</v>
      </c>
      <c r="V171" s="836">
        <v>13900</v>
      </c>
      <c r="W171" s="839">
        <f t="shared" si="11"/>
        <v>0</v>
      </c>
      <c r="X171" s="721"/>
      <c r="Y171" s="1493"/>
      <c r="Z171" s="834" t="s">
        <v>692</v>
      </c>
      <c r="AA171" s="835" t="s">
        <v>693</v>
      </c>
      <c r="AB171" s="890" t="s">
        <v>487</v>
      </c>
      <c r="AC171" s="831">
        <v>0</v>
      </c>
      <c r="AD171" s="836">
        <v>6900</v>
      </c>
      <c r="AE171" s="839">
        <f t="shared" si="12"/>
        <v>0</v>
      </c>
      <c r="AF171" s="721"/>
      <c r="AG171" s="1493"/>
      <c r="AH171" s="834" t="s">
        <v>687</v>
      </c>
      <c r="AI171" s="835" t="s">
        <v>684</v>
      </c>
      <c r="AJ171" s="890" t="s">
        <v>487</v>
      </c>
      <c r="AK171" s="831">
        <v>3</v>
      </c>
      <c r="AL171" s="836">
        <v>14500</v>
      </c>
      <c r="AM171" s="839">
        <f t="shared" si="13"/>
        <v>43500</v>
      </c>
      <c r="AN171" s="721"/>
      <c r="AO171" s="721"/>
      <c r="AP171" s="721"/>
      <c r="AQ171" s="721"/>
      <c r="AR171" s="721"/>
      <c r="AS171" s="721"/>
      <c r="AT171" s="721"/>
      <c r="AU171" s="721"/>
      <c r="AV171" s="721"/>
      <c r="AW171" s="721"/>
      <c r="AX171" s="721"/>
    </row>
    <row r="172" spans="1:50" ht="13.5" thickBot="1" x14ac:dyDescent="0.25">
      <c r="A172" s="1494"/>
      <c r="B172" s="834" t="s">
        <v>694</v>
      </c>
      <c r="C172" s="835" t="s">
        <v>693</v>
      </c>
      <c r="D172" s="890" t="s">
        <v>487</v>
      </c>
      <c r="E172" s="835">
        <v>0</v>
      </c>
      <c r="F172" s="841">
        <v>11900</v>
      </c>
      <c r="G172" s="833">
        <f t="shared" si="10"/>
        <v>0</v>
      </c>
      <c r="H172" s="721"/>
      <c r="I172" s="1493"/>
      <c r="J172" s="834" t="s">
        <v>696</v>
      </c>
      <c r="K172" s="835" t="s">
        <v>693</v>
      </c>
      <c r="L172" s="890" t="s">
        <v>487</v>
      </c>
      <c r="M172" s="835">
        <v>0</v>
      </c>
      <c r="N172" s="836">
        <v>6900</v>
      </c>
      <c r="O172" s="886">
        <f t="shared" si="9"/>
        <v>0</v>
      </c>
      <c r="P172" s="721"/>
      <c r="Q172" s="1493"/>
      <c r="R172" s="834" t="s">
        <v>696</v>
      </c>
      <c r="S172" s="835" t="s">
        <v>693</v>
      </c>
      <c r="T172" s="890" t="s">
        <v>487</v>
      </c>
      <c r="U172" s="835">
        <v>0</v>
      </c>
      <c r="V172" s="836">
        <v>6900</v>
      </c>
      <c r="W172" s="839">
        <f t="shared" si="11"/>
        <v>0</v>
      </c>
      <c r="X172" s="721"/>
      <c r="Y172" s="1493"/>
      <c r="Z172" s="834" t="s">
        <v>694</v>
      </c>
      <c r="AA172" s="835" t="s">
        <v>693</v>
      </c>
      <c r="AB172" s="890" t="s">
        <v>487</v>
      </c>
      <c r="AC172" s="831">
        <v>0</v>
      </c>
      <c r="AD172" s="836">
        <v>11900</v>
      </c>
      <c r="AE172" s="839">
        <f t="shared" si="12"/>
        <v>0</v>
      </c>
      <c r="AF172" s="721"/>
      <c r="AG172" s="1493"/>
      <c r="AH172" s="834" t="s">
        <v>688</v>
      </c>
      <c r="AI172" s="835" t="s">
        <v>684</v>
      </c>
      <c r="AJ172" s="890" t="s">
        <v>487</v>
      </c>
      <c r="AK172" s="831">
        <v>0</v>
      </c>
      <c r="AL172" s="836">
        <v>18900</v>
      </c>
      <c r="AM172" s="839">
        <f t="shared" si="13"/>
        <v>0</v>
      </c>
      <c r="AN172" s="721"/>
      <c r="AO172" s="721"/>
      <c r="AP172" s="721"/>
      <c r="AQ172" s="721"/>
      <c r="AR172" s="721"/>
      <c r="AS172" s="721"/>
      <c r="AT172" s="721"/>
      <c r="AU172" s="721"/>
      <c r="AV172" s="721"/>
      <c r="AW172" s="721"/>
      <c r="AX172" s="721"/>
    </row>
    <row r="173" spans="1:50" ht="13.5" thickBot="1" x14ac:dyDescent="0.25">
      <c r="A173" s="1494"/>
      <c r="B173" s="834" t="s">
        <v>695</v>
      </c>
      <c r="C173" s="835" t="s">
        <v>693</v>
      </c>
      <c r="D173" s="890" t="s">
        <v>487</v>
      </c>
      <c r="E173" s="835">
        <v>0</v>
      </c>
      <c r="F173" s="841">
        <v>13900</v>
      </c>
      <c r="G173" s="833">
        <f t="shared" si="10"/>
        <v>0</v>
      </c>
      <c r="H173" s="721"/>
      <c r="I173" s="1493"/>
      <c r="J173" s="834" t="s">
        <v>697</v>
      </c>
      <c r="K173" s="835" t="s">
        <v>693</v>
      </c>
      <c r="L173" s="890" t="s">
        <v>487</v>
      </c>
      <c r="M173" s="835">
        <v>0</v>
      </c>
      <c r="N173" s="836">
        <v>14900</v>
      </c>
      <c r="O173" s="886">
        <f t="shared" si="9"/>
        <v>0</v>
      </c>
      <c r="P173" s="721"/>
      <c r="Q173" s="1493"/>
      <c r="R173" s="834" t="s">
        <v>697</v>
      </c>
      <c r="S173" s="835" t="s">
        <v>693</v>
      </c>
      <c r="T173" s="890" t="s">
        <v>487</v>
      </c>
      <c r="U173" s="835">
        <v>0</v>
      </c>
      <c r="V173" s="836">
        <v>14900</v>
      </c>
      <c r="W173" s="839">
        <f t="shared" si="11"/>
        <v>0</v>
      </c>
      <c r="X173" s="721"/>
      <c r="Y173" s="1493"/>
      <c r="Z173" s="834" t="s">
        <v>695</v>
      </c>
      <c r="AA173" s="835" t="s">
        <v>693</v>
      </c>
      <c r="AB173" s="890" t="s">
        <v>487</v>
      </c>
      <c r="AC173" s="831">
        <v>0</v>
      </c>
      <c r="AD173" s="836">
        <v>13900</v>
      </c>
      <c r="AE173" s="839">
        <f t="shared" si="12"/>
        <v>0</v>
      </c>
      <c r="AF173" s="721"/>
      <c r="AG173" s="1493"/>
      <c r="AH173" s="834" t="s">
        <v>689</v>
      </c>
      <c r="AI173" s="835" t="s">
        <v>684</v>
      </c>
      <c r="AJ173" s="890" t="s">
        <v>487</v>
      </c>
      <c r="AK173" s="831">
        <v>0</v>
      </c>
      <c r="AL173" s="836">
        <v>7900</v>
      </c>
      <c r="AM173" s="839">
        <f t="shared" si="13"/>
        <v>0</v>
      </c>
      <c r="AN173" s="721"/>
      <c r="AO173" s="721"/>
      <c r="AP173" s="721"/>
      <c r="AQ173" s="721"/>
      <c r="AR173" s="721"/>
      <c r="AS173" s="721"/>
      <c r="AT173" s="721"/>
      <c r="AU173" s="721"/>
      <c r="AV173" s="721"/>
      <c r="AW173" s="721"/>
      <c r="AX173" s="721"/>
    </row>
    <row r="174" spans="1:50" ht="13.5" thickBot="1" x14ac:dyDescent="0.25">
      <c r="A174" s="1494"/>
      <c r="B174" s="834" t="s">
        <v>696</v>
      </c>
      <c r="C174" s="835" t="s">
        <v>693</v>
      </c>
      <c r="D174" s="890" t="s">
        <v>487</v>
      </c>
      <c r="E174" s="835">
        <v>0</v>
      </c>
      <c r="F174" s="841">
        <v>6900</v>
      </c>
      <c r="G174" s="833">
        <f t="shared" si="10"/>
        <v>0</v>
      </c>
      <c r="H174" s="721"/>
      <c r="I174" s="1493"/>
      <c r="J174" s="834" t="s">
        <v>698</v>
      </c>
      <c r="K174" s="835" t="s">
        <v>693</v>
      </c>
      <c r="L174" s="890" t="s">
        <v>487</v>
      </c>
      <c r="M174" s="835">
        <v>6</v>
      </c>
      <c r="N174" s="836">
        <v>17900</v>
      </c>
      <c r="O174" s="886">
        <f t="shared" si="9"/>
        <v>107400</v>
      </c>
      <c r="P174" s="721"/>
      <c r="Q174" s="1493"/>
      <c r="R174" s="834" t="s">
        <v>698</v>
      </c>
      <c r="S174" s="835" t="s">
        <v>693</v>
      </c>
      <c r="T174" s="890" t="s">
        <v>487</v>
      </c>
      <c r="U174" s="835">
        <v>0</v>
      </c>
      <c r="V174" s="836">
        <v>17900</v>
      </c>
      <c r="W174" s="839">
        <f t="shared" si="11"/>
        <v>0</v>
      </c>
      <c r="X174" s="721"/>
      <c r="Y174" s="1493"/>
      <c r="Z174" s="834" t="s">
        <v>696</v>
      </c>
      <c r="AA174" s="835" t="s">
        <v>693</v>
      </c>
      <c r="AB174" s="890" t="s">
        <v>487</v>
      </c>
      <c r="AC174" s="831">
        <v>0</v>
      </c>
      <c r="AD174" s="836">
        <v>6900</v>
      </c>
      <c r="AE174" s="839">
        <f t="shared" si="12"/>
        <v>0</v>
      </c>
      <c r="AF174" s="721"/>
      <c r="AG174" s="1493"/>
      <c r="AH174" s="834" t="s">
        <v>690</v>
      </c>
      <c r="AI174" s="835" t="s">
        <v>684</v>
      </c>
      <c r="AJ174" s="890" t="s">
        <v>487</v>
      </c>
      <c r="AK174" s="831">
        <v>0</v>
      </c>
      <c r="AL174" s="836">
        <v>24900</v>
      </c>
      <c r="AM174" s="839">
        <f t="shared" si="13"/>
        <v>0</v>
      </c>
      <c r="AN174" s="721"/>
      <c r="AO174" s="721"/>
      <c r="AP174" s="721"/>
      <c r="AQ174" s="721"/>
      <c r="AR174" s="721"/>
      <c r="AS174" s="721"/>
      <c r="AT174" s="721"/>
      <c r="AU174" s="721"/>
      <c r="AV174" s="721"/>
      <c r="AW174" s="721"/>
      <c r="AX174" s="721"/>
    </row>
    <row r="175" spans="1:50" ht="13.5" thickBot="1" x14ac:dyDescent="0.25">
      <c r="A175" s="1494"/>
      <c r="B175" s="834" t="s">
        <v>697</v>
      </c>
      <c r="C175" s="835" t="s">
        <v>693</v>
      </c>
      <c r="D175" s="890" t="s">
        <v>487</v>
      </c>
      <c r="E175" s="835">
        <v>3</v>
      </c>
      <c r="F175" s="841">
        <v>14900</v>
      </c>
      <c r="G175" s="833">
        <f t="shared" si="10"/>
        <v>44700</v>
      </c>
      <c r="H175" s="721"/>
      <c r="I175" s="1493"/>
      <c r="J175" s="834" t="s">
        <v>699</v>
      </c>
      <c r="K175" s="835" t="s">
        <v>693</v>
      </c>
      <c r="L175" s="890" t="s">
        <v>487</v>
      </c>
      <c r="M175" s="835">
        <v>0</v>
      </c>
      <c r="N175" s="836">
        <v>34900</v>
      </c>
      <c r="O175" s="886">
        <f t="shared" si="9"/>
        <v>0</v>
      </c>
      <c r="P175" s="721"/>
      <c r="Q175" s="1493"/>
      <c r="R175" s="834" t="s">
        <v>699</v>
      </c>
      <c r="S175" s="835" t="s">
        <v>693</v>
      </c>
      <c r="T175" s="890" t="s">
        <v>487</v>
      </c>
      <c r="U175" s="835">
        <v>0</v>
      </c>
      <c r="V175" s="836">
        <v>34900</v>
      </c>
      <c r="W175" s="839">
        <f t="shared" si="11"/>
        <v>0</v>
      </c>
      <c r="X175" s="721"/>
      <c r="Y175" s="1493"/>
      <c r="Z175" s="834" t="s">
        <v>697</v>
      </c>
      <c r="AA175" s="835" t="s">
        <v>693</v>
      </c>
      <c r="AB175" s="890" t="s">
        <v>487</v>
      </c>
      <c r="AC175" s="831">
        <v>2</v>
      </c>
      <c r="AD175" s="836">
        <v>14900</v>
      </c>
      <c r="AE175" s="839">
        <f t="shared" si="12"/>
        <v>29800</v>
      </c>
      <c r="AF175" s="721"/>
      <c r="AG175" s="1493"/>
      <c r="AH175" s="834" t="s">
        <v>691</v>
      </c>
      <c r="AI175" s="835" t="s">
        <v>684</v>
      </c>
      <c r="AJ175" s="890" t="s">
        <v>487</v>
      </c>
      <c r="AK175" s="831">
        <v>0</v>
      </c>
      <c r="AL175" s="836">
        <v>21900</v>
      </c>
      <c r="AM175" s="839">
        <f t="shared" si="13"/>
        <v>0</v>
      </c>
      <c r="AN175" s="721"/>
      <c r="AO175" s="721"/>
      <c r="AP175" s="721"/>
      <c r="AQ175" s="721"/>
      <c r="AR175" s="721"/>
      <c r="AS175" s="721"/>
      <c r="AT175" s="721"/>
      <c r="AU175" s="721"/>
      <c r="AV175" s="721"/>
      <c r="AW175" s="721"/>
      <c r="AX175" s="721"/>
    </row>
    <row r="176" spans="1:50" ht="13.5" thickBot="1" x14ac:dyDescent="0.25">
      <c r="A176" s="1494"/>
      <c r="B176" s="834" t="s">
        <v>698</v>
      </c>
      <c r="C176" s="835" t="s">
        <v>693</v>
      </c>
      <c r="D176" s="890" t="s">
        <v>487</v>
      </c>
      <c r="E176" s="835">
        <v>0</v>
      </c>
      <c r="F176" s="841">
        <v>17900</v>
      </c>
      <c r="G176" s="833">
        <f t="shared" si="10"/>
        <v>0</v>
      </c>
      <c r="H176" s="721"/>
      <c r="I176" s="1493"/>
      <c r="J176" s="834" t="s">
        <v>700</v>
      </c>
      <c r="K176" s="835" t="s">
        <v>693</v>
      </c>
      <c r="L176" s="890" t="s">
        <v>487</v>
      </c>
      <c r="M176" s="835">
        <v>3</v>
      </c>
      <c r="N176" s="836">
        <v>34900</v>
      </c>
      <c r="O176" s="886">
        <f t="shared" si="9"/>
        <v>104700</v>
      </c>
      <c r="P176" s="721"/>
      <c r="Q176" s="1493"/>
      <c r="R176" s="834" t="s">
        <v>700</v>
      </c>
      <c r="S176" s="835" t="s">
        <v>693</v>
      </c>
      <c r="T176" s="890" t="s">
        <v>487</v>
      </c>
      <c r="U176" s="835">
        <v>0</v>
      </c>
      <c r="V176" s="836">
        <v>34900</v>
      </c>
      <c r="W176" s="839">
        <f t="shared" si="11"/>
        <v>0</v>
      </c>
      <c r="X176" s="721"/>
      <c r="Y176" s="1493"/>
      <c r="Z176" s="834" t="s">
        <v>698</v>
      </c>
      <c r="AA176" s="835" t="s">
        <v>693</v>
      </c>
      <c r="AB176" s="890" t="s">
        <v>487</v>
      </c>
      <c r="AC176" s="831">
        <v>0</v>
      </c>
      <c r="AD176" s="836">
        <v>17900</v>
      </c>
      <c r="AE176" s="839">
        <f t="shared" si="12"/>
        <v>0</v>
      </c>
      <c r="AF176" s="721"/>
      <c r="AG176" s="1493"/>
      <c r="AH176" s="834" t="s">
        <v>692</v>
      </c>
      <c r="AI176" s="835" t="s">
        <v>693</v>
      </c>
      <c r="AJ176" s="890" t="s">
        <v>487</v>
      </c>
      <c r="AK176" s="831">
        <v>0</v>
      </c>
      <c r="AL176" s="836">
        <v>6900</v>
      </c>
      <c r="AM176" s="839">
        <f t="shared" si="13"/>
        <v>0</v>
      </c>
      <c r="AN176" s="721"/>
      <c r="AO176" s="721"/>
      <c r="AP176" s="721"/>
      <c r="AQ176" s="721"/>
      <c r="AR176" s="721"/>
      <c r="AS176" s="721"/>
      <c r="AT176" s="721"/>
      <c r="AU176" s="721"/>
      <c r="AV176" s="721"/>
      <c r="AW176" s="721"/>
      <c r="AX176" s="721"/>
    </row>
    <row r="177" spans="1:50" ht="13.5" thickBot="1" x14ac:dyDescent="0.25">
      <c r="A177" s="1494"/>
      <c r="B177" s="834" t="s">
        <v>699</v>
      </c>
      <c r="C177" s="835" t="s">
        <v>693</v>
      </c>
      <c r="D177" s="890" t="s">
        <v>487</v>
      </c>
      <c r="E177" s="835">
        <v>0</v>
      </c>
      <c r="F177" s="841">
        <v>34900</v>
      </c>
      <c r="G177" s="833">
        <f t="shared" si="10"/>
        <v>0</v>
      </c>
      <c r="H177" s="721"/>
      <c r="I177" s="1493"/>
      <c r="J177" s="834" t="s">
        <v>701</v>
      </c>
      <c r="K177" s="835" t="s">
        <v>693</v>
      </c>
      <c r="L177" s="890" t="s">
        <v>487</v>
      </c>
      <c r="M177" s="835">
        <v>0</v>
      </c>
      <c r="N177" s="836">
        <v>69900</v>
      </c>
      <c r="O177" s="886">
        <f t="shared" si="9"/>
        <v>0</v>
      </c>
      <c r="P177" s="721"/>
      <c r="Q177" s="1493"/>
      <c r="R177" s="834" t="s">
        <v>701</v>
      </c>
      <c r="S177" s="835" t="s">
        <v>693</v>
      </c>
      <c r="T177" s="890" t="s">
        <v>487</v>
      </c>
      <c r="U177" s="835">
        <v>0</v>
      </c>
      <c r="V177" s="836">
        <v>69900</v>
      </c>
      <c r="W177" s="839">
        <f t="shared" si="11"/>
        <v>0</v>
      </c>
      <c r="X177" s="721"/>
      <c r="Y177" s="1493"/>
      <c r="Z177" s="834" t="s">
        <v>699</v>
      </c>
      <c r="AA177" s="835" t="s">
        <v>693</v>
      </c>
      <c r="AB177" s="890" t="s">
        <v>487</v>
      </c>
      <c r="AC177" s="831">
        <v>0</v>
      </c>
      <c r="AD177" s="836">
        <v>34900</v>
      </c>
      <c r="AE177" s="839">
        <f t="shared" si="12"/>
        <v>0</v>
      </c>
      <c r="AF177" s="721"/>
      <c r="AG177" s="1493"/>
      <c r="AH177" s="834" t="s">
        <v>694</v>
      </c>
      <c r="AI177" s="835" t="s">
        <v>693</v>
      </c>
      <c r="AJ177" s="890" t="s">
        <v>487</v>
      </c>
      <c r="AK177" s="831">
        <v>0</v>
      </c>
      <c r="AL177" s="836">
        <v>11900</v>
      </c>
      <c r="AM177" s="839">
        <f t="shared" si="13"/>
        <v>0</v>
      </c>
      <c r="AN177" s="721"/>
      <c r="AO177" s="721"/>
      <c r="AP177" s="721"/>
      <c r="AQ177" s="721"/>
      <c r="AR177" s="721"/>
      <c r="AS177" s="721"/>
      <c r="AT177" s="721"/>
      <c r="AU177" s="721"/>
      <c r="AV177" s="721"/>
      <c r="AW177" s="721"/>
      <c r="AX177" s="721"/>
    </row>
    <row r="178" spans="1:50" ht="13.5" thickBot="1" x14ac:dyDescent="0.25">
      <c r="A178" s="1494"/>
      <c r="B178" s="834" t="s">
        <v>700</v>
      </c>
      <c r="C178" s="835" t="s">
        <v>693</v>
      </c>
      <c r="D178" s="890" t="s">
        <v>487</v>
      </c>
      <c r="E178" s="835">
        <v>0</v>
      </c>
      <c r="F178" s="841">
        <v>34900</v>
      </c>
      <c r="G178" s="833">
        <f t="shared" si="10"/>
        <v>0</v>
      </c>
      <c r="H178" s="721"/>
      <c r="I178" s="1493"/>
      <c r="J178" s="834" t="s">
        <v>702</v>
      </c>
      <c r="K178" s="835" t="s">
        <v>703</v>
      </c>
      <c r="L178" s="890" t="s">
        <v>487</v>
      </c>
      <c r="M178" s="835">
        <v>0</v>
      </c>
      <c r="N178" s="836">
        <v>82900</v>
      </c>
      <c r="O178" s="886">
        <f t="shared" si="9"/>
        <v>0</v>
      </c>
      <c r="P178" s="721"/>
      <c r="Q178" s="1493"/>
      <c r="R178" s="834" t="s">
        <v>702</v>
      </c>
      <c r="S178" s="835" t="s">
        <v>703</v>
      </c>
      <c r="T178" s="890" t="s">
        <v>487</v>
      </c>
      <c r="U178" s="835">
        <v>1</v>
      </c>
      <c r="V178" s="836">
        <v>82900</v>
      </c>
      <c r="W178" s="839">
        <f t="shared" si="11"/>
        <v>82900</v>
      </c>
      <c r="X178" s="721"/>
      <c r="Y178" s="1493"/>
      <c r="Z178" s="834" t="s">
        <v>700</v>
      </c>
      <c r="AA178" s="835" t="s">
        <v>693</v>
      </c>
      <c r="AB178" s="890" t="s">
        <v>487</v>
      </c>
      <c r="AC178" s="831">
        <v>0</v>
      </c>
      <c r="AD178" s="836">
        <v>34900</v>
      </c>
      <c r="AE178" s="839">
        <f t="shared" si="12"/>
        <v>0</v>
      </c>
      <c r="AF178" s="721"/>
      <c r="AG178" s="1493"/>
      <c r="AH178" s="834" t="s">
        <v>695</v>
      </c>
      <c r="AI178" s="835" t="s">
        <v>693</v>
      </c>
      <c r="AJ178" s="890" t="s">
        <v>487</v>
      </c>
      <c r="AK178" s="831">
        <v>0</v>
      </c>
      <c r="AL178" s="836">
        <v>13900</v>
      </c>
      <c r="AM178" s="839">
        <f t="shared" si="13"/>
        <v>0</v>
      </c>
      <c r="AN178" s="721"/>
      <c r="AO178" s="721"/>
      <c r="AP178" s="721"/>
      <c r="AQ178" s="721"/>
      <c r="AR178" s="721"/>
      <c r="AS178" s="721"/>
      <c r="AT178" s="721"/>
      <c r="AU178" s="721"/>
      <c r="AV178" s="721"/>
      <c r="AW178" s="721"/>
      <c r="AX178" s="721"/>
    </row>
    <row r="179" spans="1:50" ht="13.5" thickBot="1" x14ac:dyDescent="0.25">
      <c r="A179" s="1494"/>
      <c r="B179" s="834" t="s">
        <v>701</v>
      </c>
      <c r="C179" s="835" t="s">
        <v>693</v>
      </c>
      <c r="D179" s="890" t="s">
        <v>487</v>
      </c>
      <c r="E179" s="835">
        <v>0</v>
      </c>
      <c r="F179" s="841">
        <v>69900</v>
      </c>
      <c r="G179" s="833">
        <f t="shared" si="10"/>
        <v>0</v>
      </c>
      <c r="H179" s="721"/>
      <c r="I179" s="1493"/>
      <c r="J179" s="834" t="s">
        <v>704</v>
      </c>
      <c r="K179" s="835" t="s">
        <v>703</v>
      </c>
      <c r="L179" s="890" t="s">
        <v>487</v>
      </c>
      <c r="M179" s="835">
        <v>1</v>
      </c>
      <c r="N179" s="836">
        <v>27900</v>
      </c>
      <c r="O179" s="886">
        <f t="shared" si="9"/>
        <v>27900</v>
      </c>
      <c r="P179" s="721"/>
      <c r="Q179" s="1493"/>
      <c r="R179" s="834" t="s">
        <v>704</v>
      </c>
      <c r="S179" s="835" t="s">
        <v>703</v>
      </c>
      <c r="T179" s="890" t="s">
        <v>487</v>
      </c>
      <c r="U179" s="835">
        <v>1</v>
      </c>
      <c r="V179" s="836">
        <v>27900</v>
      </c>
      <c r="W179" s="839">
        <f t="shared" si="11"/>
        <v>27900</v>
      </c>
      <c r="X179" s="721"/>
      <c r="Y179" s="1493"/>
      <c r="Z179" s="834" t="s">
        <v>701</v>
      </c>
      <c r="AA179" s="835" t="s">
        <v>693</v>
      </c>
      <c r="AB179" s="890" t="s">
        <v>487</v>
      </c>
      <c r="AC179" s="831">
        <v>0</v>
      </c>
      <c r="AD179" s="836">
        <v>69900</v>
      </c>
      <c r="AE179" s="839">
        <f t="shared" si="12"/>
        <v>0</v>
      </c>
      <c r="AF179" s="721"/>
      <c r="AG179" s="1493"/>
      <c r="AH179" s="834" t="s">
        <v>696</v>
      </c>
      <c r="AI179" s="835" t="s">
        <v>693</v>
      </c>
      <c r="AJ179" s="890" t="s">
        <v>487</v>
      </c>
      <c r="AK179" s="831">
        <v>6</v>
      </c>
      <c r="AL179" s="836">
        <v>6900</v>
      </c>
      <c r="AM179" s="839">
        <f t="shared" si="13"/>
        <v>41400</v>
      </c>
      <c r="AN179" s="721"/>
      <c r="AO179" s="721"/>
      <c r="AP179" s="721"/>
      <c r="AQ179" s="721"/>
      <c r="AR179" s="721"/>
      <c r="AS179" s="721"/>
      <c r="AT179" s="721"/>
      <c r="AU179" s="721"/>
      <c r="AV179" s="721"/>
      <c r="AW179" s="721"/>
      <c r="AX179" s="721"/>
    </row>
    <row r="180" spans="1:50" ht="13.5" thickBot="1" x14ac:dyDescent="0.25">
      <c r="A180" s="1494"/>
      <c r="B180" s="834" t="s">
        <v>702</v>
      </c>
      <c r="C180" s="835" t="s">
        <v>703</v>
      </c>
      <c r="D180" s="890" t="s">
        <v>487</v>
      </c>
      <c r="E180" s="835">
        <v>0</v>
      </c>
      <c r="F180" s="841">
        <v>82900</v>
      </c>
      <c r="G180" s="833">
        <f t="shared" si="10"/>
        <v>0</v>
      </c>
      <c r="H180" s="721"/>
      <c r="I180" s="1493"/>
      <c r="J180" s="834" t="s">
        <v>705</v>
      </c>
      <c r="K180" s="835" t="s">
        <v>703</v>
      </c>
      <c r="L180" s="890" t="s">
        <v>487</v>
      </c>
      <c r="M180" s="835">
        <v>1</v>
      </c>
      <c r="N180" s="836">
        <v>27900</v>
      </c>
      <c r="O180" s="886">
        <f t="shared" si="9"/>
        <v>27900</v>
      </c>
      <c r="P180" s="721"/>
      <c r="Q180" s="1493"/>
      <c r="R180" s="834" t="s">
        <v>705</v>
      </c>
      <c r="S180" s="835" t="s">
        <v>703</v>
      </c>
      <c r="T180" s="890" t="s">
        <v>487</v>
      </c>
      <c r="U180" s="835">
        <v>1</v>
      </c>
      <c r="V180" s="836">
        <v>27900</v>
      </c>
      <c r="W180" s="839">
        <f t="shared" si="11"/>
        <v>27900</v>
      </c>
      <c r="X180" s="721"/>
      <c r="Y180" s="1493"/>
      <c r="Z180" s="834" t="s">
        <v>702</v>
      </c>
      <c r="AA180" s="835" t="s">
        <v>703</v>
      </c>
      <c r="AB180" s="890" t="s">
        <v>487</v>
      </c>
      <c r="AC180" s="831">
        <v>1</v>
      </c>
      <c r="AD180" s="836">
        <v>82900</v>
      </c>
      <c r="AE180" s="839">
        <f t="shared" si="12"/>
        <v>82900</v>
      </c>
      <c r="AF180" s="721"/>
      <c r="AG180" s="1493"/>
      <c r="AH180" s="834" t="s">
        <v>697</v>
      </c>
      <c r="AI180" s="835" t="s">
        <v>693</v>
      </c>
      <c r="AJ180" s="890" t="s">
        <v>487</v>
      </c>
      <c r="AK180" s="831">
        <v>6</v>
      </c>
      <c r="AL180" s="836">
        <v>14900</v>
      </c>
      <c r="AM180" s="839">
        <f t="shared" si="13"/>
        <v>89400</v>
      </c>
      <c r="AN180" s="721"/>
      <c r="AO180" s="721"/>
      <c r="AP180" s="721"/>
      <c r="AQ180" s="721"/>
      <c r="AR180" s="721"/>
      <c r="AS180" s="721"/>
      <c r="AT180" s="721"/>
      <c r="AU180" s="721"/>
      <c r="AV180" s="721"/>
      <c r="AW180" s="721"/>
      <c r="AX180" s="721"/>
    </row>
    <row r="181" spans="1:50" ht="13.5" thickBot="1" x14ac:dyDescent="0.25">
      <c r="A181" s="1494"/>
      <c r="B181" s="834" t="s">
        <v>704</v>
      </c>
      <c r="C181" s="835" t="s">
        <v>703</v>
      </c>
      <c r="D181" s="890" t="s">
        <v>487</v>
      </c>
      <c r="E181" s="835">
        <v>0</v>
      </c>
      <c r="F181" s="841">
        <v>27900</v>
      </c>
      <c r="G181" s="833">
        <f t="shared" si="10"/>
        <v>0</v>
      </c>
      <c r="H181" s="721"/>
      <c r="I181" s="1493"/>
      <c r="J181" s="834" t="s">
        <v>706</v>
      </c>
      <c r="K181" s="835" t="s">
        <v>703</v>
      </c>
      <c r="L181" s="890" t="s">
        <v>487</v>
      </c>
      <c r="M181" s="835">
        <v>1</v>
      </c>
      <c r="N181" s="836">
        <v>18900</v>
      </c>
      <c r="O181" s="886">
        <f t="shared" si="9"/>
        <v>18900</v>
      </c>
      <c r="P181" s="721"/>
      <c r="Q181" s="1493"/>
      <c r="R181" s="834" t="s">
        <v>706</v>
      </c>
      <c r="S181" s="835" t="s">
        <v>703</v>
      </c>
      <c r="T181" s="890" t="s">
        <v>487</v>
      </c>
      <c r="U181" s="835">
        <v>1</v>
      </c>
      <c r="V181" s="836">
        <v>18900</v>
      </c>
      <c r="W181" s="839">
        <f t="shared" si="11"/>
        <v>18900</v>
      </c>
      <c r="X181" s="721"/>
      <c r="Y181" s="1493"/>
      <c r="Z181" s="834" t="s">
        <v>704</v>
      </c>
      <c r="AA181" s="835" t="s">
        <v>703</v>
      </c>
      <c r="AB181" s="890" t="s">
        <v>487</v>
      </c>
      <c r="AC181" s="831">
        <v>1</v>
      </c>
      <c r="AD181" s="836">
        <v>27900</v>
      </c>
      <c r="AE181" s="839">
        <f t="shared" si="12"/>
        <v>27900</v>
      </c>
      <c r="AF181" s="721"/>
      <c r="AG181" s="1493"/>
      <c r="AH181" s="834" t="s">
        <v>698</v>
      </c>
      <c r="AI181" s="835" t="s">
        <v>693</v>
      </c>
      <c r="AJ181" s="890" t="s">
        <v>487</v>
      </c>
      <c r="AK181" s="831">
        <v>0</v>
      </c>
      <c r="AL181" s="836">
        <v>17900</v>
      </c>
      <c r="AM181" s="839">
        <f t="shared" si="13"/>
        <v>0</v>
      </c>
      <c r="AN181" s="721"/>
      <c r="AO181" s="721"/>
      <c r="AP181" s="721"/>
      <c r="AQ181" s="721"/>
      <c r="AR181" s="721"/>
      <c r="AS181" s="721"/>
      <c r="AT181" s="721"/>
      <c r="AU181" s="721"/>
      <c r="AV181" s="721"/>
      <c r="AW181" s="721"/>
      <c r="AX181" s="721"/>
    </row>
    <row r="182" spans="1:50" ht="13.5" thickBot="1" x14ac:dyDescent="0.25">
      <c r="A182" s="1494"/>
      <c r="B182" s="834" t="s">
        <v>705</v>
      </c>
      <c r="C182" s="835" t="s">
        <v>703</v>
      </c>
      <c r="D182" s="890" t="s">
        <v>487</v>
      </c>
      <c r="E182" s="835">
        <v>0</v>
      </c>
      <c r="F182" s="841">
        <v>27900</v>
      </c>
      <c r="G182" s="833">
        <f t="shared" si="10"/>
        <v>0</v>
      </c>
      <c r="H182" s="721"/>
      <c r="I182" s="1493"/>
      <c r="J182" s="834" t="s">
        <v>707</v>
      </c>
      <c r="K182" s="835" t="s">
        <v>703</v>
      </c>
      <c r="L182" s="890" t="s">
        <v>487</v>
      </c>
      <c r="M182" s="835">
        <v>1</v>
      </c>
      <c r="N182" s="836">
        <v>8900</v>
      </c>
      <c r="O182" s="886">
        <f t="shared" si="9"/>
        <v>8900</v>
      </c>
      <c r="P182" s="721"/>
      <c r="Q182" s="1493"/>
      <c r="R182" s="834" t="s">
        <v>707</v>
      </c>
      <c r="S182" s="835" t="s">
        <v>703</v>
      </c>
      <c r="T182" s="890" t="s">
        <v>487</v>
      </c>
      <c r="U182" s="835">
        <v>1</v>
      </c>
      <c r="V182" s="836">
        <v>8900</v>
      </c>
      <c r="W182" s="839">
        <f t="shared" si="11"/>
        <v>8900</v>
      </c>
      <c r="X182" s="721"/>
      <c r="Y182" s="1493"/>
      <c r="Z182" s="834" t="s">
        <v>705</v>
      </c>
      <c r="AA182" s="835" t="s">
        <v>703</v>
      </c>
      <c r="AB182" s="890" t="s">
        <v>487</v>
      </c>
      <c r="AC182" s="831">
        <v>1</v>
      </c>
      <c r="AD182" s="836">
        <v>27900</v>
      </c>
      <c r="AE182" s="839">
        <f t="shared" si="12"/>
        <v>27900</v>
      </c>
      <c r="AF182" s="721"/>
      <c r="AG182" s="1493"/>
      <c r="AH182" s="834" t="s">
        <v>699</v>
      </c>
      <c r="AI182" s="835" t="s">
        <v>693</v>
      </c>
      <c r="AJ182" s="890" t="s">
        <v>487</v>
      </c>
      <c r="AK182" s="831">
        <v>0</v>
      </c>
      <c r="AL182" s="836">
        <v>34900</v>
      </c>
      <c r="AM182" s="839">
        <f t="shared" si="13"/>
        <v>0</v>
      </c>
      <c r="AN182" s="721"/>
      <c r="AO182" s="721"/>
      <c r="AP182" s="721"/>
      <c r="AQ182" s="721"/>
      <c r="AR182" s="721"/>
      <c r="AS182" s="721"/>
      <c r="AT182" s="721"/>
      <c r="AU182" s="721"/>
      <c r="AV182" s="721"/>
      <c r="AW182" s="721"/>
      <c r="AX182" s="721"/>
    </row>
    <row r="183" spans="1:50" ht="13.5" thickBot="1" x14ac:dyDescent="0.25">
      <c r="A183" s="1494"/>
      <c r="B183" s="834" t="s">
        <v>706</v>
      </c>
      <c r="C183" s="835" t="s">
        <v>703</v>
      </c>
      <c r="D183" s="890" t="s">
        <v>487</v>
      </c>
      <c r="E183" s="835">
        <v>3</v>
      </c>
      <c r="F183" s="841">
        <v>18900</v>
      </c>
      <c r="G183" s="833">
        <f t="shared" si="10"/>
        <v>56700</v>
      </c>
      <c r="H183" s="721"/>
      <c r="I183" s="1493"/>
      <c r="J183" s="834" t="s">
        <v>708</v>
      </c>
      <c r="K183" s="835" t="s">
        <v>703</v>
      </c>
      <c r="L183" s="890" t="s">
        <v>487</v>
      </c>
      <c r="M183" s="835">
        <v>1</v>
      </c>
      <c r="N183" s="836">
        <v>49900</v>
      </c>
      <c r="O183" s="886">
        <f t="shared" si="9"/>
        <v>49900</v>
      </c>
      <c r="P183" s="721"/>
      <c r="Q183" s="1493"/>
      <c r="R183" s="834" t="s">
        <v>708</v>
      </c>
      <c r="S183" s="835" t="s">
        <v>703</v>
      </c>
      <c r="T183" s="890" t="s">
        <v>487</v>
      </c>
      <c r="U183" s="835">
        <v>1</v>
      </c>
      <c r="V183" s="836">
        <v>49900</v>
      </c>
      <c r="W183" s="839">
        <f t="shared" si="11"/>
        <v>49900</v>
      </c>
      <c r="X183" s="721"/>
      <c r="Y183" s="1493"/>
      <c r="Z183" s="834" t="s">
        <v>706</v>
      </c>
      <c r="AA183" s="835" t="s">
        <v>703</v>
      </c>
      <c r="AB183" s="890" t="s">
        <v>487</v>
      </c>
      <c r="AC183" s="831">
        <v>1</v>
      </c>
      <c r="AD183" s="836">
        <v>18900</v>
      </c>
      <c r="AE183" s="839">
        <f t="shared" si="12"/>
        <v>18900</v>
      </c>
      <c r="AF183" s="721"/>
      <c r="AG183" s="1493"/>
      <c r="AH183" s="834" t="s">
        <v>709</v>
      </c>
      <c r="AI183" s="835" t="s">
        <v>693</v>
      </c>
      <c r="AJ183" s="890" t="s">
        <v>487</v>
      </c>
      <c r="AK183" s="831">
        <v>2</v>
      </c>
      <c r="AL183" s="836">
        <v>34900</v>
      </c>
      <c r="AM183" s="839">
        <f t="shared" si="13"/>
        <v>69800</v>
      </c>
      <c r="AN183" s="721"/>
      <c r="AO183" s="721"/>
      <c r="AP183" s="721"/>
      <c r="AQ183" s="721"/>
      <c r="AR183" s="721"/>
      <c r="AS183" s="721"/>
      <c r="AT183" s="721"/>
      <c r="AU183" s="721"/>
      <c r="AV183" s="721"/>
      <c r="AW183" s="721"/>
      <c r="AX183" s="721"/>
    </row>
    <row r="184" spans="1:50" ht="13.5" thickBot="1" x14ac:dyDescent="0.25">
      <c r="A184" s="1494"/>
      <c r="B184" s="834" t="s">
        <v>707</v>
      </c>
      <c r="C184" s="835" t="s">
        <v>703</v>
      </c>
      <c r="D184" s="890" t="s">
        <v>487</v>
      </c>
      <c r="E184" s="835">
        <v>2</v>
      </c>
      <c r="F184" s="841">
        <v>8900</v>
      </c>
      <c r="G184" s="833">
        <f t="shared" si="10"/>
        <v>17800</v>
      </c>
      <c r="H184" s="721"/>
      <c r="I184" s="1493"/>
      <c r="J184" s="834" t="s">
        <v>710</v>
      </c>
      <c r="K184" s="835" t="s">
        <v>703</v>
      </c>
      <c r="L184" s="890" t="s">
        <v>487</v>
      </c>
      <c r="M184" s="835">
        <v>1</v>
      </c>
      <c r="N184" s="836">
        <v>25900</v>
      </c>
      <c r="O184" s="886">
        <f t="shared" si="9"/>
        <v>25900</v>
      </c>
      <c r="P184" s="721"/>
      <c r="Q184" s="1493"/>
      <c r="R184" s="834" t="s">
        <v>710</v>
      </c>
      <c r="S184" s="835" t="s">
        <v>703</v>
      </c>
      <c r="T184" s="890" t="s">
        <v>487</v>
      </c>
      <c r="U184" s="835">
        <v>1</v>
      </c>
      <c r="V184" s="836">
        <v>25900</v>
      </c>
      <c r="W184" s="839">
        <f t="shared" si="11"/>
        <v>25900</v>
      </c>
      <c r="X184" s="721"/>
      <c r="Y184" s="1493"/>
      <c r="Z184" s="834" t="s">
        <v>707</v>
      </c>
      <c r="AA184" s="835" t="s">
        <v>703</v>
      </c>
      <c r="AB184" s="890" t="s">
        <v>487</v>
      </c>
      <c r="AC184" s="831">
        <v>1</v>
      </c>
      <c r="AD184" s="836">
        <v>8900</v>
      </c>
      <c r="AE184" s="839">
        <f t="shared" si="12"/>
        <v>8900</v>
      </c>
      <c r="AF184" s="721"/>
      <c r="AG184" s="1493"/>
      <c r="AH184" s="834" t="s">
        <v>701</v>
      </c>
      <c r="AI184" s="835" t="s">
        <v>693</v>
      </c>
      <c r="AJ184" s="890" t="s">
        <v>487</v>
      </c>
      <c r="AK184" s="831">
        <v>0</v>
      </c>
      <c r="AL184" s="836">
        <v>69900</v>
      </c>
      <c r="AM184" s="839">
        <f t="shared" si="13"/>
        <v>0</v>
      </c>
      <c r="AN184" s="721"/>
      <c r="AO184" s="721"/>
      <c r="AP184" s="721"/>
      <c r="AQ184" s="721"/>
      <c r="AR184" s="721"/>
      <c r="AS184" s="721"/>
      <c r="AT184" s="721"/>
      <c r="AU184" s="721"/>
      <c r="AV184" s="721"/>
      <c r="AW184" s="721"/>
      <c r="AX184" s="721"/>
    </row>
    <row r="185" spans="1:50" ht="13.5" thickBot="1" x14ac:dyDescent="0.25">
      <c r="A185" s="1494"/>
      <c r="B185" s="834" t="s">
        <v>708</v>
      </c>
      <c r="C185" s="835" t="s">
        <v>703</v>
      </c>
      <c r="D185" s="890" t="s">
        <v>487</v>
      </c>
      <c r="E185" s="835">
        <v>0</v>
      </c>
      <c r="F185" s="841">
        <v>49900</v>
      </c>
      <c r="G185" s="833">
        <f t="shared" si="10"/>
        <v>0</v>
      </c>
      <c r="H185" s="721"/>
      <c r="I185" s="1493"/>
      <c r="J185" s="834" t="s">
        <v>711</v>
      </c>
      <c r="K185" s="835" t="s">
        <v>703</v>
      </c>
      <c r="L185" s="890" t="s">
        <v>487</v>
      </c>
      <c r="M185" s="835">
        <v>0</v>
      </c>
      <c r="N185" s="836">
        <v>21900</v>
      </c>
      <c r="O185" s="886">
        <f t="shared" si="9"/>
        <v>0</v>
      </c>
      <c r="P185" s="721"/>
      <c r="Q185" s="1493"/>
      <c r="R185" s="834" t="s">
        <v>711</v>
      </c>
      <c r="S185" s="835" t="s">
        <v>703</v>
      </c>
      <c r="T185" s="890" t="s">
        <v>487</v>
      </c>
      <c r="U185" s="835">
        <v>3</v>
      </c>
      <c r="V185" s="836">
        <v>21900</v>
      </c>
      <c r="W185" s="839">
        <f t="shared" si="11"/>
        <v>65700</v>
      </c>
      <c r="X185" s="721"/>
      <c r="Y185" s="1493"/>
      <c r="Z185" s="834" t="s">
        <v>708</v>
      </c>
      <c r="AA185" s="835" t="s">
        <v>703</v>
      </c>
      <c r="AB185" s="890" t="s">
        <v>487</v>
      </c>
      <c r="AC185" s="831">
        <v>1</v>
      </c>
      <c r="AD185" s="836">
        <v>49900</v>
      </c>
      <c r="AE185" s="839">
        <f t="shared" si="12"/>
        <v>49900</v>
      </c>
      <c r="AF185" s="721"/>
      <c r="AG185" s="1493"/>
      <c r="AH185" s="834" t="s">
        <v>702</v>
      </c>
      <c r="AI185" s="835" t="s">
        <v>703</v>
      </c>
      <c r="AJ185" s="890" t="s">
        <v>487</v>
      </c>
      <c r="AK185" s="831">
        <v>0</v>
      </c>
      <c r="AL185" s="836">
        <v>82900</v>
      </c>
      <c r="AM185" s="839">
        <f t="shared" si="13"/>
        <v>0</v>
      </c>
      <c r="AN185" s="721"/>
      <c r="AO185" s="721"/>
      <c r="AP185" s="721"/>
      <c r="AQ185" s="721"/>
      <c r="AR185" s="721"/>
      <c r="AS185" s="721"/>
      <c r="AT185" s="721"/>
      <c r="AU185" s="721"/>
      <c r="AV185" s="721"/>
      <c r="AW185" s="721"/>
      <c r="AX185" s="721"/>
    </row>
    <row r="186" spans="1:50" ht="13.5" thickBot="1" x14ac:dyDescent="0.25">
      <c r="A186" s="1494"/>
      <c r="B186" s="834" t="s">
        <v>710</v>
      </c>
      <c r="C186" s="835" t="s">
        <v>703</v>
      </c>
      <c r="D186" s="890" t="s">
        <v>487</v>
      </c>
      <c r="E186" s="835">
        <v>1</v>
      </c>
      <c r="F186" s="841">
        <v>25900</v>
      </c>
      <c r="G186" s="833">
        <f t="shared" si="10"/>
        <v>25900</v>
      </c>
      <c r="H186" s="721"/>
      <c r="I186" s="1493"/>
      <c r="J186" s="844" t="s">
        <v>712</v>
      </c>
      <c r="K186" s="845" t="s">
        <v>703</v>
      </c>
      <c r="L186" s="891" t="s">
        <v>487</v>
      </c>
      <c r="M186" s="845">
        <v>0</v>
      </c>
      <c r="N186" s="846">
        <v>19900</v>
      </c>
      <c r="O186" s="886">
        <f t="shared" si="9"/>
        <v>0</v>
      </c>
      <c r="P186" s="721"/>
      <c r="Q186" s="1493"/>
      <c r="R186" s="844" t="s">
        <v>712</v>
      </c>
      <c r="S186" s="845" t="s">
        <v>703</v>
      </c>
      <c r="T186" s="891" t="s">
        <v>487</v>
      </c>
      <c r="U186" s="845">
        <v>0</v>
      </c>
      <c r="V186" s="846">
        <v>19900</v>
      </c>
      <c r="W186" s="859">
        <f t="shared" si="11"/>
        <v>0</v>
      </c>
      <c r="X186" s="721"/>
      <c r="Y186" s="1493"/>
      <c r="Z186" s="834" t="s">
        <v>710</v>
      </c>
      <c r="AA186" s="835" t="s">
        <v>703</v>
      </c>
      <c r="AB186" s="890" t="s">
        <v>487</v>
      </c>
      <c r="AC186" s="831">
        <v>1</v>
      </c>
      <c r="AD186" s="836">
        <v>25900</v>
      </c>
      <c r="AE186" s="839">
        <f t="shared" si="12"/>
        <v>25900</v>
      </c>
      <c r="AF186" s="721"/>
      <c r="AG186" s="1493"/>
      <c r="AH186" s="834" t="s">
        <v>704</v>
      </c>
      <c r="AI186" s="835" t="s">
        <v>703</v>
      </c>
      <c r="AJ186" s="890" t="s">
        <v>487</v>
      </c>
      <c r="AK186" s="831">
        <v>0</v>
      </c>
      <c r="AL186" s="836">
        <v>27900</v>
      </c>
      <c r="AM186" s="839">
        <f t="shared" si="13"/>
        <v>0</v>
      </c>
      <c r="AN186" s="721"/>
      <c r="AO186" s="721"/>
      <c r="AP186" s="721"/>
      <c r="AQ186" s="721"/>
      <c r="AR186" s="721"/>
      <c r="AS186" s="721"/>
      <c r="AT186" s="721"/>
      <c r="AU186" s="721"/>
      <c r="AV186" s="721"/>
      <c r="AW186" s="721"/>
      <c r="AX186" s="721"/>
    </row>
    <row r="187" spans="1:50" ht="13.5" thickBot="1" x14ac:dyDescent="0.25">
      <c r="A187" s="1494"/>
      <c r="B187" s="834" t="s">
        <v>711</v>
      </c>
      <c r="C187" s="835" t="s">
        <v>703</v>
      </c>
      <c r="D187" s="890" t="s">
        <v>487</v>
      </c>
      <c r="E187" s="835">
        <v>3</v>
      </c>
      <c r="F187" s="841">
        <v>21900</v>
      </c>
      <c r="G187" s="833">
        <f t="shared" si="10"/>
        <v>65700</v>
      </c>
      <c r="H187" s="721"/>
      <c r="I187" s="866"/>
      <c r="J187" s="855"/>
      <c r="K187" s="856"/>
      <c r="L187" s="892"/>
      <c r="M187" s="856"/>
      <c r="N187" s="893" t="s">
        <v>209</v>
      </c>
      <c r="O187" s="853">
        <f>SUM(O122:O186)</f>
        <v>998290</v>
      </c>
      <c r="P187" s="721"/>
      <c r="Q187" s="866"/>
      <c r="R187" s="855"/>
      <c r="S187" s="856"/>
      <c r="T187" s="892"/>
      <c r="U187" s="856"/>
      <c r="V187" s="857" t="s">
        <v>209</v>
      </c>
      <c r="W187" s="858">
        <f>SUM(W122:W186)</f>
        <v>308000</v>
      </c>
      <c r="X187" s="721"/>
      <c r="Y187" s="1493"/>
      <c r="Z187" s="834" t="s">
        <v>711</v>
      </c>
      <c r="AA187" s="835" t="s">
        <v>703</v>
      </c>
      <c r="AB187" s="890" t="s">
        <v>487</v>
      </c>
      <c r="AC187" s="831">
        <v>3</v>
      </c>
      <c r="AD187" s="836">
        <v>21900</v>
      </c>
      <c r="AE187" s="839">
        <f t="shared" si="12"/>
        <v>65700</v>
      </c>
      <c r="AF187" s="721"/>
      <c r="AG187" s="1493"/>
      <c r="AH187" s="834" t="s">
        <v>705</v>
      </c>
      <c r="AI187" s="835" t="s">
        <v>703</v>
      </c>
      <c r="AJ187" s="890" t="s">
        <v>487</v>
      </c>
      <c r="AK187" s="831">
        <v>0</v>
      </c>
      <c r="AL187" s="836">
        <v>27900</v>
      </c>
      <c r="AM187" s="839">
        <f t="shared" si="13"/>
        <v>0</v>
      </c>
      <c r="AN187" s="721"/>
      <c r="AO187" s="721"/>
      <c r="AP187" s="721"/>
      <c r="AQ187" s="721"/>
      <c r="AR187" s="721"/>
      <c r="AS187" s="721"/>
      <c r="AT187" s="721"/>
      <c r="AU187" s="721"/>
      <c r="AV187" s="721"/>
      <c r="AW187" s="721"/>
      <c r="AX187" s="721"/>
    </row>
    <row r="188" spans="1:50" ht="13.5" thickBot="1" x14ac:dyDescent="0.25">
      <c r="A188" s="1494"/>
      <c r="B188" s="842" t="s">
        <v>713</v>
      </c>
      <c r="C188" s="835" t="s">
        <v>703</v>
      </c>
      <c r="D188" s="890" t="s">
        <v>487</v>
      </c>
      <c r="E188" s="835">
        <v>3</v>
      </c>
      <c r="F188" s="841">
        <v>16900</v>
      </c>
      <c r="G188" s="833">
        <f t="shared" si="10"/>
        <v>50700</v>
      </c>
      <c r="H188" s="721"/>
      <c r="I188" s="1481" t="s">
        <v>714</v>
      </c>
      <c r="J188" s="862" t="s">
        <v>715</v>
      </c>
      <c r="K188" s="863" t="s">
        <v>716</v>
      </c>
      <c r="L188" s="863" t="s">
        <v>503</v>
      </c>
      <c r="M188" s="863">
        <v>0</v>
      </c>
      <c r="N188" s="864">
        <v>459900</v>
      </c>
      <c r="O188" s="865">
        <f>N188*M188</f>
        <v>0</v>
      </c>
      <c r="P188" s="721"/>
      <c r="Q188" s="1480" t="s">
        <v>714</v>
      </c>
      <c r="R188" s="829" t="s">
        <v>715</v>
      </c>
      <c r="S188" s="831" t="s">
        <v>716</v>
      </c>
      <c r="T188" s="831" t="s">
        <v>503</v>
      </c>
      <c r="U188" s="831">
        <v>0</v>
      </c>
      <c r="V188" s="838">
        <v>459900</v>
      </c>
      <c r="W188" s="839">
        <f t="shared" si="11"/>
        <v>0</v>
      </c>
      <c r="X188" s="721"/>
      <c r="Y188" s="1493"/>
      <c r="Z188" s="844" t="s">
        <v>712</v>
      </c>
      <c r="AA188" s="845" t="s">
        <v>703</v>
      </c>
      <c r="AB188" s="891" t="s">
        <v>487</v>
      </c>
      <c r="AC188" s="894">
        <v>5</v>
      </c>
      <c r="AD188" s="846">
        <v>19900</v>
      </c>
      <c r="AE188" s="859">
        <f t="shared" si="12"/>
        <v>99500</v>
      </c>
      <c r="AF188" s="721"/>
      <c r="AG188" s="1493"/>
      <c r="AH188" s="834" t="s">
        <v>706</v>
      </c>
      <c r="AI188" s="835" t="s">
        <v>703</v>
      </c>
      <c r="AJ188" s="890" t="s">
        <v>487</v>
      </c>
      <c r="AK188" s="831">
        <v>0</v>
      </c>
      <c r="AL188" s="836">
        <v>18900</v>
      </c>
      <c r="AM188" s="839">
        <f t="shared" si="13"/>
        <v>0</v>
      </c>
      <c r="AN188" s="721"/>
      <c r="AO188" s="721"/>
      <c r="AP188" s="721"/>
      <c r="AQ188" s="721"/>
      <c r="AR188" s="721"/>
      <c r="AS188" s="721"/>
      <c r="AT188" s="721"/>
      <c r="AU188" s="721"/>
      <c r="AV188" s="721"/>
      <c r="AW188" s="721"/>
      <c r="AX188" s="721"/>
    </row>
    <row r="189" spans="1:50" ht="57" thickBot="1" x14ac:dyDescent="0.25">
      <c r="A189" s="1494"/>
      <c r="B189" s="842" t="s">
        <v>717</v>
      </c>
      <c r="C189" s="895" t="s">
        <v>718</v>
      </c>
      <c r="D189" s="890" t="s">
        <v>551</v>
      </c>
      <c r="E189" s="835">
        <v>0</v>
      </c>
      <c r="F189" s="841">
        <v>429900</v>
      </c>
      <c r="G189" s="833">
        <f t="shared" si="10"/>
        <v>0</v>
      </c>
      <c r="H189" s="721"/>
      <c r="I189" s="1481"/>
      <c r="J189" s="834" t="s">
        <v>719</v>
      </c>
      <c r="K189" s="835" t="s">
        <v>720</v>
      </c>
      <c r="L189" s="835" t="s">
        <v>488</v>
      </c>
      <c r="M189" s="835">
        <v>0</v>
      </c>
      <c r="N189" s="836">
        <v>360000</v>
      </c>
      <c r="O189" s="865">
        <f t="shared" ref="O189:O204" si="14">N189*M189</f>
        <v>0</v>
      </c>
      <c r="P189" s="721"/>
      <c r="Q189" s="1481"/>
      <c r="R189" s="862" t="s">
        <v>719</v>
      </c>
      <c r="S189" s="835" t="s">
        <v>720</v>
      </c>
      <c r="T189" s="863" t="s">
        <v>488</v>
      </c>
      <c r="U189" s="863">
        <v>0</v>
      </c>
      <c r="V189" s="864">
        <v>360000</v>
      </c>
      <c r="W189" s="839">
        <f t="shared" si="11"/>
        <v>0</v>
      </c>
      <c r="X189" s="721"/>
      <c r="Y189" s="854"/>
      <c r="Z189" s="896"/>
      <c r="AA189" s="897"/>
      <c r="AB189" s="898"/>
      <c r="AC189" s="897"/>
      <c r="AD189" s="899" t="s">
        <v>209</v>
      </c>
      <c r="AE189" s="858">
        <f>SUM(AE124:AE188)</f>
        <v>481080</v>
      </c>
      <c r="AF189" s="721"/>
      <c r="AG189" s="1493"/>
      <c r="AH189" s="834" t="s">
        <v>707</v>
      </c>
      <c r="AI189" s="835" t="s">
        <v>703</v>
      </c>
      <c r="AJ189" s="890" t="s">
        <v>487</v>
      </c>
      <c r="AK189" s="831">
        <v>0</v>
      </c>
      <c r="AL189" s="836">
        <v>8900</v>
      </c>
      <c r="AM189" s="839">
        <f t="shared" si="13"/>
        <v>0</v>
      </c>
      <c r="AN189" s="721"/>
      <c r="AO189" s="721"/>
      <c r="AP189" s="721"/>
      <c r="AQ189" s="721"/>
      <c r="AR189" s="721"/>
      <c r="AS189" s="721"/>
      <c r="AT189" s="721"/>
      <c r="AU189" s="721"/>
      <c r="AV189" s="721"/>
      <c r="AW189" s="721"/>
      <c r="AX189" s="721"/>
    </row>
    <row r="190" spans="1:50" ht="13.5" thickBot="1" x14ac:dyDescent="0.25">
      <c r="A190" s="1494"/>
      <c r="B190" s="842" t="s">
        <v>721</v>
      </c>
      <c r="C190" s="835" t="s">
        <v>703</v>
      </c>
      <c r="D190" s="890" t="s">
        <v>551</v>
      </c>
      <c r="E190" s="835">
        <v>0</v>
      </c>
      <c r="F190" s="841">
        <v>16900</v>
      </c>
      <c r="G190" s="833">
        <f t="shared" si="10"/>
        <v>0</v>
      </c>
      <c r="H190" s="721"/>
      <c r="I190" s="1481"/>
      <c r="J190" s="834" t="s">
        <v>722</v>
      </c>
      <c r="K190" s="835" t="s">
        <v>720</v>
      </c>
      <c r="L190" s="835" t="s">
        <v>503</v>
      </c>
      <c r="M190" s="835">
        <v>0</v>
      </c>
      <c r="N190" s="836">
        <v>1650000</v>
      </c>
      <c r="O190" s="865">
        <f t="shared" si="14"/>
        <v>0</v>
      </c>
      <c r="P190" s="721"/>
      <c r="Q190" s="1481"/>
      <c r="R190" s="834" t="s">
        <v>722</v>
      </c>
      <c r="S190" s="835" t="s">
        <v>720</v>
      </c>
      <c r="T190" s="835" t="s">
        <v>503</v>
      </c>
      <c r="U190" s="835">
        <v>0</v>
      </c>
      <c r="V190" s="836">
        <v>1650000</v>
      </c>
      <c r="W190" s="839">
        <f t="shared" si="11"/>
        <v>0</v>
      </c>
      <c r="X190" s="721"/>
      <c r="Y190" s="1480" t="s">
        <v>714</v>
      </c>
      <c r="Z190" s="829" t="s">
        <v>715</v>
      </c>
      <c r="AA190" s="831" t="s">
        <v>716</v>
      </c>
      <c r="AB190" s="831" t="s">
        <v>503</v>
      </c>
      <c r="AC190" s="831">
        <v>0</v>
      </c>
      <c r="AD190" s="838">
        <v>459900</v>
      </c>
      <c r="AE190" s="839">
        <f t="shared" si="12"/>
        <v>0</v>
      </c>
      <c r="AF190" s="721"/>
      <c r="AG190" s="1493"/>
      <c r="AH190" s="834" t="s">
        <v>708</v>
      </c>
      <c r="AI190" s="835" t="s">
        <v>703</v>
      </c>
      <c r="AJ190" s="890" t="s">
        <v>487</v>
      </c>
      <c r="AK190" s="831">
        <v>1</v>
      </c>
      <c r="AL190" s="836">
        <v>49900</v>
      </c>
      <c r="AM190" s="839">
        <f t="shared" si="13"/>
        <v>49900</v>
      </c>
      <c r="AN190" s="721"/>
      <c r="AO190" s="721"/>
      <c r="AP190" s="721"/>
      <c r="AQ190" s="721"/>
      <c r="AR190" s="721"/>
      <c r="AS190" s="721"/>
      <c r="AT190" s="721"/>
      <c r="AU190" s="721"/>
      <c r="AV190" s="721"/>
      <c r="AW190" s="721"/>
      <c r="AX190" s="721"/>
    </row>
    <row r="191" spans="1:50" ht="13.5" thickBot="1" x14ac:dyDescent="0.25">
      <c r="A191" s="1494"/>
      <c r="B191" s="844" t="s">
        <v>712</v>
      </c>
      <c r="C191" s="845" t="s">
        <v>703</v>
      </c>
      <c r="D191" s="891" t="s">
        <v>551</v>
      </c>
      <c r="E191" s="845">
        <v>0</v>
      </c>
      <c r="F191" s="847">
        <v>19900</v>
      </c>
      <c r="G191" s="861">
        <f t="shared" si="10"/>
        <v>0</v>
      </c>
      <c r="H191" s="721"/>
      <c r="I191" s="1481"/>
      <c r="J191" s="834" t="s">
        <v>723</v>
      </c>
      <c r="K191" s="835" t="s">
        <v>716</v>
      </c>
      <c r="L191" s="835" t="s">
        <v>503</v>
      </c>
      <c r="M191" s="835">
        <v>0</v>
      </c>
      <c r="N191" s="836">
        <v>2820000</v>
      </c>
      <c r="O191" s="865">
        <f t="shared" si="14"/>
        <v>0</v>
      </c>
      <c r="P191" s="721"/>
      <c r="Q191" s="1481"/>
      <c r="R191" s="834" t="s">
        <v>723</v>
      </c>
      <c r="S191" s="835" t="s">
        <v>716</v>
      </c>
      <c r="T191" s="835" t="s">
        <v>503</v>
      </c>
      <c r="U191" s="835">
        <v>0</v>
      </c>
      <c r="V191" s="836">
        <v>2820000</v>
      </c>
      <c r="W191" s="839">
        <f t="shared" si="11"/>
        <v>0</v>
      </c>
      <c r="X191" s="721"/>
      <c r="Y191" s="1481"/>
      <c r="Z191" s="862" t="s">
        <v>719</v>
      </c>
      <c r="AA191" s="835" t="s">
        <v>720</v>
      </c>
      <c r="AB191" s="863" t="s">
        <v>488</v>
      </c>
      <c r="AC191" s="863">
        <v>0</v>
      </c>
      <c r="AD191" s="864">
        <v>360000</v>
      </c>
      <c r="AE191" s="839">
        <f t="shared" si="12"/>
        <v>0</v>
      </c>
      <c r="AF191" s="721"/>
      <c r="AG191" s="1493"/>
      <c r="AH191" s="834" t="s">
        <v>710</v>
      </c>
      <c r="AI191" s="835" t="s">
        <v>703</v>
      </c>
      <c r="AJ191" s="890" t="s">
        <v>487</v>
      </c>
      <c r="AK191" s="831">
        <v>0</v>
      </c>
      <c r="AL191" s="836">
        <v>25900</v>
      </c>
      <c r="AM191" s="839">
        <f t="shared" si="13"/>
        <v>0</v>
      </c>
      <c r="AN191" s="721"/>
      <c r="AO191" s="721"/>
      <c r="AP191" s="721"/>
      <c r="AQ191" s="721"/>
      <c r="AR191" s="721"/>
      <c r="AS191" s="721"/>
      <c r="AT191" s="721"/>
      <c r="AU191" s="721"/>
      <c r="AV191" s="721"/>
      <c r="AW191" s="721"/>
      <c r="AX191" s="721"/>
    </row>
    <row r="192" spans="1:50" ht="13.5" thickBot="1" x14ac:dyDescent="0.25">
      <c r="A192" s="866"/>
      <c r="B192" s="855"/>
      <c r="C192" s="856"/>
      <c r="D192" s="892"/>
      <c r="E192" s="900"/>
      <c r="F192" s="901" t="s">
        <v>209</v>
      </c>
      <c r="G192" s="889">
        <f>SUM(G124:G191)</f>
        <v>329200</v>
      </c>
      <c r="H192" s="721"/>
      <c r="I192" s="1481"/>
      <c r="J192" s="834" t="s">
        <v>724</v>
      </c>
      <c r="K192" s="835" t="s">
        <v>716</v>
      </c>
      <c r="L192" s="835" t="s">
        <v>503</v>
      </c>
      <c r="M192" s="835">
        <v>0</v>
      </c>
      <c r="N192" s="836">
        <v>265000</v>
      </c>
      <c r="O192" s="865">
        <f t="shared" si="14"/>
        <v>0</v>
      </c>
      <c r="P192" s="721"/>
      <c r="Q192" s="1481"/>
      <c r="R192" s="834" t="s">
        <v>724</v>
      </c>
      <c r="S192" s="835" t="s">
        <v>716</v>
      </c>
      <c r="T192" s="835" t="s">
        <v>503</v>
      </c>
      <c r="U192" s="835">
        <v>0</v>
      </c>
      <c r="V192" s="836">
        <v>265000</v>
      </c>
      <c r="W192" s="839">
        <f t="shared" si="11"/>
        <v>0</v>
      </c>
      <c r="X192" s="721"/>
      <c r="Y192" s="1481"/>
      <c r="Z192" s="834" t="s">
        <v>722</v>
      </c>
      <c r="AA192" s="835" t="s">
        <v>720</v>
      </c>
      <c r="AB192" s="835" t="s">
        <v>503</v>
      </c>
      <c r="AC192" s="835">
        <v>0</v>
      </c>
      <c r="AD192" s="836">
        <v>1650000</v>
      </c>
      <c r="AE192" s="839">
        <f t="shared" si="12"/>
        <v>0</v>
      </c>
      <c r="AF192" s="721"/>
      <c r="AG192" s="1493"/>
      <c r="AH192" s="834" t="s">
        <v>711</v>
      </c>
      <c r="AI192" s="835" t="s">
        <v>703</v>
      </c>
      <c r="AJ192" s="890" t="s">
        <v>487</v>
      </c>
      <c r="AK192" s="831">
        <v>0</v>
      </c>
      <c r="AL192" s="836">
        <v>21900</v>
      </c>
      <c r="AM192" s="839">
        <f t="shared" si="13"/>
        <v>0</v>
      </c>
      <c r="AN192" s="721"/>
      <c r="AO192" s="721"/>
      <c r="AP192" s="721"/>
      <c r="AQ192" s="721"/>
      <c r="AR192" s="721"/>
      <c r="AS192" s="721"/>
      <c r="AT192" s="721"/>
      <c r="AU192" s="721"/>
      <c r="AV192" s="721"/>
      <c r="AW192" s="721"/>
      <c r="AX192" s="721"/>
    </row>
    <row r="193" spans="1:50" ht="13.5" thickBot="1" x14ac:dyDescent="0.25">
      <c r="A193" s="1492" t="s">
        <v>714</v>
      </c>
      <c r="B193" s="829" t="s">
        <v>715</v>
      </c>
      <c r="C193" s="831" t="s">
        <v>716</v>
      </c>
      <c r="D193" s="831" t="s">
        <v>503</v>
      </c>
      <c r="E193" s="831">
        <v>0</v>
      </c>
      <c r="F193" s="832">
        <v>459900</v>
      </c>
      <c r="G193" s="833">
        <f t="shared" si="10"/>
        <v>0</v>
      </c>
      <c r="H193" s="721"/>
      <c r="I193" s="1481"/>
      <c r="J193" s="834" t="s">
        <v>725</v>
      </c>
      <c r="K193" s="835" t="s">
        <v>720</v>
      </c>
      <c r="L193" s="835" t="s">
        <v>452</v>
      </c>
      <c r="M193" s="835">
        <v>0</v>
      </c>
      <c r="N193" s="836">
        <v>110000</v>
      </c>
      <c r="O193" s="865">
        <f t="shared" si="14"/>
        <v>0</v>
      </c>
      <c r="P193" s="721"/>
      <c r="Q193" s="1481"/>
      <c r="R193" s="844" t="s">
        <v>725</v>
      </c>
      <c r="S193" s="845" t="s">
        <v>720</v>
      </c>
      <c r="T193" s="845" t="s">
        <v>452</v>
      </c>
      <c r="U193" s="845">
        <v>0</v>
      </c>
      <c r="V193" s="846">
        <v>110000</v>
      </c>
      <c r="W193" s="839">
        <f t="shared" si="11"/>
        <v>0</v>
      </c>
      <c r="X193" s="721"/>
      <c r="Y193" s="1481"/>
      <c r="Z193" s="834" t="s">
        <v>723</v>
      </c>
      <c r="AA193" s="835" t="s">
        <v>716</v>
      </c>
      <c r="AB193" s="835" t="s">
        <v>503</v>
      </c>
      <c r="AC193" s="835">
        <v>0</v>
      </c>
      <c r="AD193" s="836">
        <v>2820000</v>
      </c>
      <c r="AE193" s="839">
        <f t="shared" si="12"/>
        <v>0</v>
      </c>
      <c r="AF193" s="721"/>
      <c r="AG193" s="1493"/>
      <c r="AH193" s="844" t="s">
        <v>726</v>
      </c>
      <c r="AI193" s="835" t="s">
        <v>703</v>
      </c>
      <c r="AJ193" s="890" t="s">
        <v>487</v>
      </c>
      <c r="AK193" s="831">
        <v>0</v>
      </c>
      <c r="AL193" s="836">
        <v>50000</v>
      </c>
      <c r="AM193" s="839">
        <f t="shared" si="13"/>
        <v>0</v>
      </c>
      <c r="AN193" s="721"/>
      <c r="AO193" s="721"/>
      <c r="AP193" s="721"/>
      <c r="AQ193" s="721"/>
      <c r="AR193" s="721"/>
      <c r="AS193" s="721"/>
      <c r="AT193" s="721"/>
      <c r="AU193" s="721"/>
      <c r="AV193" s="721"/>
      <c r="AW193" s="721"/>
      <c r="AX193" s="721"/>
    </row>
    <row r="194" spans="1:50" ht="13.5" thickBot="1" x14ac:dyDescent="0.25">
      <c r="A194" s="1492"/>
      <c r="B194" s="862" t="s">
        <v>719</v>
      </c>
      <c r="C194" s="835" t="s">
        <v>720</v>
      </c>
      <c r="D194" s="863" t="s">
        <v>488</v>
      </c>
      <c r="E194" s="863">
        <v>0</v>
      </c>
      <c r="F194" s="875">
        <v>360000</v>
      </c>
      <c r="G194" s="833">
        <f t="shared" si="10"/>
        <v>0</v>
      </c>
      <c r="H194" s="721"/>
      <c r="I194" s="1481"/>
      <c r="J194" s="834" t="s">
        <v>727</v>
      </c>
      <c r="K194" s="835" t="s">
        <v>720</v>
      </c>
      <c r="L194" s="835" t="s">
        <v>452</v>
      </c>
      <c r="M194" s="835">
        <v>0</v>
      </c>
      <c r="N194" s="836">
        <v>37990</v>
      </c>
      <c r="O194" s="865">
        <f t="shared" si="14"/>
        <v>0</v>
      </c>
      <c r="P194" s="721"/>
      <c r="Q194" s="1481"/>
      <c r="R194" s="844" t="s">
        <v>727</v>
      </c>
      <c r="S194" s="845" t="s">
        <v>720</v>
      </c>
      <c r="T194" s="845" t="s">
        <v>452</v>
      </c>
      <c r="U194" s="845">
        <v>0</v>
      </c>
      <c r="V194" s="846">
        <v>37990</v>
      </c>
      <c r="W194" s="839">
        <f t="shared" si="11"/>
        <v>0</v>
      </c>
      <c r="X194" s="721"/>
      <c r="Y194" s="1481"/>
      <c r="Z194" s="834" t="s">
        <v>724</v>
      </c>
      <c r="AA194" s="835" t="s">
        <v>716</v>
      </c>
      <c r="AB194" s="835" t="s">
        <v>503</v>
      </c>
      <c r="AC194" s="835">
        <v>0</v>
      </c>
      <c r="AD194" s="836">
        <v>265000</v>
      </c>
      <c r="AE194" s="839">
        <f t="shared" si="12"/>
        <v>0</v>
      </c>
      <c r="AF194" s="721"/>
      <c r="AG194" s="1493"/>
      <c r="AH194" s="844" t="s">
        <v>728</v>
      </c>
      <c r="AI194" s="835" t="s">
        <v>703</v>
      </c>
      <c r="AJ194" s="890" t="s">
        <v>487</v>
      </c>
      <c r="AK194" s="831">
        <v>0</v>
      </c>
      <c r="AL194" s="836">
        <v>9700</v>
      </c>
      <c r="AM194" s="839">
        <f t="shared" si="13"/>
        <v>0</v>
      </c>
      <c r="AN194" s="721"/>
      <c r="AO194" s="721"/>
      <c r="AP194" s="721"/>
      <c r="AQ194" s="721"/>
      <c r="AR194" s="721"/>
      <c r="AS194" s="721"/>
      <c r="AT194" s="721"/>
      <c r="AU194" s="721"/>
      <c r="AV194" s="721"/>
      <c r="AW194" s="721"/>
      <c r="AX194" s="721"/>
    </row>
    <row r="195" spans="1:50" ht="13.5" thickBot="1" x14ac:dyDescent="0.25">
      <c r="A195" s="1492"/>
      <c r="B195" s="834" t="s">
        <v>722</v>
      </c>
      <c r="C195" s="835" t="s">
        <v>720</v>
      </c>
      <c r="D195" s="835" t="s">
        <v>503</v>
      </c>
      <c r="E195" s="835">
        <v>0</v>
      </c>
      <c r="F195" s="841">
        <v>1650000</v>
      </c>
      <c r="G195" s="833">
        <f t="shared" si="10"/>
        <v>0</v>
      </c>
      <c r="H195" s="721"/>
      <c r="I195" s="1481"/>
      <c r="J195" s="834" t="s">
        <v>729</v>
      </c>
      <c r="K195" s="835" t="s">
        <v>720</v>
      </c>
      <c r="L195" s="835" t="s">
        <v>472</v>
      </c>
      <c r="M195" s="835">
        <v>0</v>
      </c>
      <c r="N195" s="836">
        <v>72900</v>
      </c>
      <c r="O195" s="865">
        <f t="shared" si="14"/>
        <v>0</v>
      </c>
      <c r="P195" s="721"/>
      <c r="Q195" s="1481"/>
      <c r="R195" s="844" t="s">
        <v>729</v>
      </c>
      <c r="S195" s="845" t="s">
        <v>720</v>
      </c>
      <c r="T195" s="835" t="s">
        <v>472</v>
      </c>
      <c r="U195" s="845">
        <v>0</v>
      </c>
      <c r="V195" s="846">
        <v>72900</v>
      </c>
      <c r="W195" s="839">
        <f t="shared" si="11"/>
        <v>0</v>
      </c>
      <c r="X195" s="721"/>
      <c r="Y195" s="1481"/>
      <c r="Z195" s="844" t="s">
        <v>725</v>
      </c>
      <c r="AA195" s="845" t="s">
        <v>720</v>
      </c>
      <c r="AB195" s="845" t="s">
        <v>452</v>
      </c>
      <c r="AC195" s="845">
        <v>1</v>
      </c>
      <c r="AD195" s="846">
        <v>110000</v>
      </c>
      <c r="AE195" s="839">
        <f t="shared" si="12"/>
        <v>110000</v>
      </c>
      <c r="AF195" s="721"/>
      <c r="AG195" s="1493"/>
      <c r="AH195" s="844" t="s">
        <v>730</v>
      </c>
      <c r="AI195" s="835" t="s">
        <v>703</v>
      </c>
      <c r="AJ195" s="890" t="s">
        <v>487</v>
      </c>
      <c r="AK195" s="831">
        <v>0</v>
      </c>
      <c r="AL195" s="836">
        <v>32900</v>
      </c>
      <c r="AM195" s="839">
        <f t="shared" si="13"/>
        <v>0</v>
      </c>
      <c r="AN195" s="721"/>
      <c r="AO195" s="721"/>
      <c r="AP195" s="721"/>
      <c r="AQ195" s="721"/>
      <c r="AR195" s="721"/>
      <c r="AS195" s="721"/>
      <c r="AT195" s="721"/>
      <c r="AU195" s="721"/>
      <c r="AV195" s="721"/>
      <c r="AW195" s="721"/>
      <c r="AX195" s="721"/>
    </row>
    <row r="196" spans="1:50" ht="13.5" thickBot="1" x14ac:dyDescent="0.25">
      <c r="A196" s="1492"/>
      <c r="B196" s="834" t="s">
        <v>723</v>
      </c>
      <c r="C196" s="835" t="s">
        <v>716</v>
      </c>
      <c r="D196" s="835" t="s">
        <v>503</v>
      </c>
      <c r="E196" s="835">
        <v>0</v>
      </c>
      <c r="F196" s="841">
        <v>2820000</v>
      </c>
      <c r="G196" s="833">
        <f t="shared" si="10"/>
        <v>0</v>
      </c>
      <c r="H196" s="721"/>
      <c r="I196" s="1481"/>
      <c r="J196" s="834" t="s">
        <v>731</v>
      </c>
      <c r="K196" s="835" t="s">
        <v>716</v>
      </c>
      <c r="L196" s="835" t="s">
        <v>503</v>
      </c>
      <c r="M196" s="835">
        <v>1</v>
      </c>
      <c r="N196" s="836">
        <v>110900</v>
      </c>
      <c r="O196" s="865">
        <f t="shared" si="14"/>
        <v>110900</v>
      </c>
      <c r="P196" s="721"/>
      <c r="Q196" s="1481"/>
      <c r="R196" s="844" t="s">
        <v>731</v>
      </c>
      <c r="S196" s="835" t="s">
        <v>716</v>
      </c>
      <c r="T196" s="845" t="s">
        <v>503</v>
      </c>
      <c r="U196" s="845">
        <v>0</v>
      </c>
      <c r="V196" s="846">
        <v>110900</v>
      </c>
      <c r="W196" s="839">
        <f t="shared" si="11"/>
        <v>0</v>
      </c>
      <c r="X196" s="721"/>
      <c r="Y196" s="1481"/>
      <c r="Z196" s="844" t="s">
        <v>727</v>
      </c>
      <c r="AA196" s="845" t="s">
        <v>720</v>
      </c>
      <c r="AB196" s="845" t="s">
        <v>452</v>
      </c>
      <c r="AC196" s="845">
        <v>0</v>
      </c>
      <c r="AD196" s="846">
        <v>37990</v>
      </c>
      <c r="AE196" s="839">
        <f t="shared" si="12"/>
        <v>0</v>
      </c>
      <c r="AF196" s="721"/>
      <c r="AG196" s="1493"/>
      <c r="AH196" s="844" t="s">
        <v>732</v>
      </c>
      <c r="AI196" s="835" t="s">
        <v>703</v>
      </c>
      <c r="AJ196" s="890" t="s">
        <v>487</v>
      </c>
      <c r="AK196" s="831">
        <v>0</v>
      </c>
      <c r="AL196" s="836">
        <v>13000</v>
      </c>
      <c r="AM196" s="839">
        <f t="shared" si="13"/>
        <v>0</v>
      </c>
      <c r="AN196" s="721"/>
      <c r="AO196" s="721"/>
      <c r="AP196" s="721"/>
      <c r="AQ196" s="721"/>
      <c r="AR196" s="721"/>
      <c r="AS196" s="721"/>
      <c r="AT196" s="721"/>
      <c r="AU196" s="721"/>
      <c r="AV196" s="721"/>
      <c r="AW196" s="721"/>
      <c r="AX196" s="721"/>
    </row>
    <row r="197" spans="1:50" ht="13.5" thickBot="1" x14ac:dyDescent="0.25">
      <c r="A197" s="1492"/>
      <c r="B197" s="834" t="s">
        <v>724</v>
      </c>
      <c r="C197" s="835" t="s">
        <v>716</v>
      </c>
      <c r="D197" s="835" t="s">
        <v>503</v>
      </c>
      <c r="E197" s="835">
        <v>0</v>
      </c>
      <c r="F197" s="841">
        <v>265000</v>
      </c>
      <c r="G197" s="833">
        <f t="shared" si="10"/>
        <v>0</v>
      </c>
      <c r="H197" s="721"/>
      <c r="I197" s="1481"/>
      <c r="J197" s="834" t="s">
        <v>733</v>
      </c>
      <c r="K197" s="835" t="s">
        <v>720</v>
      </c>
      <c r="L197" s="835" t="s">
        <v>503</v>
      </c>
      <c r="M197" s="835">
        <v>0</v>
      </c>
      <c r="N197" s="836">
        <v>329900</v>
      </c>
      <c r="O197" s="865">
        <f t="shared" si="14"/>
        <v>0</v>
      </c>
      <c r="P197" s="721"/>
      <c r="Q197" s="1481"/>
      <c r="R197" s="844" t="s">
        <v>733</v>
      </c>
      <c r="S197" s="845" t="s">
        <v>720</v>
      </c>
      <c r="T197" s="835" t="s">
        <v>503</v>
      </c>
      <c r="U197" s="845">
        <v>0</v>
      </c>
      <c r="V197" s="846">
        <v>329900</v>
      </c>
      <c r="W197" s="839">
        <f t="shared" si="11"/>
        <v>0</v>
      </c>
      <c r="X197" s="721"/>
      <c r="Y197" s="1481"/>
      <c r="Z197" s="844" t="s">
        <v>729</v>
      </c>
      <c r="AA197" s="845" t="s">
        <v>720</v>
      </c>
      <c r="AB197" s="835" t="s">
        <v>472</v>
      </c>
      <c r="AC197" s="845">
        <v>0</v>
      </c>
      <c r="AD197" s="846">
        <v>72900</v>
      </c>
      <c r="AE197" s="839">
        <f t="shared" si="12"/>
        <v>0</v>
      </c>
      <c r="AF197" s="721"/>
      <c r="AG197" s="1493"/>
      <c r="AH197" s="844" t="s">
        <v>734</v>
      </c>
      <c r="AI197" s="835" t="s">
        <v>703</v>
      </c>
      <c r="AJ197" s="890" t="s">
        <v>487</v>
      </c>
      <c r="AK197" s="831">
        <v>0</v>
      </c>
      <c r="AL197" s="836">
        <v>171602</v>
      </c>
      <c r="AM197" s="839">
        <f t="shared" si="13"/>
        <v>0</v>
      </c>
      <c r="AN197" s="721"/>
      <c r="AO197" s="721"/>
      <c r="AP197" s="721"/>
      <c r="AQ197" s="721"/>
      <c r="AR197" s="721"/>
      <c r="AS197" s="721"/>
      <c r="AT197" s="721"/>
      <c r="AU197" s="721"/>
      <c r="AV197" s="721"/>
      <c r="AW197" s="721"/>
      <c r="AX197" s="721"/>
    </row>
    <row r="198" spans="1:50" ht="13.5" thickBot="1" x14ac:dyDescent="0.25">
      <c r="A198" s="1492"/>
      <c r="B198" s="844" t="s">
        <v>725</v>
      </c>
      <c r="C198" s="845" t="s">
        <v>720</v>
      </c>
      <c r="D198" s="845" t="s">
        <v>452</v>
      </c>
      <c r="E198" s="845">
        <v>0</v>
      </c>
      <c r="F198" s="847">
        <v>110000</v>
      </c>
      <c r="G198" s="833">
        <f t="shared" si="10"/>
        <v>0</v>
      </c>
      <c r="H198" s="721"/>
      <c r="I198" s="1481"/>
      <c r="J198" s="834" t="s">
        <v>735</v>
      </c>
      <c r="K198" s="835" t="s">
        <v>720</v>
      </c>
      <c r="L198" s="835" t="s">
        <v>487</v>
      </c>
      <c r="M198" s="835">
        <v>0</v>
      </c>
      <c r="N198" s="836">
        <v>79900</v>
      </c>
      <c r="O198" s="865">
        <f t="shared" si="14"/>
        <v>0</v>
      </c>
      <c r="P198" s="721"/>
      <c r="Q198" s="1481"/>
      <c r="R198" s="844" t="s">
        <v>735</v>
      </c>
      <c r="S198" s="845" t="s">
        <v>720</v>
      </c>
      <c r="T198" s="845" t="s">
        <v>487</v>
      </c>
      <c r="U198" s="845">
        <v>0</v>
      </c>
      <c r="V198" s="846">
        <v>79900</v>
      </c>
      <c r="W198" s="839">
        <f t="shared" si="11"/>
        <v>0</v>
      </c>
      <c r="X198" s="721"/>
      <c r="Y198" s="1481"/>
      <c r="Z198" s="844" t="s">
        <v>731</v>
      </c>
      <c r="AA198" s="835" t="s">
        <v>716</v>
      </c>
      <c r="AB198" s="845" t="s">
        <v>503</v>
      </c>
      <c r="AC198" s="845">
        <v>0</v>
      </c>
      <c r="AD198" s="846">
        <v>110900</v>
      </c>
      <c r="AE198" s="839">
        <f t="shared" si="12"/>
        <v>0</v>
      </c>
      <c r="AF198" s="721"/>
      <c r="AG198" s="1493"/>
      <c r="AH198" s="844" t="s">
        <v>736</v>
      </c>
      <c r="AI198" s="835" t="s">
        <v>703</v>
      </c>
      <c r="AJ198" s="890" t="s">
        <v>487</v>
      </c>
      <c r="AK198" s="831">
        <v>0</v>
      </c>
      <c r="AL198" s="836">
        <v>49900</v>
      </c>
      <c r="AM198" s="839">
        <f t="shared" si="13"/>
        <v>0</v>
      </c>
      <c r="AN198" s="721"/>
      <c r="AO198" s="721"/>
      <c r="AP198" s="721"/>
      <c r="AQ198" s="721"/>
      <c r="AR198" s="721"/>
      <c r="AS198" s="721"/>
      <c r="AT198" s="721"/>
      <c r="AU198" s="721"/>
      <c r="AV198" s="721"/>
      <c r="AW198" s="721"/>
      <c r="AX198" s="721"/>
    </row>
    <row r="199" spans="1:50" ht="13.5" thickBot="1" x14ac:dyDescent="0.25">
      <c r="A199" s="1492"/>
      <c r="B199" s="844" t="s">
        <v>727</v>
      </c>
      <c r="C199" s="845" t="s">
        <v>720</v>
      </c>
      <c r="D199" s="845" t="s">
        <v>452</v>
      </c>
      <c r="E199" s="845">
        <v>0</v>
      </c>
      <c r="F199" s="847">
        <v>37990</v>
      </c>
      <c r="G199" s="833">
        <f t="shared" si="10"/>
        <v>0</v>
      </c>
      <c r="H199" s="721"/>
      <c r="I199" s="1481"/>
      <c r="J199" s="834" t="s">
        <v>737</v>
      </c>
      <c r="K199" s="835" t="s">
        <v>720</v>
      </c>
      <c r="L199" s="835" t="s">
        <v>487</v>
      </c>
      <c r="M199" s="835">
        <v>0</v>
      </c>
      <c r="N199" s="836">
        <v>89900</v>
      </c>
      <c r="O199" s="865">
        <f t="shared" si="14"/>
        <v>0</v>
      </c>
      <c r="P199" s="721"/>
      <c r="Q199" s="1481"/>
      <c r="R199" s="844" t="s">
        <v>737</v>
      </c>
      <c r="S199" s="845" t="s">
        <v>720</v>
      </c>
      <c r="T199" s="835" t="s">
        <v>487</v>
      </c>
      <c r="U199" s="845">
        <v>0</v>
      </c>
      <c r="V199" s="846">
        <v>89900</v>
      </c>
      <c r="W199" s="839">
        <f t="shared" si="11"/>
        <v>0</v>
      </c>
      <c r="X199" s="721"/>
      <c r="Y199" s="1481"/>
      <c r="Z199" s="844" t="s">
        <v>733</v>
      </c>
      <c r="AA199" s="845" t="s">
        <v>720</v>
      </c>
      <c r="AB199" s="835" t="s">
        <v>503</v>
      </c>
      <c r="AC199" s="845">
        <v>0</v>
      </c>
      <c r="AD199" s="846">
        <v>329900</v>
      </c>
      <c r="AE199" s="839">
        <f t="shared" si="12"/>
        <v>0</v>
      </c>
      <c r="AF199" s="721"/>
      <c r="AG199" s="1493"/>
      <c r="AH199" s="844" t="s">
        <v>712</v>
      </c>
      <c r="AI199" s="845" t="s">
        <v>703</v>
      </c>
      <c r="AJ199" s="891" t="s">
        <v>487</v>
      </c>
      <c r="AK199" s="845">
        <v>8</v>
      </c>
      <c r="AL199" s="846">
        <v>19900</v>
      </c>
      <c r="AM199" s="859">
        <f t="shared" si="13"/>
        <v>159200</v>
      </c>
      <c r="AN199" s="721"/>
      <c r="AO199" s="721"/>
      <c r="AP199" s="721"/>
      <c r="AQ199" s="721"/>
      <c r="AR199" s="721"/>
      <c r="AS199" s="721"/>
      <c r="AT199" s="721"/>
      <c r="AU199" s="721"/>
      <c r="AV199" s="721"/>
      <c r="AW199" s="721"/>
      <c r="AX199" s="721"/>
    </row>
    <row r="200" spans="1:50" ht="13.5" thickBot="1" x14ac:dyDescent="0.25">
      <c r="A200" s="1492"/>
      <c r="B200" s="844" t="s">
        <v>729</v>
      </c>
      <c r="C200" s="845" t="s">
        <v>720</v>
      </c>
      <c r="D200" s="835" t="s">
        <v>472</v>
      </c>
      <c r="E200" s="845">
        <v>0</v>
      </c>
      <c r="F200" s="847">
        <v>72900</v>
      </c>
      <c r="G200" s="833">
        <f t="shared" si="10"/>
        <v>0</v>
      </c>
      <c r="H200" s="721"/>
      <c r="I200" s="1481"/>
      <c r="J200" s="834" t="s">
        <v>738</v>
      </c>
      <c r="K200" s="835" t="s">
        <v>720</v>
      </c>
      <c r="L200" s="835" t="s">
        <v>488</v>
      </c>
      <c r="M200" s="835">
        <v>0</v>
      </c>
      <c r="N200" s="836">
        <v>27900</v>
      </c>
      <c r="O200" s="865">
        <f t="shared" si="14"/>
        <v>0</v>
      </c>
      <c r="P200" s="721"/>
      <c r="Q200" s="1481"/>
      <c r="R200" s="844" t="s">
        <v>738</v>
      </c>
      <c r="S200" s="845" t="s">
        <v>720</v>
      </c>
      <c r="T200" s="845" t="s">
        <v>488</v>
      </c>
      <c r="U200" s="845">
        <v>0</v>
      </c>
      <c r="V200" s="846">
        <v>27900</v>
      </c>
      <c r="W200" s="839">
        <f t="shared" si="11"/>
        <v>0</v>
      </c>
      <c r="X200" s="721"/>
      <c r="Y200" s="1481"/>
      <c r="Z200" s="844" t="s">
        <v>739</v>
      </c>
      <c r="AA200" s="845" t="s">
        <v>720</v>
      </c>
      <c r="AB200" s="845" t="s">
        <v>487</v>
      </c>
      <c r="AC200" s="845">
        <v>0</v>
      </c>
      <c r="AD200" s="846">
        <v>79900</v>
      </c>
      <c r="AE200" s="839">
        <f t="shared" si="12"/>
        <v>0</v>
      </c>
      <c r="AF200" s="721"/>
      <c r="AG200" s="866"/>
      <c r="AH200" s="855"/>
      <c r="AI200" s="856"/>
      <c r="AJ200" s="892"/>
      <c r="AK200" s="856"/>
      <c r="AL200" s="857" t="s">
        <v>209</v>
      </c>
      <c r="AM200" s="867">
        <f>SUM(AM129:AM199)</f>
        <v>732920</v>
      </c>
      <c r="AN200" s="721"/>
      <c r="AO200" s="721"/>
      <c r="AP200" s="721"/>
      <c r="AQ200" s="721"/>
      <c r="AR200" s="721"/>
      <c r="AS200" s="721"/>
      <c r="AT200" s="721"/>
      <c r="AU200" s="721"/>
      <c r="AV200" s="721"/>
      <c r="AW200" s="721"/>
      <c r="AX200" s="721"/>
    </row>
    <row r="201" spans="1:50" ht="13.5" thickBot="1" x14ac:dyDescent="0.25">
      <c r="A201" s="1492"/>
      <c r="B201" s="844" t="s">
        <v>731</v>
      </c>
      <c r="C201" s="835" t="s">
        <v>716</v>
      </c>
      <c r="D201" s="845" t="s">
        <v>503</v>
      </c>
      <c r="E201" s="845">
        <v>0</v>
      </c>
      <c r="F201" s="847">
        <v>110900</v>
      </c>
      <c r="G201" s="833">
        <f t="shared" si="10"/>
        <v>0</v>
      </c>
      <c r="H201" s="721"/>
      <c r="I201" s="1481"/>
      <c r="J201" s="834" t="s">
        <v>740</v>
      </c>
      <c r="K201" s="835" t="s">
        <v>720</v>
      </c>
      <c r="L201" s="835" t="s">
        <v>488</v>
      </c>
      <c r="M201" s="835">
        <v>0</v>
      </c>
      <c r="N201" s="836">
        <v>160000</v>
      </c>
      <c r="O201" s="865">
        <f t="shared" si="14"/>
        <v>0</v>
      </c>
      <c r="P201" s="721"/>
      <c r="Q201" s="1481"/>
      <c r="R201" s="844" t="s">
        <v>740</v>
      </c>
      <c r="S201" s="845" t="s">
        <v>720</v>
      </c>
      <c r="T201" s="835" t="s">
        <v>488</v>
      </c>
      <c r="U201" s="845">
        <v>0</v>
      </c>
      <c r="V201" s="846">
        <v>160000</v>
      </c>
      <c r="W201" s="839">
        <f t="shared" si="11"/>
        <v>0</v>
      </c>
      <c r="X201" s="721"/>
      <c r="Y201" s="1481"/>
      <c r="Z201" s="844" t="s">
        <v>737</v>
      </c>
      <c r="AA201" s="845" t="s">
        <v>720</v>
      </c>
      <c r="AB201" s="835" t="s">
        <v>487</v>
      </c>
      <c r="AC201" s="845">
        <v>1</v>
      </c>
      <c r="AD201" s="846">
        <v>89900</v>
      </c>
      <c r="AE201" s="839">
        <f t="shared" si="12"/>
        <v>89900</v>
      </c>
      <c r="AF201" s="721"/>
      <c r="AG201" s="1480" t="s">
        <v>714</v>
      </c>
      <c r="AH201" s="829" t="s">
        <v>715</v>
      </c>
      <c r="AI201" s="831" t="s">
        <v>716</v>
      </c>
      <c r="AJ201" s="831" t="s">
        <v>503</v>
      </c>
      <c r="AK201" s="831">
        <v>0</v>
      </c>
      <c r="AL201" s="838">
        <v>459900</v>
      </c>
      <c r="AM201" s="839">
        <f t="shared" si="13"/>
        <v>0</v>
      </c>
      <c r="AN201" s="721"/>
      <c r="AO201" s="721"/>
      <c r="AP201" s="721"/>
      <c r="AQ201" s="721"/>
      <c r="AR201" s="721"/>
      <c r="AS201" s="721"/>
      <c r="AT201" s="721"/>
      <c r="AU201" s="721"/>
      <c r="AV201" s="721"/>
      <c r="AW201" s="721"/>
      <c r="AX201" s="721"/>
    </row>
    <row r="202" spans="1:50" ht="13.5" thickBot="1" x14ac:dyDescent="0.25">
      <c r="A202" s="1492"/>
      <c r="B202" s="844" t="s">
        <v>733</v>
      </c>
      <c r="C202" s="845" t="s">
        <v>720</v>
      </c>
      <c r="D202" s="835" t="s">
        <v>503</v>
      </c>
      <c r="E202" s="845">
        <v>0</v>
      </c>
      <c r="F202" s="847">
        <v>329900</v>
      </c>
      <c r="G202" s="833">
        <f t="shared" si="10"/>
        <v>0</v>
      </c>
      <c r="H202" s="721"/>
      <c r="I202" s="1481"/>
      <c r="J202" s="834" t="s">
        <v>741</v>
      </c>
      <c r="K202" s="835" t="s">
        <v>720</v>
      </c>
      <c r="L202" s="835" t="s">
        <v>503</v>
      </c>
      <c r="M202" s="835">
        <v>0</v>
      </c>
      <c r="N202" s="836">
        <v>389990</v>
      </c>
      <c r="O202" s="865">
        <f t="shared" si="14"/>
        <v>0</v>
      </c>
      <c r="P202" s="721"/>
      <c r="Q202" s="1481"/>
      <c r="R202" s="844" t="s">
        <v>741</v>
      </c>
      <c r="S202" s="845" t="s">
        <v>720</v>
      </c>
      <c r="T202" s="845" t="s">
        <v>503</v>
      </c>
      <c r="U202" s="845">
        <v>0</v>
      </c>
      <c r="V202" s="846">
        <v>389990</v>
      </c>
      <c r="W202" s="839">
        <f t="shared" si="11"/>
        <v>0</v>
      </c>
      <c r="X202" s="721"/>
      <c r="Y202" s="1481"/>
      <c r="Z202" s="844" t="s">
        <v>738</v>
      </c>
      <c r="AA202" s="845" t="s">
        <v>720</v>
      </c>
      <c r="AB202" s="845" t="s">
        <v>488</v>
      </c>
      <c r="AC202" s="845">
        <v>0</v>
      </c>
      <c r="AD202" s="846">
        <v>27900</v>
      </c>
      <c r="AE202" s="839">
        <f t="shared" si="12"/>
        <v>0</v>
      </c>
      <c r="AF202" s="721"/>
      <c r="AG202" s="1481"/>
      <c r="AH202" s="862" t="s">
        <v>719</v>
      </c>
      <c r="AI202" s="835" t="s">
        <v>720</v>
      </c>
      <c r="AJ202" s="863" t="s">
        <v>488</v>
      </c>
      <c r="AK202" s="863">
        <v>1</v>
      </c>
      <c r="AL202" s="864">
        <v>360000</v>
      </c>
      <c r="AM202" s="839">
        <f t="shared" si="13"/>
        <v>360000</v>
      </c>
      <c r="AN202" s="721"/>
      <c r="AO202" s="721"/>
      <c r="AP202" s="721"/>
      <c r="AQ202" s="721"/>
      <c r="AR202" s="721"/>
      <c r="AS202" s="721"/>
      <c r="AT202" s="721"/>
      <c r="AU202" s="721"/>
      <c r="AV202" s="721"/>
      <c r="AW202" s="721"/>
      <c r="AX202" s="721"/>
    </row>
    <row r="203" spans="1:50" ht="13.5" thickBot="1" x14ac:dyDescent="0.25">
      <c r="A203" s="1492"/>
      <c r="B203" s="844" t="s">
        <v>735</v>
      </c>
      <c r="C203" s="845" t="s">
        <v>720</v>
      </c>
      <c r="D203" s="845" t="s">
        <v>487</v>
      </c>
      <c r="E203" s="845">
        <v>0</v>
      </c>
      <c r="F203" s="847">
        <v>79900</v>
      </c>
      <c r="G203" s="833">
        <f t="shared" si="10"/>
        <v>0</v>
      </c>
      <c r="H203" s="721"/>
      <c r="I203" s="1481"/>
      <c r="J203" s="834" t="s">
        <v>742</v>
      </c>
      <c r="K203" s="835" t="s">
        <v>743</v>
      </c>
      <c r="L203" s="835" t="s">
        <v>488</v>
      </c>
      <c r="M203" s="835">
        <v>1</v>
      </c>
      <c r="N203" s="836">
        <v>79000</v>
      </c>
      <c r="O203" s="865">
        <f t="shared" si="14"/>
        <v>79000</v>
      </c>
      <c r="P203" s="721"/>
      <c r="Q203" s="1481"/>
      <c r="R203" s="844" t="s">
        <v>742</v>
      </c>
      <c r="S203" s="845" t="s">
        <v>743</v>
      </c>
      <c r="T203" s="845" t="s">
        <v>488</v>
      </c>
      <c r="U203" s="845">
        <v>0</v>
      </c>
      <c r="V203" s="846">
        <v>30000</v>
      </c>
      <c r="W203" s="839">
        <f t="shared" si="11"/>
        <v>0</v>
      </c>
      <c r="X203" s="721"/>
      <c r="Y203" s="1481"/>
      <c r="Z203" s="844" t="s">
        <v>744</v>
      </c>
      <c r="AA203" s="845" t="s">
        <v>720</v>
      </c>
      <c r="AB203" s="835" t="s">
        <v>488</v>
      </c>
      <c r="AC203" s="845">
        <v>0</v>
      </c>
      <c r="AD203" s="846">
        <v>160000</v>
      </c>
      <c r="AE203" s="839">
        <f t="shared" si="12"/>
        <v>0</v>
      </c>
      <c r="AF203" s="721"/>
      <c r="AG203" s="1481"/>
      <c r="AH203" s="834" t="s">
        <v>722</v>
      </c>
      <c r="AI203" s="835" t="s">
        <v>720</v>
      </c>
      <c r="AJ203" s="835" t="s">
        <v>503</v>
      </c>
      <c r="AK203" s="835">
        <v>0</v>
      </c>
      <c r="AL203" s="836">
        <v>1650000</v>
      </c>
      <c r="AM203" s="839">
        <f t="shared" si="13"/>
        <v>0</v>
      </c>
      <c r="AN203" s="721"/>
      <c r="AO203" s="721"/>
      <c r="AP203" s="721"/>
      <c r="AQ203" s="721"/>
      <c r="AR203" s="721"/>
      <c r="AS203" s="721"/>
      <c r="AT203" s="721"/>
      <c r="AU203" s="721"/>
      <c r="AV203" s="721"/>
      <c r="AW203" s="721"/>
      <c r="AX203" s="721"/>
    </row>
    <row r="204" spans="1:50" ht="13.5" thickBot="1" x14ac:dyDescent="0.25">
      <c r="A204" s="1492"/>
      <c r="B204" s="844" t="s">
        <v>737</v>
      </c>
      <c r="C204" s="845" t="s">
        <v>720</v>
      </c>
      <c r="D204" s="835" t="s">
        <v>487</v>
      </c>
      <c r="E204" s="845">
        <v>0</v>
      </c>
      <c r="F204" s="847">
        <v>89900</v>
      </c>
      <c r="G204" s="833">
        <f t="shared" si="10"/>
        <v>0</v>
      </c>
      <c r="H204" s="721"/>
      <c r="I204" s="1481"/>
      <c r="J204" s="844" t="s">
        <v>745</v>
      </c>
      <c r="K204" s="845" t="s">
        <v>746</v>
      </c>
      <c r="L204" s="845" t="s">
        <v>487</v>
      </c>
      <c r="M204" s="845">
        <v>0</v>
      </c>
      <c r="N204" s="846">
        <v>159990</v>
      </c>
      <c r="O204" s="865">
        <f t="shared" si="14"/>
        <v>0</v>
      </c>
      <c r="P204" s="721"/>
      <c r="Q204" s="1495"/>
      <c r="R204" s="878" t="s">
        <v>745</v>
      </c>
      <c r="S204" s="879" t="s">
        <v>746</v>
      </c>
      <c r="T204" s="879" t="s">
        <v>487</v>
      </c>
      <c r="U204" s="879">
        <v>1</v>
      </c>
      <c r="V204" s="880">
        <v>159990</v>
      </c>
      <c r="W204" s="839">
        <f t="shared" si="11"/>
        <v>159990</v>
      </c>
      <c r="X204" s="721"/>
      <c r="Y204" s="1481"/>
      <c r="Z204" s="844" t="s">
        <v>741</v>
      </c>
      <c r="AA204" s="845" t="s">
        <v>720</v>
      </c>
      <c r="AB204" s="845" t="s">
        <v>503</v>
      </c>
      <c r="AC204" s="845">
        <v>0</v>
      </c>
      <c r="AD204" s="846">
        <v>389990</v>
      </c>
      <c r="AE204" s="839">
        <f t="shared" si="12"/>
        <v>0</v>
      </c>
      <c r="AF204" s="721"/>
      <c r="AG204" s="1481"/>
      <c r="AH204" s="834" t="s">
        <v>723</v>
      </c>
      <c r="AI204" s="835" t="s">
        <v>716</v>
      </c>
      <c r="AJ204" s="835" t="s">
        <v>503</v>
      </c>
      <c r="AK204" s="835">
        <v>0</v>
      </c>
      <c r="AL204" s="836">
        <v>2820000</v>
      </c>
      <c r="AM204" s="839">
        <f t="shared" si="13"/>
        <v>0</v>
      </c>
      <c r="AN204" s="721"/>
      <c r="AO204" s="721"/>
      <c r="AP204" s="721"/>
      <c r="AQ204" s="721"/>
      <c r="AR204" s="721"/>
      <c r="AS204" s="721"/>
      <c r="AT204" s="721"/>
      <c r="AU204" s="721"/>
      <c r="AV204" s="721"/>
      <c r="AW204" s="721"/>
      <c r="AX204" s="721"/>
    </row>
    <row r="205" spans="1:50" ht="13.5" thickBot="1" x14ac:dyDescent="0.25">
      <c r="A205" s="1492"/>
      <c r="B205" s="844" t="s">
        <v>738</v>
      </c>
      <c r="C205" s="845" t="s">
        <v>720</v>
      </c>
      <c r="D205" s="845" t="s">
        <v>488</v>
      </c>
      <c r="E205" s="845">
        <v>0</v>
      </c>
      <c r="F205" s="847">
        <v>27900</v>
      </c>
      <c r="G205" s="833">
        <f t="shared" si="10"/>
        <v>0</v>
      </c>
      <c r="H205" s="721"/>
      <c r="I205" s="854"/>
      <c r="J205" s="855"/>
      <c r="K205" s="856"/>
      <c r="L205" s="856"/>
      <c r="M205" s="856"/>
      <c r="N205" s="857" t="s">
        <v>209</v>
      </c>
      <c r="O205" s="858">
        <f>SUM(O188:O204)</f>
        <v>189900</v>
      </c>
      <c r="P205" s="721"/>
      <c r="Q205" s="902"/>
      <c r="R205" s="903"/>
      <c r="S205" s="904"/>
      <c r="T205" s="904"/>
      <c r="U205" s="904"/>
      <c r="V205" s="905" t="s">
        <v>209</v>
      </c>
      <c r="W205" s="906">
        <f>SUM(W188:W204)</f>
        <v>159990</v>
      </c>
      <c r="X205" s="721"/>
      <c r="Y205" s="1481"/>
      <c r="Z205" s="844" t="s">
        <v>747</v>
      </c>
      <c r="AA205" s="845" t="s">
        <v>743</v>
      </c>
      <c r="AB205" s="845" t="s">
        <v>488</v>
      </c>
      <c r="AC205" s="845">
        <v>3</v>
      </c>
      <c r="AD205" s="846">
        <v>18795</v>
      </c>
      <c r="AE205" s="839">
        <f t="shared" si="12"/>
        <v>56385</v>
      </c>
      <c r="AF205" s="721"/>
      <c r="AG205" s="1481"/>
      <c r="AH205" s="834" t="s">
        <v>724</v>
      </c>
      <c r="AI205" s="835" t="s">
        <v>716</v>
      </c>
      <c r="AJ205" s="835" t="s">
        <v>503</v>
      </c>
      <c r="AK205" s="835">
        <v>0</v>
      </c>
      <c r="AL205" s="836">
        <v>265000</v>
      </c>
      <c r="AM205" s="839">
        <f t="shared" si="13"/>
        <v>0</v>
      </c>
      <c r="AN205" s="721"/>
      <c r="AO205" s="721"/>
      <c r="AP205" s="721"/>
      <c r="AQ205" s="721"/>
      <c r="AR205" s="721"/>
      <c r="AS205" s="721"/>
      <c r="AT205" s="721"/>
      <c r="AU205" s="721"/>
      <c r="AV205" s="721"/>
      <c r="AW205" s="721"/>
      <c r="AX205" s="721"/>
    </row>
    <row r="206" spans="1:50" ht="13.5" thickBot="1" x14ac:dyDescent="0.25">
      <c r="A206" s="1492"/>
      <c r="B206" s="844" t="s">
        <v>740</v>
      </c>
      <c r="C206" s="845" t="s">
        <v>720</v>
      </c>
      <c r="D206" s="835" t="s">
        <v>488</v>
      </c>
      <c r="E206" s="845">
        <v>0</v>
      </c>
      <c r="F206" s="847">
        <v>160000</v>
      </c>
      <c r="G206" s="833">
        <f t="shared" si="10"/>
        <v>0</v>
      </c>
      <c r="H206" s="721"/>
      <c r="I206" s="1481" t="s">
        <v>748</v>
      </c>
      <c r="J206" s="862" t="s">
        <v>749</v>
      </c>
      <c r="K206" s="863" t="s">
        <v>720</v>
      </c>
      <c r="L206" s="863" t="s">
        <v>472</v>
      </c>
      <c r="M206" s="863">
        <v>2</v>
      </c>
      <c r="N206" s="864">
        <v>79900</v>
      </c>
      <c r="O206" s="886">
        <f t="shared" ref="O206:O231" si="15">M206*N206</f>
        <v>159800</v>
      </c>
      <c r="P206" s="721"/>
      <c r="Q206" s="1480" t="s">
        <v>748</v>
      </c>
      <c r="R206" s="829" t="s">
        <v>749</v>
      </c>
      <c r="S206" s="831" t="s">
        <v>720</v>
      </c>
      <c r="T206" s="831" t="s">
        <v>472</v>
      </c>
      <c r="U206" s="831">
        <v>0</v>
      </c>
      <c r="V206" s="838">
        <v>79900</v>
      </c>
      <c r="W206" s="839">
        <f t="shared" si="11"/>
        <v>0</v>
      </c>
      <c r="X206" s="721"/>
      <c r="Y206" s="1495"/>
      <c r="Z206" s="878" t="s">
        <v>750</v>
      </c>
      <c r="AA206" s="879" t="s">
        <v>746</v>
      </c>
      <c r="AB206" s="879" t="s">
        <v>487</v>
      </c>
      <c r="AC206" s="879">
        <v>1</v>
      </c>
      <c r="AD206" s="880">
        <v>159990</v>
      </c>
      <c r="AE206" s="839">
        <f t="shared" si="12"/>
        <v>159990</v>
      </c>
      <c r="AF206" s="721"/>
      <c r="AG206" s="1481"/>
      <c r="AH206" s="844" t="s">
        <v>725</v>
      </c>
      <c r="AI206" s="845" t="s">
        <v>720</v>
      </c>
      <c r="AJ206" s="845" t="s">
        <v>452</v>
      </c>
      <c r="AK206" s="845">
        <v>0</v>
      </c>
      <c r="AL206" s="846">
        <v>110000</v>
      </c>
      <c r="AM206" s="839">
        <f t="shared" si="13"/>
        <v>0</v>
      </c>
      <c r="AN206" s="721"/>
      <c r="AO206" s="721"/>
      <c r="AP206" s="721"/>
      <c r="AQ206" s="721"/>
      <c r="AR206" s="721"/>
      <c r="AS206" s="721"/>
      <c r="AT206" s="721"/>
      <c r="AU206" s="721"/>
      <c r="AV206" s="721"/>
      <c r="AW206" s="721"/>
      <c r="AX206" s="721"/>
    </row>
    <row r="207" spans="1:50" ht="13.5" thickBot="1" x14ac:dyDescent="0.25">
      <c r="A207" s="1492"/>
      <c r="B207" s="844" t="s">
        <v>741</v>
      </c>
      <c r="C207" s="845" t="s">
        <v>720</v>
      </c>
      <c r="D207" s="845" t="s">
        <v>503</v>
      </c>
      <c r="E207" s="845">
        <v>0</v>
      </c>
      <c r="F207" s="847">
        <v>389990</v>
      </c>
      <c r="G207" s="833">
        <f t="shared" si="10"/>
        <v>0</v>
      </c>
      <c r="H207" s="721"/>
      <c r="I207" s="1481"/>
      <c r="J207" s="834" t="s">
        <v>751</v>
      </c>
      <c r="K207" s="835" t="s">
        <v>720</v>
      </c>
      <c r="L207" s="835" t="s">
        <v>472</v>
      </c>
      <c r="M207" s="835">
        <v>2</v>
      </c>
      <c r="N207" s="836">
        <v>37900</v>
      </c>
      <c r="O207" s="907">
        <f t="shared" si="15"/>
        <v>75800</v>
      </c>
      <c r="P207" s="721"/>
      <c r="Q207" s="1481"/>
      <c r="R207" s="834" t="s">
        <v>751</v>
      </c>
      <c r="S207" s="835" t="s">
        <v>720</v>
      </c>
      <c r="T207" s="835" t="s">
        <v>472</v>
      </c>
      <c r="U207" s="835">
        <v>0</v>
      </c>
      <c r="V207" s="836">
        <v>37900</v>
      </c>
      <c r="W207" s="839">
        <f t="shared" si="11"/>
        <v>0</v>
      </c>
      <c r="X207" s="721"/>
      <c r="Y207" s="866"/>
      <c r="Z207" s="855"/>
      <c r="AA207" s="856"/>
      <c r="AB207" s="856"/>
      <c r="AC207" s="856"/>
      <c r="AD207" s="857" t="s">
        <v>209</v>
      </c>
      <c r="AE207" s="867">
        <f>SUM(AE190:AE206)</f>
        <v>416275</v>
      </c>
      <c r="AF207" s="721"/>
      <c r="AG207" s="1481"/>
      <c r="AH207" s="844" t="s">
        <v>727</v>
      </c>
      <c r="AI207" s="845" t="s">
        <v>720</v>
      </c>
      <c r="AJ207" s="845" t="s">
        <v>452</v>
      </c>
      <c r="AK207" s="845">
        <v>0</v>
      </c>
      <c r="AL207" s="846">
        <v>37990</v>
      </c>
      <c r="AM207" s="839">
        <f t="shared" si="13"/>
        <v>0</v>
      </c>
      <c r="AN207" s="721"/>
      <c r="AO207" s="721"/>
      <c r="AP207" s="721"/>
      <c r="AQ207" s="721"/>
      <c r="AR207" s="721"/>
      <c r="AS207" s="721"/>
      <c r="AT207" s="721"/>
      <c r="AU207" s="721"/>
      <c r="AV207" s="721"/>
      <c r="AW207" s="721"/>
      <c r="AX207" s="721"/>
    </row>
    <row r="208" spans="1:50" ht="13.5" thickBot="1" x14ac:dyDescent="0.25">
      <c r="A208" s="1492"/>
      <c r="B208" s="848" t="s">
        <v>752</v>
      </c>
      <c r="C208" s="845" t="s">
        <v>720</v>
      </c>
      <c r="D208" s="845" t="s">
        <v>503</v>
      </c>
      <c r="E208" s="845">
        <v>0</v>
      </c>
      <c r="F208" s="847">
        <v>153990</v>
      </c>
      <c r="G208" s="833">
        <f t="shared" si="10"/>
        <v>0</v>
      </c>
      <c r="H208" s="721"/>
      <c r="I208" s="1481"/>
      <c r="J208" s="834" t="s">
        <v>753</v>
      </c>
      <c r="K208" s="835" t="s">
        <v>754</v>
      </c>
      <c r="L208" s="835" t="s">
        <v>452</v>
      </c>
      <c r="M208" s="835">
        <v>0</v>
      </c>
      <c r="N208" s="836">
        <v>6900</v>
      </c>
      <c r="O208" s="907">
        <f t="shared" si="15"/>
        <v>0</v>
      </c>
      <c r="P208" s="721"/>
      <c r="Q208" s="1481"/>
      <c r="R208" s="834" t="s">
        <v>753</v>
      </c>
      <c r="S208" s="835" t="s">
        <v>754</v>
      </c>
      <c r="T208" s="845" t="s">
        <v>452</v>
      </c>
      <c r="U208" s="835">
        <v>0</v>
      </c>
      <c r="V208" s="836">
        <v>6900</v>
      </c>
      <c r="W208" s="839">
        <f t="shared" si="11"/>
        <v>0</v>
      </c>
      <c r="X208" s="721"/>
      <c r="Y208" s="1480" t="s">
        <v>748</v>
      </c>
      <c r="Z208" s="829" t="s">
        <v>749</v>
      </c>
      <c r="AA208" s="831" t="s">
        <v>720</v>
      </c>
      <c r="AB208" s="831" t="s">
        <v>472</v>
      </c>
      <c r="AC208" s="831">
        <v>1</v>
      </c>
      <c r="AD208" s="838">
        <v>79900</v>
      </c>
      <c r="AE208" s="839">
        <f t="shared" si="12"/>
        <v>79900</v>
      </c>
      <c r="AF208" s="721"/>
      <c r="AG208" s="1481"/>
      <c r="AH208" s="844" t="s">
        <v>729</v>
      </c>
      <c r="AI208" s="845" t="s">
        <v>720</v>
      </c>
      <c r="AJ208" s="835" t="s">
        <v>472</v>
      </c>
      <c r="AK208" s="845">
        <v>1</v>
      </c>
      <c r="AL208" s="846">
        <v>72900</v>
      </c>
      <c r="AM208" s="839">
        <f t="shared" si="13"/>
        <v>72900</v>
      </c>
      <c r="AN208" s="721"/>
      <c r="AO208" s="721"/>
      <c r="AP208" s="721"/>
      <c r="AQ208" s="721"/>
      <c r="AR208" s="721"/>
      <c r="AS208" s="721"/>
      <c r="AT208" s="721"/>
      <c r="AU208" s="721"/>
      <c r="AV208" s="721"/>
      <c r="AW208" s="721"/>
      <c r="AX208" s="721"/>
    </row>
    <row r="209" spans="1:50" ht="13.5" thickBot="1" x14ac:dyDescent="0.25">
      <c r="A209" s="1492"/>
      <c r="B209" s="844" t="s">
        <v>742</v>
      </c>
      <c r="C209" s="845" t="s">
        <v>743</v>
      </c>
      <c r="D209" s="845" t="s">
        <v>488</v>
      </c>
      <c r="E209" s="845">
        <v>0</v>
      </c>
      <c r="F209" s="847">
        <v>22900</v>
      </c>
      <c r="G209" s="833">
        <f t="shared" si="10"/>
        <v>0</v>
      </c>
      <c r="H209" s="721"/>
      <c r="I209" s="1481"/>
      <c r="J209" s="834" t="s">
        <v>755</v>
      </c>
      <c r="K209" s="835" t="s">
        <v>754</v>
      </c>
      <c r="L209" s="835" t="s">
        <v>452</v>
      </c>
      <c r="M209" s="835">
        <v>0</v>
      </c>
      <c r="N209" s="836">
        <v>5900</v>
      </c>
      <c r="O209" s="907">
        <f t="shared" si="15"/>
        <v>0</v>
      </c>
      <c r="P209" s="721"/>
      <c r="Q209" s="1481"/>
      <c r="R209" s="834" t="s">
        <v>755</v>
      </c>
      <c r="S209" s="835" t="s">
        <v>754</v>
      </c>
      <c r="T209" s="845" t="s">
        <v>452</v>
      </c>
      <c r="U209" s="835">
        <v>0</v>
      </c>
      <c r="V209" s="836">
        <v>5900</v>
      </c>
      <c r="W209" s="839">
        <f t="shared" si="11"/>
        <v>0</v>
      </c>
      <c r="X209" s="721"/>
      <c r="Y209" s="1481"/>
      <c r="Z209" s="834" t="s">
        <v>751</v>
      </c>
      <c r="AA209" s="835" t="s">
        <v>720</v>
      </c>
      <c r="AB209" s="835" t="s">
        <v>472</v>
      </c>
      <c r="AC209" s="835">
        <v>1</v>
      </c>
      <c r="AD209" s="836">
        <v>37900</v>
      </c>
      <c r="AE209" s="839">
        <f t="shared" si="12"/>
        <v>37900</v>
      </c>
      <c r="AF209" s="721"/>
      <c r="AG209" s="1481"/>
      <c r="AH209" s="844" t="s">
        <v>731</v>
      </c>
      <c r="AI209" s="835" t="s">
        <v>716</v>
      </c>
      <c r="AJ209" s="845" t="s">
        <v>503</v>
      </c>
      <c r="AK209" s="845">
        <v>0</v>
      </c>
      <c r="AL209" s="846">
        <v>110900</v>
      </c>
      <c r="AM209" s="839">
        <f t="shared" si="13"/>
        <v>0</v>
      </c>
      <c r="AN209" s="721"/>
      <c r="AO209" s="721"/>
      <c r="AP209" s="721"/>
      <c r="AQ209" s="721"/>
      <c r="AR209" s="721"/>
      <c r="AS209" s="721"/>
      <c r="AT209" s="721"/>
      <c r="AU209" s="721"/>
      <c r="AV209" s="721"/>
      <c r="AW209" s="721"/>
      <c r="AX209" s="721"/>
    </row>
    <row r="210" spans="1:50" ht="13.5" thickBot="1" x14ac:dyDescent="0.25">
      <c r="A210" s="1482"/>
      <c r="B210" s="844" t="s">
        <v>745</v>
      </c>
      <c r="C210" s="845" t="s">
        <v>746</v>
      </c>
      <c r="D210" s="845" t="s">
        <v>487</v>
      </c>
      <c r="E210" s="845">
        <v>1</v>
      </c>
      <c r="F210" s="847">
        <v>159990</v>
      </c>
      <c r="G210" s="861">
        <f t="shared" si="10"/>
        <v>159990</v>
      </c>
      <c r="H210" s="721"/>
      <c r="I210" s="1481"/>
      <c r="J210" s="834" t="s">
        <v>756</v>
      </c>
      <c r="K210" s="835" t="s">
        <v>754</v>
      </c>
      <c r="L210" s="835" t="s">
        <v>452</v>
      </c>
      <c r="M210" s="835">
        <v>50</v>
      </c>
      <c r="N210" s="836">
        <v>450</v>
      </c>
      <c r="O210" s="907">
        <f t="shared" si="15"/>
        <v>22500</v>
      </c>
      <c r="P210" s="721"/>
      <c r="Q210" s="1481"/>
      <c r="R210" s="834" t="s">
        <v>756</v>
      </c>
      <c r="S210" s="835" t="s">
        <v>754</v>
      </c>
      <c r="T210" s="845" t="s">
        <v>452</v>
      </c>
      <c r="U210" s="835">
        <v>0</v>
      </c>
      <c r="V210" s="836">
        <v>450</v>
      </c>
      <c r="W210" s="839">
        <f t="shared" si="11"/>
        <v>0</v>
      </c>
      <c r="X210" s="721"/>
      <c r="Y210" s="1481"/>
      <c r="Z210" s="834" t="s">
        <v>757</v>
      </c>
      <c r="AA210" s="835" t="s">
        <v>754</v>
      </c>
      <c r="AB210" s="845" t="s">
        <v>452</v>
      </c>
      <c r="AC210" s="835">
        <v>0</v>
      </c>
      <c r="AD210" s="836">
        <v>6900</v>
      </c>
      <c r="AE210" s="839">
        <f t="shared" si="12"/>
        <v>0</v>
      </c>
      <c r="AF210" s="721"/>
      <c r="AG210" s="1481"/>
      <c r="AH210" s="844" t="s">
        <v>733</v>
      </c>
      <c r="AI210" s="845" t="s">
        <v>720</v>
      </c>
      <c r="AJ210" s="835" t="s">
        <v>503</v>
      </c>
      <c r="AK210" s="845">
        <v>0</v>
      </c>
      <c r="AL210" s="846">
        <v>329900</v>
      </c>
      <c r="AM210" s="839">
        <f t="shared" si="13"/>
        <v>0</v>
      </c>
      <c r="AN210" s="721"/>
      <c r="AO210" s="721"/>
      <c r="AP210" s="721"/>
      <c r="AQ210" s="721"/>
      <c r="AR210" s="721"/>
      <c r="AS210" s="721"/>
      <c r="AT210" s="721"/>
      <c r="AU210" s="721"/>
      <c r="AV210" s="721"/>
      <c r="AW210" s="721"/>
      <c r="AX210" s="721"/>
    </row>
    <row r="211" spans="1:50" ht="13.5" thickBot="1" x14ac:dyDescent="0.25">
      <c r="A211" s="908"/>
      <c r="B211" s="909"/>
      <c r="C211" s="910"/>
      <c r="D211" s="910"/>
      <c r="E211" s="910"/>
      <c r="F211" s="911" t="s">
        <v>209</v>
      </c>
      <c r="G211" s="912">
        <f>SUM(G193:G210)</f>
        <v>159990</v>
      </c>
      <c r="H211" s="721"/>
      <c r="I211" s="1481"/>
      <c r="J211" s="834" t="s">
        <v>758</v>
      </c>
      <c r="K211" s="835" t="s">
        <v>754</v>
      </c>
      <c r="L211" s="835" t="s">
        <v>452</v>
      </c>
      <c r="M211" s="835">
        <v>0</v>
      </c>
      <c r="N211" s="836">
        <v>8900</v>
      </c>
      <c r="O211" s="907">
        <f t="shared" si="15"/>
        <v>0</v>
      </c>
      <c r="P211" s="721"/>
      <c r="Q211" s="1481"/>
      <c r="R211" s="834" t="s">
        <v>758</v>
      </c>
      <c r="S211" s="835" t="s">
        <v>754</v>
      </c>
      <c r="T211" s="845" t="s">
        <v>452</v>
      </c>
      <c r="U211" s="835">
        <v>0</v>
      </c>
      <c r="V211" s="836">
        <v>8900</v>
      </c>
      <c r="W211" s="839">
        <f t="shared" si="11"/>
        <v>0</v>
      </c>
      <c r="X211" s="721"/>
      <c r="Y211" s="1481"/>
      <c r="Z211" s="834" t="s">
        <v>759</v>
      </c>
      <c r="AA211" s="835" t="s">
        <v>754</v>
      </c>
      <c r="AB211" s="845" t="s">
        <v>452</v>
      </c>
      <c r="AC211" s="835">
        <v>0</v>
      </c>
      <c r="AD211" s="836">
        <v>5900</v>
      </c>
      <c r="AE211" s="839">
        <f t="shared" si="12"/>
        <v>0</v>
      </c>
      <c r="AF211" s="721"/>
      <c r="AG211" s="1481"/>
      <c r="AH211" s="844" t="s">
        <v>735</v>
      </c>
      <c r="AI211" s="845" t="s">
        <v>720</v>
      </c>
      <c r="AJ211" s="845" t="s">
        <v>487</v>
      </c>
      <c r="AK211" s="845">
        <v>0</v>
      </c>
      <c r="AL211" s="846">
        <v>79900</v>
      </c>
      <c r="AM211" s="839">
        <f t="shared" si="13"/>
        <v>0</v>
      </c>
      <c r="AN211" s="721"/>
      <c r="AO211" s="721"/>
      <c r="AP211" s="721"/>
      <c r="AQ211" s="721"/>
      <c r="AR211" s="721"/>
      <c r="AS211" s="721"/>
      <c r="AT211" s="721"/>
      <c r="AU211" s="721"/>
      <c r="AV211" s="721"/>
      <c r="AW211" s="721"/>
      <c r="AX211" s="721"/>
    </row>
    <row r="212" spans="1:50" ht="13.5" thickBot="1" x14ac:dyDescent="0.25">
      <c r="A212" s="1496"/>
      <c r="B212" s="914" t="s">
        <v>751</v>
      </c>
      <c r="C212" s="874" t="s">
        <v>720</v>
      </c>
      <c r="D212" s="874" t="s">
        <v>472</v>
      </c>
      <c r="E212" s="874">
        <v>0</v>
      </c>
      <c r="F212" s="915">
        <v>37900</v>
      </c>
      <c r="G212" s="916">
        <f t="shared" si="10"/>
        <v>0</v>
      </c>
      <c r="H212" s="721"/>
      <c r="I212" s="1481"/>
      <c r="J212" s="834" t="s">
        <v>760</v>
      </c>
      <c r="K212" s="835" t="s">
        <v>754</v>
      </c>
      <c r="L212" s="835" t="s">
        <v>472</v>
      </c>
      <c r="M212" s="835">
        <v>20</v>
      </c>
      <c r="N212" s="836">
        <v>390</v>
      </c>
      <c r="O212" s="907">
        <f t="shared" si="15"/>
        <v>7800</v>
      </c>
      <c r="P212" s="721"/>
      <c r="Q212" s="1481"/>
      <c r="R212" s="834" t="s">
        <v>760</v>
      </c>
      <c r="S212" s="835" t="s">
        <v>754</v>
      </c>
      <c r="T212" s="835" t="s">
        <v>472</v>
      </c>
      <c r="U212" s="835">
        <v>0</v>
      </c>
      <c r="V212" s="836">
        <v>390</v>
      </c>
      <c r="W212" s="839">
        <f t="shared" si="11"/>
        <v>0</v>
      </c>
      <c r="X212" s="721"/>
      <c r="Y212" s="1481"/>
      <c r="Z212" s="834" t="s">
        <v>756</v>
      </c>
      <c r="AA212" s="835" t="s">
        <v>754</v>
      </c>
      <c r="AB212" s="845" t="s">
        <v>452</v>
      </c>
      <c r="AC212" s="835">
        <v>0</v>
      </c>
      <c r="AD212" s="836">
        <v>450</v>
      </c>
      <c r="AE212" s="839">
        <f t="shared" si="12"/>
        <v>0</v>
      </c>
      <c r="AF212" s="721"/>
      <c r="AG212" s="1481"/>
      <c r="AH212" s="844" t="s">
        <v>737</v>
      </c>
      <c r="AI212" s="845" t="s">
        <v>720</v>
      </c>
      <c r="AJ212" s="835" t="s">
        <v>487</v>
      </c>
      <c r="AK212" s="845">
        <v>1</v>
      </c>
      <c r="AL212" s="846">
        <v>89900</v>
      </c>
      <c r="AM212" s="839">
        <f t="shared" si="13"/>
        <v>89900</v>
      </c>
      <c r="AN212" s="721"/>
      <c r="AO212" s="721"/>
      <c r="AP212" s="721"/>
      <c r="AQ212" s="721"/>
      <c r="AR212" s="721"/>
      <c r="AS212" s="721"/>
      <c r="AT212" s="721"/>
      <c r="AU212" s="721"/>
      <c r="AV212" s="721"/>
      <c r="AW212" s="721"/>
      <c r="AX212" s="721"/>
    </row>
    <row r="213" spans="1:50" ht="13.5" thickBot="1" x14ac:dyDescent="0.25">
      <c r="A213" s="1497"/>
      <c r="B213" s="917" t="s">
        <v>753</v>
      </c>
      <c r="C213" s="918" t="s">
        <v>754</v>
      </c>
      <c r="D213" s="918" t="s">
        <v>452</v>
      </c>
      <c r="E213" s="918">
        <v>0</v>
      </c>
      <c r="F213" s="919">
        <v>6900</v>
      </c>
      <c r="G213" s="920">
        <f t="shared" si="10"/>
        <v>0</v>
      </c>
      <c r="H213" s="721"/>
      <c r="I213" s="1481"/>
      <c r="J213" s="834" t="s">
        <v>761</v>
      </c>
      <c r="K213" s="835" t="s">
        <v>754</v>
      </c>
      <c r="L213" s="835" t="s">
        <v>472</v>
      </c>
      <c r="M213" s="835">
        <v>20</v>
      </c>
      <c r="N213" s="836">
        <v>450</v>
      </c>
      <c r="O213" s="907">
        <f t="shared" si="15"/>
        <v>9000</v>
      </c>
      <c r="P213" s="721"/>
      <c r="Q213" s="1481"/>
      <c r="R213" s="834" t="s">
        <v>761</v>
      </c>
      <c r="S213" s="835" t="s">
        <v>754</v>
      </c>
      <c r="T213" s="835" t="s">
        <v>472</v>
      </c>
      <c r="U213" s="835">
        <v>0</v>
      </c>
      <c r="V213" s="836">
        <v>450</v>
      </c>
      <c r="W213" s="839">
        <f t="shared" si="11"/>
        <v>0</v>
      </c>
      <c r="X213" s="721"/>
      <c r="Y213" s="1481"/>
      <c r="Z213" s="834" t="s">
        <v>758</v>
      </c>
      <c r="AA213" s="835" t="s">
        <v>754</v>
      </c>
      <c r="AB213" s="845" t="s">
        <v>452</v>
      </c>
      <c r="AC213" s="835">
        <v>0</v>
      </c>
      <c r="AD213" s="836">
        <v>8900</v>
      </c>
      <c r="AE213" s="839">
        <f t="shared" si="12"/>
        <v>0</v>
      </c>
      <c r="AF213" s="721"/>
      <c r="AG213" s="1481"/>
      <c r="AH213" s="844" t="s">
        <v>738</v>
      </c>
      <c r="AI213" s="845" t="s">
        <v>720</v>
      </c>
      <c r="AJ213" s="845" t="s">
        <v>488</v>
      </c>
      <c r="AK213" s="845">
        <v>2</v>
      </c>
      <c r="AL213" s="846">
        <v>27900</v>
      </c>
      <c r="AM213" s="839">
        <f t="shared" si="13"/>
        <v>55800</v>
      </c>
      <c r="AN213" s="721"/>
      <c r="AO213" s="721"/>
      <c r="AP213" s="721"/>
      <c r="AQ213" s="721"/>
      <c r="AR213" s="721"/>
      <c r="AS213" s="721"/>
      <c r="AT213" s="721"/>
      <c r="AU213" s="721"/>
      <c r="AV213" s="721"/>
      <c r="AW213" s="721"/>
      <c r="AX213" s="721"/>
    </row>
    <row r="214" spans="1:50" ht="13.5" thickBot="1" x14ac:dyDescent="0.25">
      <c r="A214" s="1497"/>
      <c r="B214" s="917" t="s">
        <v>755</v>
      </c>
      <c r="C214" s="918" t="s">
        <v>754</v>
      </c>
      <c r="D214" s="918" t="s">
        <v>452</v>
      </c>
      <c r="E214" s="918">
        <v>0</v>
      </c>
      <c r="F214" s="919">
        <v>5900</v>
      </c>
      <c r="G214" s="920">
        <f t="shared" si="10"/>
        <v>0</v>
      </c>
      <c r="H214" s="721"/>
      <c r="I214" s="1481"/>
      <c r="J214" s="834" t="s">
        <v>762</v>
      </c>
      <c r="K214" s="835" t="s">
        <v>754</v>
      </c>
      <c r="L214" s="835" t="s">
        <v>472</v>
      </c>
      <c r="M214" s="835">
        <v>0</v>
      </c>
      <c r="N214" s="836">
        <v>620</v>
      </c>
      <c r="O214" s="907">
        <f t="shared" si="15"/>
        <v>0</v>
      </c>
      <c r="P214" s="721"/>
      <c r="Q214" s="1481"/>
      <c r="R214" s="834" t="s">
        <v>762</v>
      </c>
      <c r="S214" s="835" t="s">
        <v>754</v>
      </c>
      <c r="T214" s="835" t="s">
        <v>472</v>
      </c>
      <c r="U214" s="835">
        <v>0</v>
      </c>
      <c r="V214" s="836">
        <v>620</v>
      </c>
      <c r="W214" s="839">
        <f t="shared" si="11"/>
        <v>0</v>
      </c>
      <c r="X214" s="721"/>
      <c r="Y214" s="1481"/>
      <c r="Z214" s="834" t="s">
        <v>763</v>
      </c>
      <c r="AA214" s="835" t="s">
        <v>754</v>
      </c>
      <c r="AB214" s="835" t="s">
        <v>472</v>
      </c>
      <c r="AC214" s="835">
        <v>0</v>
      </c>
      <c r="AD214" s="836">
        <v>390</v>
      </c>
      <c r="AE214" s="839">
        <f t="shared" si="12"/>
        <v>0</v>
      </c>
      <c r="AF214" s="721"/>
      <c r="AG214" s="1481"/>
      <c r="AH214" s="844" t="s">
        <v>740</v>
      </c>
      <c r="AI214" s="845" t="s">
        <v>720</v>
      </c>
      <c r="AJ214" s="835" t="s">
        <v>488</v>
      </c>
      <c r="AK214" s="845">
        <v>1</v>
      </c>
      <c r="AL214" s="846">
        <v>160000</v>
      </c>
      <c r="AM214" s="839">
        <f t="shared" si="13"/>
        <v>160000</v>
      </c>
      <c r="AN214" s="721"/>
      <c r="AO214" s="721"/>
      <c r="AP214" s="721"/>
      <c r="AQ214" s="721"/>
      <c r="AR214" s="721"/>
      <c r="AS214" s="721"/>
      <c r="AT214" s="721"/>
      <c r="AU214" s="721"/>
      <c r="AV214" s="721"/>
      <c r="AW214" s="721"/>
      <c r="AX214" s="721"/>
    </row>
    <row r="215" spans="1:50" ht="13.5" thickBot="1" x14ac:dyDescent="0.25">
      <c r="A215" s="1497"/>
      <c r="B215" s="917" t="s">
        <v>756</v>
      </c>
      <c r="C215" s="918" t="s">
        <v>754</v>
      </c>
      <c r="D215" s="918" t="s">
        <v>452</v>
      </c>
      <c r="E215" s="918">
        <v>0</v>
      </c>
      <c r="F215" s="919">
        <v>450</v>
      </c>
      <c r="G215" s="920">
        <f t="shared" si="10"/>
        <v>0</v>
      </c>
      <c r="H215" s="721"/>
      <c r="I215" s="1481"/>
      <c r="J215" s="834" t="s">
        <v>764</v>
      </c>
      <c r="K215" s="835" t="s">
        <v>754</v>
      </c>
      <c r="L215" s="835" t="s">
        <v>472</v>
      </c>
      <c r="M215" s="835">
        <v>40</v>
      </c>
      <c r="N215" s="836">
        <v>3450</v>
      </c>
      <c r="O215" s="907">
        <f t="shared" si="15"/>
        <v>138000</v>
      </c>
      <c r="P215" s="721"/>
      <c r="Q215" s="1481"/>
      <c r="R215" s="834" t="s">
        <v>765</v>
      </c>
      <c r="S215" s="835" t="s">
        <v>754</v>
      </c>
      <c r="T215" s="835" t="s">
        <v>472</v>
      </c>
      <c r="U215" s="835">
        <v>24</v>
      </c>
      <c r="V215" s="836">
        <v>3450</v>
      </c>
      <c r="W215" s="839">
        <f t="shared" si="11"/>
        <v>82800</v>
      </c>
      <c r="X215" s="721"/>
      <c r="Y215" s="1481"/>
      <c r="Z215" s="834" t="s">
        <v>761</v>
      </c>
      <c r="AA215" s="835" t="s">
        <v>754</v>
      </c>
      <c r="AB215" s="835" t="s">
        <v>472</v>
      </c>
      <c r="AC215" s="835">
        <v>0</v>
      </c>
      <c r="AD215" s="836">
        <v>450</v>
      </c>
      <c r="AE215" s="839">
        <f t="shared" si="12"/>
        <v>0</v>
      </c>
      <c r="AF215" s="721"/>
      <c r="AG215" s="1481"/>
      <c r="AH215" s="844" t="s">
        <v>741</v>
      </c>
      <c r="AI215" s="845" t="s">
        <v>720</v>
      </c>
      <c r="AJ215" s="845" t="s">
        <v>503</v>
      </c>
      <c r="AK215" s="845">
        <v>0</v>
      </c>
      <c r="AL215" s="846">
        <v>389990</v>
      </c>
      <c r="AM215" s="839">
        <f t="shared" si="13"/>
        <v>0</v>
      </c>
      <c r="AN215" s="721"/>
      <c r="AO215" s="721"/>
      <c r="AP215" s="721"/>
      <c r="AQ215" s="721"/>
      <c r="AR215" s="721"/>
      <c r="AS215" s="721"/>
      <c r="AT215" s="721"/>
      <c r="AU215" s="721"/>
      <c r="AV215" s="721"/>
      <c r="AW215" s="721"/>
      <c r="AX215" s="721"/>
    </row>
    <row r="216" spans="1:50" ht="13.5" thickBot="1" x14ac:dyDescent="0.25">
      <c r="A216" s="1497"/>
      <c r="B216" s="917" t="s">
        <v>758</v>
      </c>
      <c r="C216" s="918" t="s">
        <v>754</v>
      </c>
      <c r="D216" s="918" t="s">
        <v>452</v>
      </c>
      <c r="E216" s="918">
        <v>0</v>
      </c>
      <c r="F216" s="919">
        <v>8900</v>
      </c>
      <c r="G216" s="920">
        <f t="shared" si="10"/>
        <v>0</v>
      </c>
      <c r="H216" s="721"/>
      <c r="I216" s="1481"/>
      <c r="J216" s="834" t="s">
        <v>766</v>
      </c>
      <c r="K216" s="835" t="s">
        <v>754</v>
      </c>
      <c r="L216" s="835" t="s">
        <v>472</v>
      </c>
      <c r="M216" s="835">
        <v>0</v>
      </c>
      <c r="N216" s="836">
        <v>59000</v>
      </c>
      <c r="O216" s="907">
        <f t="shared" si="15"/>
        <v>0</v>
      </c>
      <c r="P216" s="721"/>
      <c r="Q216" s="1481"/>
      <c r="R216" s="921" t="s">
        <v>766</v>
      </c>
      <c r="S216" s="835" t="s">
        <v>754</v>
      </c>
      <c r="T216" s="922" t="s">
        <v>472</v>
      </c>
      <c r="U216" s="835">
        <v>2</v>
      </c>
      <c r="V216" s="836">
        <v>59000</v>
      </c>
      <c r="W216" s="839">
        <f t="shared" si="11"/>
        <v>118000</v>
      </c>
      <c r="X216" s="721"/>
      <c r="Y216" s="1481"/>
      <c r="Z216" s="834" t="s">
        <v>762</v>
      </c>
      <c r="AA216" s="835" t="s">
        <v>754</v>
      </c>
      <c r="AB216" s="835" t="s">
        <v>472</v>
      </c>
      <c r="AC216" s="835">
        <v>0</v>
      </c>
      <c r="AD216" s="836">
        <v>620</v>
      </c>
      <c r="AE216" s="839">
        <f t="shared" si="12"/>
        <v>0</v>
      </c>
      <c r="AF216" s="721"/>
      <c r="AG216" s="1481"/>
      <c r="AH216" s="844" t="s">
        <v>742</v>
      </c>
      <c r="AI216" s="845" t="s">
        <v>743</v>
      </c>
      <c r="AJ216" s="845" t="s">
        <v>488</v>
      </c>
      <c r="AK216" s="845">
        <v>6</v>
      </c>
      <c r="AL216" s="846">
        <v>23990</v>
      </c>
      <c r="AM216" s="839">
        <f t="shared" si="13"/>
        <v>143940</v>
      </c>
      <c r="AN216" s="721"/>
      <c r="AO216" s="721"/>
      <c r="AP216" s="721"/>
      <c r="AQ216" s="721"/>
      <c r="AR216" s="721"/>
      <c r="AS216" s="721"/>
      <c r="AT216" s="721"/>
      <c r="AU216" s="721"/>
      <c r="AV216" s="721"/>
      <c r="AW216" s="721"/>
      <c r="AX216" s="721"/>
    </row>
    <row r="217" spans="1:50" ht="13.5" thickBot="1" x14ac:dyDescent="0.25">
      <c r="A217" s="1497"/>
      <c r="B217" s="917" t="s">
        <v>760</v>
      </c>
      <c r="C217" s="918" t="s">
        <v>754</v>
      </c>
      <c r="D217" s="918" t="s">
        <v>472</v>
      </c>
      <c r="E217" s="918">
        <v>0</v>
      </c>
      <c r="F217" s="919">
        <v>390</v>
      </c>
      <c r="G217" s="920">
        <f t="shared" si="10"/>
        <v>0</v>
      </c>
      <c r="H217" s="721"/>
      <c r="I217" s="1481"/>
      <c r="J217" s="834" t="s">
        <v>767</v>
      </c>
      <c r="K217" s="835" t="s">
        <v>720</v>
      </c>
      <c r="L217" s="835" t="s">
        <v>472</v>
      </c>
      <c r="M217" s="835">
        <v>0</v>
      </c>
      <c r="N217" s="836">
        <v>17900</v>
      </c>
      <c r="O217" s="907">
        <f t="shared" si="15"/>
        <v>0</v>
      </c>
      <c r="P217" s="721"/>
      <c r="Q217" s="1481"/>
      <c r="R217" s="834" t="s">
        <v>767</v>
      </c>
      <c r="S217" s="835" t="s">
        <v>720</v>
      </c>
      <c r="T217" s="835" t="s">
        <v>472</v>
      </c>
      <c r="U217" s="835">
        <v>0</v>
      </c>
      <c r="V217" s="836">
        <v>17900</v>
      </c>
      <c r="W217" s="839">
        <f t="shared" si="11"/>
        <v>0</v>
      </c>
      <c r="X217" s="721"/>
      <c r="Y217" s="1481"/>
      <c r="Z217" s="834" t="s">
        <v>765</v>
      </c>
      <c r="AA217" s="835" t="s">
        <v>754</v>
      </c>
      <c r="AB217" s="835" t="s">
        <v>472</v>
      </c>
      <c r="AC217" s="835">
        <v>20</v>
      </c>
      <c r="AD217" s="836">
        <v>3450</v>
      </c>
      <c r="AE217" s="839">
        <f t="shared" si="12"/>
        <v>69000</v>
      </c>
      <c r="AF217" s="721"/>
      <c r="AG217" s="1495"/>
      <c r="AH217" s="878" t="s">
        <v>745</v>
      </c>
      <c r="AI217" s="879" t="s">
        <v>746</v>
      </c>
      <c r="AJ217" s="879" t="s">
        <v>487</v>
      </c>
      <c r="AK217" s="879">
        <v>1</v>
      </c>
      <c r="AL217" s="880">
        <v>159990</v>
      </c>
      <c r="AM217" s="839">
        <f t="shared" si="13"/>
        <v>159990</v>
      </c>
      <c r="AN217" s="721"/>
      <c r="AO217" s="721"/>
      <c r="AP217" s="721"/>
      <c r="AQ217" s="721"/>
      <c r="AR217" s="721"/>
      <c r="AS217" s="721"/>
      <c r="AT217" s="721"/>
      <c r="AU217" s="721"/>
      <c r="AV217" s="721"/>
      <c r="AW217" s="721"/>
      <c r="AX217" s="721"/>
    </row>
    <row r="218" spans="1:50" ht="13.5" thickBot="1" x14ac:dyDescent="0.25">
      <c r="A218" s="1497"/>
      <c r="B218" s="917" t="s">
        <v>761</v>
      </c>
      <c r="C218" s="918" t="s">
        <v>754</v>
      </c>
      <c r="D218" s="918" t="s">
        <v>472</v>
      </c>
      <c r="E218" s="918">
        <v>0</v>
      </c>
      <c r="F218" s="919">
        <v>450</v>
      </c>
      <c r="G218" s="920">
        <f t="shared" si="10"/>
        <v>0</v>
      </c>
      <c r="H218" s="721"/>
      <c r="I218" s="1481"/>
      <c r="J218" s="834" t="s">
        <v>768</v>
      </c>
      <c r="K218" s="835" t="s">
        <v>720</v>
      </c>
      <c r="L218" s="835" t="s">
        <v>472</v>
      </c>
      <c r="M218" s="835">
        <v>0</v>
      </c>
      <c r="N218" s="836">
        <v>24900</v>
      </c>
      <c r="O218" s="907">
        <f t="shared" si="15"/>
        <v>0</v>
      </c>
      <c r="P218" s="721"/>
      <c r="Q218" s="1481"/>
      <c r="R218" s="834" t="s">
        <v>768</v>
      </c>
      <c r="S218" s="835" t="s">
        <v>720</v>
      </c>
      <c r="T218" s="835" t="s">
        <v>472</v>
      </c>
      <c r="U218" s="835">
        <v>0</v>
      </c>
      <c r="V218" s="836">
        <v>24900</v>
      </c>
      <c r="W218" s="839">
        <f t="shared" si="11"/>
        <v>0</v>
      </c>
      <c r="X218" s="721"/>
      <c r="Y218" s="1481"/>
      <c r="Z218" s="921" t="s">
        <v>766</v>
      </c>
      <c r="AA218" s="835" t="s">
        <v>754</v>
      </c>
      <c r="AB218" s="922" t="s">
        <v>472</v>
      </c>
      <c r="AC218" s="835">
        <v>3</v>
      </c>
      <c r="AD218" s="836">
        <v>59000</v>
      </c>
      <c r="AE218" s="839">
        <f t="shared" si="12"/>
        <v>177000</v>
      </c>
      <c r="AF218" s="721"/>
      <c r="AG218" s="872"/>
      <c r="AH218" s="873"/>
      <c r="AI218" s="873"/>
      <c r="AJ218" s="873"/>
      <c r="AK218" s="873"/>
      <c r="AL218" s="857" t="s">
        <v>209</v>
      </c>
      <c r="AM218" s="867">
        <f>SUM(AM201:AM217)</f>
        <v>1042530</v>
      </c>
      <c r="AN218" s="721"/>
      <c r="AO218" s="721"/>
      <c r="AP218" s="721"/>
      <c r="AQ218" s="721"/>
      <c r="AR218" s="721"/>
      <c r="AS218" s="721"/>
      <c r="AT218" s="721"/>
      <c r="AU218" s="721"/>
      <c r="AV218" s="721"/>
      <c r="AW218" s="721"/>
      <c r="AX218" s="721"/>
    </row>
    <row r="219" spans="1:50" ht="13.5" thickBot="1" x14ac:dyDescent="0.25">
      <c r="A219" s="1497"/>
      <c r="B219" s="917" t="s">
        <v>762</v>
      </c>
      <c r="C219" s="918" t="s">
        <v>754</v>
      </c>
      <c r="D219" s="918" t="s">
        <v>472</v>
      </c>
      <c r="E219" s="918">
        <v>0</v>
      </c>
      <c r="F219" s="919">
        <v>620</v>
      </c>
      <c r="G219" s="920">
        <f t="shared" ref="G219:G238" si="16">E219*F219</f>
        <v>0</v>
      </c>
      <c r="H219" s="721"/>
      <c r="I219" s="1481"/>
      <c r="J219" s="834" t="s">
        <v>769</v>
      </c>
      <c r="K219" s="835" t="s">
        <v>720</v>
      </c>
      <c r="L219" s="835" t="s">
        <v>472</v>
      </c>
      <c r="M219" s="835">
        <v>0</v>
      </c>
      <c r="N219" s="836">
        <v>12000</v>
      </c>
      <c r="O219" s="907">
        <f t="shared" si="15"/>
        <v>0</v>
      </c>
      <c r="P219" s="721"/>
      <c r="Q219" s="1481"/>
      <c r="R219" s="834" t="s">
        <v>769</v>
      </c>
      <c r="S219" s="835" t="s">
        <v>720</v>
      </c>
      <c r="T219" s="835" t="s">
        <v>472</v>
      </c>
      <c r="U219" s="835">
        <v>0</v>
      </c>
      <c r="V219" s="836">
        <v>12000</v>
      </c>
      <c r="W219" s="839">
        <f t="shared" ref="W219:W231" si="17">U219*V219</f>
        <v>0</v>
      </c>
      <c r="X219" s="721"/>
      <c r="Y219" s="1481"/>
      <c r="Z219" s="834" t="s">
        <v>767</v>
      </c>
      <c r="AA219" s="835" t="s">
        <v>720</v>
      </c>
      <c r="AB219" s="835" t="s">
        <v>472</v>
      </c>
      <c r="AC219" s="835">
        <v>0</v>
      </c>
      <c r="AD219" s="836">
        <v>17900</v>
      </c>
      <c r="AE219" s="839">
        <f t="shared" ref="AE219:AE233" si="18">AC219*AD219</f>
        <v>0</v>
      </c>
      <c r="AF219" s="721"/>
      <c r="AG219" s="1480" t="s">
        <v>748</v>
      </c>
      <c r="AH219" s="829" t="s">
        <v>749</v>
      </c>
      <c r="AI219" s="831" t="s">
        <v>720</v>
      </c>
      <c r="AJ219" s="831" t="s">
        <v>472</v>
      </c>
      <c r="AK219" s="831">
        <v>0</v>
      </c>
      <c r="AL219" s="838">
        <v>79900</v>
      </c>
      <c r="AM219" s="839">
        <f t="shared" ref="AM219:AM247" si="19">AK219*AL219</f>
        <v>0</v>
      </c>
      <c r="AN219" s="721"/>
      <c r="AO219" s="721"/>
      <c r="AP219" s="721"/>
      <c r="AQ219" s="721"/>
      <c r="AR219" s="721"/>
      <c r="AS219" s="721"/>
      <c r="AT219" s="721"/>
      <c r="AU219" s="721"/>
      <c r="AV219" s="721"/>
      <c r="AW219" s="721"/>
      <c r="AX219" s="721"/>
    </row>
    <row r="220" spans="1:50" ht="13.5" thickBot="1" x14ac:dyDescent="0.25">
      <c r="A220" s="1497"/>
      <c r="B220" s="917" t="s">
        <v>765</v>
      </c>
      <c r="C220" s="918" t="s">
        <v>754</v>
      </c>
      <c r="D220" s="918" t="s">
        <v>472</v>
      </c>
      <c r="E220" s="918">
        <v>0</v>
      </c>
      <c r="F220" s="919">
        <v>3450</v>
      </c>
      <c r="G220" s="920">
        <f t="shared" si="16"/>
        <v>0</v>
      </c>
      <c r="H220" s="721"/>
      <c r="I220" s="1481"/>
      <c r="J220" s="834" t="s">
        <v>770</v>
      </c>
      <c r="K220" s="835" t="s">
        <v>720</v>
      </c>
      <c r="L220" s="835" t="s">
        <v>452</v>
      </c>
      <c r="M220" s="835">
        <v>10</v>
      </c>
      <c r="N220" s="836">
        <v>1390</v>
      </c>
      <c r="O220" s="907">
        <f t="shared" si="15"/>
        <v>13900</v>
      </c>
      <c r="P220" s="721"/>
      <c r="Q220" s="1481"/>
      <c r="R220" s="834" t="s">
        <v>770</v>
      </c>
      <c r="S220" s="835" t="s">
        <v>720</v>
      </c>
      <c r="T220" s="845" t="s">
        <v>452</v>
      </c>
      <c r="U220" s="835">
        <v>0</v>
      </c>
      <c r="V220" s="836">
        <v>1390</v>
      </c>
      <c r="W220" s="839">
        <f t="shared" si="17"/>
        <v>0</v>
      </c>
      <c r="X220" s="721"/>
      <c r="Y220" s="1481"/>
      <c r="Z220" s="834" t="s">
        <v>768</v>
      </c>
      <c r="AA220" s="835" t="s">
        <v>720</v>
      </c>
      <c r="AB220" s="835" t="s">
        <v>472</v>
      </c>
      <c r="AC220" s="835">
        <v>1</v>
      </c>
      <c r="AD220" s="836">
        <v>24900</v>
      </c>
      <c r="AE220" s="839">
        <f t="shared" si="18"/>
        <v>24900</v>
      </c>
      <c r="AF220" s="721"/>
      <c r="AG220" s="1481"/>
      <c r="AH220" s="834" t="s">
        <v>751</v>
      </c>
      <c r="AI220" s="835" t="s">
        <v>720</v>
      </c>
      <c r="AJ220" s="835" t="s">
        <v>472</v>
      </c>
      <c r="AK220" s="835">
        <v>0</v>
      </c>
      <c r="AL220" s="836">
        <v>37900</v>
      </c>
      <c r="AM220" s="839">
        <f t="shared" si="19"/>
        <v>0</v>
      </c>
      <c r="AN220" s="721"/>
      <c r="AO220" s="721"/>
      <c r="AP220" s="721"/>
      <c r="AQ220" s="721"/>
      <c r="AR220" s="721"/>
      <c r="AS220" s="721"/>
      <c r="AT220" s="721"/>
      <c r="AU220" s="721"/>
      <c r="AV220" s="721"/>
      <c r="AW220" s="721"/>
      <c r="AX220" s="721"/>
    </row>
    <row r="221" spans="1:50" ht="13.5" thickBot="1" x14ac:dyDescent="0.25">
      <c r="A221" s="1497"/>
      <c r="B221" s="917" t="s">
        <v>766</v>
      </c>
      <c r="C221" s="918" t="s">
        <v>754</v>
      </c>
      <c r="D221" s="918" t="s">
        <v>472</v>
      </c>
      <c r="E221" s="918">
        <v>0</v>
      </c>
      <c r="F221" s="919">
        <v>59000</v>
      </c>
      <c r="G221" s="920">
        <f t="shared" si="16"/>
        <v>0</v>
      </c>
      <c r="H221" s="721"/>
      <c r="I221" s="1481"/>
      <c r="J221" s="834" t="s">
        <v>771</v>
      </c>
      <c r="K221" s="835" t="s">
        <v>720</v>
      </c>
      <c r="L221" s="835" t="s">
        <v>452</v>
      </c>
      <c r="M221" s="835">
        <v>0</v>
      </c>
      <c r="N221" s="836">
        <v>1290</v>
      </c>
      <c r="O221" s="907">
        <f t="shared" si="15"/>
        <v>0</v>
      </c>
      <c r="P221" s="721"/>
      <c r="Q221" s="1481"/>
      <c r="R221" s="834" t="s">
        <v>771</v>
      </c>
      <c r="S221" s="835" t="s">
        <v>720</v>
      </c>
      <c r="T221" s="845" t="s">
        <v>452</v>
      </c>
      <c r="U221" s="835">
        <v>0</v>
      </c>
      <c r="V221" s="836">
        <v>1290</v>
      </c>
      <c r="W221" s="839">
        <f t="shared" si="17"/>
        <v>0</v>
      </c>
      <c r="X221" s="721"/>
      <c r="Y221" s="1481"/>
      <c r="Z221" s="834" t="s">
        <v>769</v>
      </c>
      <c r="AA221" s="835" t="s">
        <v>720</v>
      </c>
      <c r="AB221" s="835" t="s">
        <v>472</v>
      </c>
      <c r="AC221" s="835">
        <v>0</v>
      </c>
      <c r="AD221" s="836">
        <v>12000</v>
      </c>
      <c r="AE221" s="839">
        <f t="shared" si="18"/>
        <v>0</v>
      </c>
      <c r="AF221" s="721"/>
      <c r="AG221" s="1481"/>
      <c r="AH221" s="834" t="s">
        <v>753</v>
      </c>
      <c r="AI221" s="835" t="s">
        <v>754</v>
      </c>
      <c r="AJ221" s="845" t="s">
        <v>452</v>
      </c>
      <c r="AK221" s="835">
        <v>10</v>
      </c>
      <c r="AL221" s="836">
        <v>6900</v>
      </c>
      <c r="AM221" s="839">
        <f t="shared" si="19"/>
        <v>69000</v>
      </c>
      <c r="AN221" s="721"/>
      <c r="AO221" s="721"/>
      <c r="AP221" s="721"/>
      <c r="AQ221" s="721"/>
      <c r="AR221" s="721"/>
      <c r="AS221" s="721"/>
      <c r="AT221" s="721"/>
      <c r="AU221" s="721"/>
      <c r="AV221" s="721"/>
      <c r="AW221" s="721"/>
      <c r="AX221" s="721"/>
    </row>
    <row r="222" spans="1:50" ht="13.5" thickBot="1" x14ac:dyDescent="0.25">
      <c r="A222" s="1497"/>
      <c r="B222" s="917" t="s">
        <v>767</v>
      </c>
      <c r="C222" s="918" t="s">
        <v>720</v>
      </c>
      <c r="D222" s="918" t="s">
        <v>472</v>
      </c>
      <c r="E222" s="918">
        <v>0</v>
      </c>
      <c r="F222" s="919">
        <v>17900</v>
      </c>
      <c r="G222" s="920">
        <f t="shared" si="16"/>
        <v>0</v>
      </c>
      <c r="H222" s="721"/>
      <c r="I222" s="1481"/>
      <c r="J222" s="834" t="s">
        <v>772</v>
      </c>
      <c r="K222" s="835" t="s">
        <v>720</v>
      </c>
      <c r="L222" s="835" t="s">
        <v>452</v>
      </c>
      <c r="M222" s="835">
        <v>0</v>
      </c>
      <c r="N222" s="836">
        <v>1290</v>
      </c>
      <c r="O222" s="907">
        <f t="shared" si="15"/>
        <v>0</v>
      </c>
      <c r="P222" s="721"/>
      <c r="Q222" s="1481"/>
      <c r="R222" s="834" t="s">
        <v>772</v>
      </c>
      <c r="S222" s="835" t="s">
        <v>720</v>
      </c>
      <c r="T222" s="845" t="s">
        <v>452</v>
      </c>
      <c r="U222" s="835">
        <v>0</v>
      </c>
      <c r="V222" s="836">
        <v>1290</v>
      </c>
      <c r="W222" s="839">
        <f t="shared" si="17"/>
        <v>0</v>
      </c>
      <c r="X222" s="721"/>
      <c r="Y222" s="1481"/>
      <c r="Z222" s="834" t="s">
        <v>770</v>
      </c>
      <c r="AA222" s="835" t="s">
        <v>720</v>
      </c>
      <c r="AB222" s="845" t="s">
        <v>452</v>
      </c>
      <c r="AC222" s="835">
        <v>0</v>
      </c>
      <c r="AD222" s="836">
        <v>1390</v>
      </c>
      <c r="AE222" s="839">
        <f t="shared" si="18"/>
        <v>0</v>
      </c>
      <c r="AF222" s="721"/>
      <c r="AG222" s="1481"/>
      <c r="AH222" s="834" t="s">
        <v>755</v>
      </c>
      <c r="AI222" s="835" t="s">
        <v>754</v>
      </c>
      <c r="AJ222" s="845" t="s">
        <v>452</v>
      </c>
      <c r="AK222" s="835">
        <v>0</v>
      </c>
      <c r="AL222" s="836">
        <v>5900</v>
      </c>
      <c r="AM222" s="839">
        <f t="shared" si="19"/>
        <v>0</v>
      </c>
      <c r="AN222" s="721"/>
      <c r="AO222" s="721"/>
      <c r="AP222" s="721"/>
      <c r="AQ222" s="721"/>
      <c r="AR222" s="721"/>
      <c r="AS222" s="721"/>
      <c r="AT222" s="721"/>
      <c r="AU222" s="721"/>
      <c r="AV222" s="721"/>
      <c r="AW222" s="721"/>
      <c r="AX222" s="721"/>
    </row>
    <row r="223" spans="1:50" ht="13.5" thickBot="1" x14ac:dyDescent="0.25">
      <c r="A223" s="1497"/>
      <c r="B223" s="917" t="s">
        <v>768</v>
      </c>
      <c r="C223" s="918" t="s">
        <v>720</v>
      </c>
      <c r="D223" s="918" t="s">
        <v>472</v>
      </c>
      <c r="E223" s="918">
        <v>0</v>
      </c>
      <c r="F223" s="919">
        <v>24900</v>
      </c>
      <c r="G223" s="920">
        <f t="shared" si="16"/>
        <v>0</v>
      </c>
      <c r="H223" s="721"/>
      <c r="I223" s="1481"/>
      <c r="J223" s="834" t="s">
        <v>773</v>
      </c>
      <c r="K223" s="835" t="s">
        <v>720</v>
      </c>
      <c r="L223" s="835" t="s">
        <v>472</v>
      </c>
      <c r="M223" s="835">
        <v>0</v>
      </c>
      <c r="N223" s="836">
        <v>5290</v>
      </c>
      <c r="O223" s="907">
        <f t="shared" si="15"/>
        <v>0</v>
      </c>
      <c r="P223" s="721"/>
      <c r="Q223" s="1481"/>
      <c r="R223" s="834" t="s">
        <v>773</v>
      </c>
      <c r="S223" s="835" t="s">
        <v>720</v>
      </c>
      <c r="T223" s="835" t="s">
        <v>472</v>
      </c>
      <c r="U223" s="835">
        <v>0</v>
      </c>
      <c r="V223" s="836">
        <v>5290</v>
      </c>
      <c r="W223" s="839">
        <f t="shared" si="17"/>
        <v>0</v>
      </c>
      <c r="X223" s="721"/>
      <c r="Y223" s="1481"/>
      <c r="Z223" s="834" t="s">
        <v>771</v>
      </c>
      <c r="AA223" s="835" t="s">
        <v>720</v>
      </c>
      <c r="AB223" s="845" t="s">
        <v>452</v>
      </c>
      <c r="AC223" s="835">
        <v>0</v>
      </c>
      <c r="AD223" s="836">
        <v>1290</v>
      </c>
      <c r="AE223" s="839">
        <f t="shared" si="18"/>
        <v>0</v>
      </c>
      <c r="AF223" s="721"/>
      <c r="AG223" s="1481"/>
      <c r="AH223" s="834" t="s">
        <v>756</v>
      </c>
      <c r="AI223" s="835" t="s">
        <v>754</v>
      </c>
      <c r="AJ223" s="845" t="s">
        <v>452</v>
      </c>
      <c r="AK223" s="835">
        <v>40</v>
      </c>
      <c r="AL223" s="836">
        <v>450</v>
      </c>
      <c r="AM223" s="839">
        <f t="shared" si="19"/>
        <v>18000</v>
      </c>
      <c r="AN223" s="721"/>
      <c r="AO223" s="721"/>
      <c r="AP223" s="721"/>
      <c r="AQ223" s="721"/>
      <c r="AR223" s="721"/>
      <c r="AS223" s="721"/>
      <c r="AT223" s="721"/>
      <c r="AU223" s="721"/>
      <c r="AV223" s="721"/>
      <c r="AW223" s="721"/>
      <c r="AX223" s="721"/>
    </row>
    <row r="224" spans="1:50" ht="13.5" thickBot="1" x14ac:dyDescent="0.25">
      <c r="A224" s="1497"/>
      <c r="B224" s="917" t="s">
        <v>769</v>
      </c>
      <c r="C224" s="918" t="s">
        <v>720</v>
      </c>
      <c r="D224" s="918" t="s">
        <v>472</v>
      </c>
      <c r="E224" s="918">
        <v>0</v>
      </c>
      <c r="F224" s="919">
        <v>12000</v>
      </c>
      <c r="G224" s="920">
        <f t="shared" si="16"/>
        <v>0</v>
      </c>
      <c r="H224" s="721"/>
      <c r="I224" s="1481"/>
      <c r="J224" s="834" t="s">
        <v>774</v>
      </c>
      <c r="K224" s="835" t="s">
        <v>720</v>
      </c>
      <c r="L224" s="835" t="s">
        <v>472</v>
      </c>
      <c r="M224" s="835">
        <v>0</v>
      </c>
      <c r="N224" s="836">
        <v>119000</v>
      </c>
      <c r="O224" s="907">
        <f t="shared" si="15"/>
        <v>0</v>
      </c>
      <c r="P224" s="721"/>
      <c r="Q224" s="1481"/>
      <c r="R224" s="834" t="s">
        <v>774</v>
      </c>
      <c r="S224" s="835" t="s">
        <v>720</v>
      </c>
      <c r="T224" s="835" t="s">
        <v>472</v>
      </c>
      <c r="U224" s="835">
        <v>0</v>
      </c>
      <c r="V224" s="836">
        <v>119000</v>
      </c>
      <c r="W224" s="839">
        <f t="shared" si="17"/>
        <v>0</v>
      </c>
      <c r="X224" s="721"/>
      <c r="Y224" s="1481"/>
      <c r="Z224" s="834" t="s">
        <v>772</v>
      </c>
      <c r="AA224" s="835" t="s">
        <v>720</v>
      </c>
      <c r="AB224" s="845" t="s">
        <v>452</v>
      </c>
      <c r="AC224" s="835">
        <v>0</v>
      </c>
      <c r="AD224" s="836">
        <v>1290</v>
      </c>
      <c r="AE224" s="839">
        <f t="shared" si="18"/>
        <v>0</v>
      </c>
      <c r="AF224" s="721"/>
      <c r="AG224" s="1481"/>
      <c r="AH224" s="834" t="s">
        <v>758</v>
      </c>
      <c r="AI224" s="835" t="s">
        <v>754</v>
      </c>
      <c r="AJ224" s="845" t="s">
        <v>452</v>
      </c>
      <c r="AK224" s="835">
        <v>0</v>
      </c>
      <c r="AL224" s="836">
        <v>8900</v>
      </c>
      <c r="AM224" s="839">
        <f t="shared" si="19"/>
        <v>0</v>
      </c>
      <c r="AN224" s="721"/>
      <c r="AO224" s="721"/>
      <c r="AP224" s="721"/>
      <c r="AQ224" s="721"/>
      <c r="AR224" s="721"/>
      <c r="AS224" s="721"/>
      <c r="AT224" s="721"/>
      <c r="AU224" s="721"/>
      <c r="AV224" s="721"/>
      <c r="AW224" s="721"/>
      <c r="AX224" s="721"/>
    </row>
    <row r="225" spans="1:50" ht="13.5" thickBot="1" x14ac:dyDescent="0.25">
      <c r="A225" s="1497"/>
      <c r="B225" s="917" t="s">
        <v>770</v>
      </c>
      <c r="C225" s="918" t="s">
        <v>720</v>
      </c>
      <c r="D225" s="918" t="s">
        <v>452</v>
      </c>
      <c r="E225" s="918">
        <v>0</v>
      </c>
      <c r="F225" s="919">
        <v>1390</v>
      </c>
      <c r="G225" s="920">
        <f t="shared" si="16"/>
        <v>0</v>
      </c>
      <c r="H225" s="721"/>
      <c r="I225" s="1481"/>
      <c r="J225" s="923" t="s">
        <v>775</v>
      </c>
      <c r="K225" s="918" t="s">
        <v>776</v>
      </c>
      <c r="L225" s="918" t="s">
        <v>472</v>
      </c>
      <c r="M225" s="918">
        <v>3</v>
      </c>
      <c r="N225" s="919">
        <v>79990</v>
      </c>
      <c r="O225" s="920">
        <f t="shared" si="15"/>
        <v>239970</v>
      </c>
      <c r="P225" s="721"/>
      <c r="Q225" s="1481"/>
      <c r="R225" s="834" t="s">
        <v>777</v>
      </c>
      <c r="S225" s="835" t="s">
        <v>720</v>
      </c>
      <c r="T225" s="835" t="s">
        <v>503</v>
      </c>
      <c r="U225" s="835">
        <v>0</v>
      </c>
      <c r="V225" s="836">
        <v>149900</v>
      </c>
      <c r="W225" s="839">
        <f t="shared" si="17"/>
        <v>0</v>
      </c>
      <c r="X225" s="721"/>
      <c r="Y225" s="1481"/>
      <c r="Z225" s="834" t="s">
        <v>773</v>
      </c>
      <c r="AA225" s="835" t="s">
        <v>720</v>
      </c>
      <c r="AB225" s="835" t="s">
        <v>472</v>
      </c>
      <c r="AC225" s="835">
        <v>0</v>
      </c>
      <c r="AD225" s="836">
        <v>5290</v>
      </c>
      <c r="AE225" s="839">
        <f t="shared" si="18"/>
        <v>0</v>
      </c>
      <c r="AF225" s="721"/>
      <c r="AG225" s="1481"/>
      <c r="AH225" s="834" t="s">
        <v>760</v>
      </c>
      <c r="AI225" s="835" t="s">
        <v>754</v>
      </c>
      <c r="AJ225" s="835" t="s">
        <v>472</v>
      </c>
      <c r="AK225" s="835">
        <v>40</v>
      </c>
      <c r="AL225" s="836">
        <v>390</v>
      </c>
      <c r="AM225" s="839">
        <f t="shared" si="19"/>
        <v>15600</v>
      </c>
      <c r="AN225" s="721"/>
      <c r="AO225" s="721"/>
      <c r="AP225" s="721"/>
      <c r="AQ225" s="721"/>
      <c r="AR225" s="721"/>
      <c r="AS225" s="721"/>
      <c r="AT225" s="721"/>
      <c r="AU225" s="721"/>
      <c r="AV225" s="721"/>
      <c r="AW225" s="721"/>
      <c r="AX225" s="721"/>
    </row>
    <row r="226" spans="1:50" ht="13.5" thickBot="1" x14ac:dyDescent="0.25">
      <c r="A226" s="1497"/>
      <c r="B226" s="917" t="s">
        <v>771</v>
      </c>
      <c r="C226" s="918" t="s">
        <v>720</v>
      </c>
      <c r="D226" s="918" t="s">
        <v>452</v>
      </c>
      <c r="E226" s="918">
        <v>0</v>
      </c>
      <c r="F226" s="919">
        <v>1290</v>
      </c>
      <c r="G226" s="920">
        <f t="shared" si="16"/>
        <v>0</v>
      </c>
      <c r="H226" s="721"/>
      <c r="I226" s="1481"/>
      <c r="J226" s="834" t="s">
        <v>778</v>
      </c>
      <c r="K226" s="835" t="s">
        <v>776</v>
      </c>
      <c r="L226" s="835" t="s">
        <v>472</v>
      </c>
      <c r="M226" s="835">
        <v>0</v>
      </c>
      <c r="N226" s="836">
        <v>47900</v>
      </c>
      <c r="O226" s="907">
        <f t="shared" si="15"/>
        <v>0</v>
      </c>
      <c r="P226" s="721"/>
      <c r="Q226" s="1481"/>
      <c r="R226" s="834" t="s">
        <v>778</v>
      </c>
      <c r="S226" s="835" t="s">
        <v>776</v>
      </c>
      <c r="T226" s="835" t="s">
        <v>472</v>
      </c>
      <c r="U226" s="835">
        <v>0</v>
      </c>
      <c r="V226" s="836">
        <v>47900</v>
      </c>
      <c r="W226" s="839">
        <f t="shared" si="17"/>
        <v>0</v>
      </c>
      <c r="X226" s="721"/>
      <c r="Y226" s="1481"/>
      <c r="Z226" s="834" t="s">
        <v>774</v>
      </c>
      <c r="AA226" s="835" t="s">
        <v>720</v>
      </c>
      <c r="AB226" s="835" t="s">
        <v>472</v>
      </c>
      <c r="AC226" s="835">
        <v>1</v>
      </c>
      <c r="AD226" s="836">
        <v>119000</v>
      </c>
      <c r="AE226" s="839">
        <f t="shared" si="18"/>
        <v>119000</v>
      </c>
      <c r="AF226" s="721"/>
      <c r="AG226" s="1481"/>
      <c r="AH226" s="834" t="s">
        <v>761</v>
      </c>
      <c r="AI226" s="835" t="s">
        <v>754</v>
      </c>
      <c r="AJ226" s="835" t="s">
        <v>472</v>
      </c>
      <c r="AK226" s="835">
        <v>0</v>
      </c>
      <c r="AL226" s="836">
        <v>450</v>
      </c>
      <c r="AM226" s="839">
        <f t="shared" si="19"/>
        <v>0</v>
      </c>
      <c r="AN226" s="721"/>
      <c r="AO226" s="721"/>
      <c r="AP226" s="721"/>
      <c r="AQ226" s="721"/>
      <c r="AR226" s="721"/>
      <c r="AS226" s="721"/>
      <c r="AT226" s="721"/>
      <c r="AU226" s="721"/>
      <c r="AV226" s="721"/>
      <c r="AW226" s="721"/>
      <c r="AX226" s="721"/>
    </row>
    <row r="227" spans="1:50" ht="13.5" thickBot="1" x14ac:dyDescent="0.25">
      <c r="A227" s="1497"/>
      <c r="B227" s="917" t="s">
        <v>772</v>
      </c>
      <c r="C227" s="918" t="s">
        <v>720</v>
      </c>
      <c r="D227" s="918" t="s">
        <v>452</v>
      </c>
      <c r="E227" s="918">
        <v>0</v>
      </c>
      <c r="F227" s="919">
        <v>1290</v>
      </c>
      <c r="G227" s="920">
        <f t="shared" si="16"/>
        <v>0</v>
      </c>
      <c r="H227" s="721"/>
      <c r="I227" s="1481"/>
      <c r="J227" s="834" t="s">
        <v>779</v>
      </c>
      <c r="K227" s="835" t="s">
        <v>776</v>
      </c>
      <c r="L227" s="835" t="s">
        <v>472</v>
      </c>
      <c r="M227" s="835">
        <v>0</v>
      </c>
      <c r="N227" s="836">
        <v>19900</v>
      </c>
      <c r="O227" s="907">
        <f t="shared" si="15"/>
        <v>0</v>
      </c>
      <c r="P227" s="721"/>
      <c r="Q227" s="1481"/>
      <c r="R227" s="834" t="s">
        <v>779</v>
      </c>
      <c r="S227" s="835" t="s">
        <v>776</v>
      </c>
      <c r="T227" s="835" t="s">
        <v>472</v>
      </c>
      <c r="U227" s="835">
        <v>0</v>
      </c>
      <c r="V227" s="836">
        <v>19900</v>
      </c>
      <c r="W227" s="839">
        <f t="shared" si="17"/>
        <v>0</v>
      </c>
      <c r="X227" s="721"/>
      <c r="Y227" s="1481"/>
      <c r="Z227" s="834" t="s">
        <v>777</v>
      </c>
      <c r="AA227" s="835" t="s">
        <v>720</v>
      </c>
      <c r="AB227" s="835" t="s">
        <v>503</v>
      </c>
      <c r="AC227" s="835">
        <v>0</v>
      </c>
      <c r="AD227" s="836">
        <v>149900</v>
      </c>
      <c r="AE227" s="839">
        <f t="shared" si="18"/>
        <v>0</v>
      </c>
      <c r="AF227" s="721"/>
      <c r="AG227" s="1481"/>
      <c r="AH227" s="834" t="s">
        <v>762</v>
      </c>
      <c r="AI227" s="835" t="s">
        <v>754</v>
      </c>
      <c r="AJ227" s="835" t="s">
        <v>472</v>
      </c>
      <c r="AK227" s="835">
        <v>0</v>
      </c>
      <c r="AL227" s="836">
        <v>620</v>
      </c>
      <c r="AM227" s="839">
        <f t="shared" si="19"/>
        <v>0</v>
      </c>
      <c r="AN227" s="721"/>
      <c r="AO227" s="721"/>
      <c r="AP227" s="721"/>
      <c r="AQ227" s="721"/>
      <c r="AR227" s="721"/>
      <c r="AS227" s="721"/>
      <c r="AT227" s="721"/>
      <c r="AU227" s="721"/>
      <c r="AV227" s="721"/>
      <c r="AW227" s="721"/>
      <c r="AX227" s="721"/>
    </row>
    <row r="228" spans="1:50" ht="13.5" thickBot="1" x14ac:dyDescent="0.25">
      <c r="A228" s="1497"/>
      <c r="B228" s="917" t="s">
        <v>773</v>
      </c>
      <c r="C228" s="918" t="s">
        <v>720</v>
      </c>
      <c r="D228" s="918" t="s">
        <v>472</v>
      </c>
      <c r="E228" s="918">
        <v>0</v>
      </c>
      <c r="F228" s="919">
        <v>5290</v>
      </c>
      <c r="G228" s="920">
        <f t="shared" si="16"/>
        <v>0</v>
      </c>
      <c r="H228" s="721"/>
      <c r="I228" s="1481"/>
      <c r="J228" s="834" t="s">
        <v>780</v>
      </c>
      <c r="K228" s="835" t="s">
        <v>754</v>
      </c>
      <c r="L228" s="835" t="s">
        <v>452</v>
      </c>
      <c r="M228" s="835">
        <v>0</v>
      </c>
      <c r="N228" s="836">
        <v>690</v>
      </c>
      <c r="O228" s="907">
        <f t="shared" si="15"/>
        <v>0</v>
      </c>
      <c r="P228" s="721"/>
      <c r="Q228" s="1481"/>
      <c r="R228" s="834" t="s">
        <v>780</v>
      </c>
      <c r="S228" s="835" t="s">
        <v>754</v>
      </c>
      <c r="T228" s="845" t="s">
        <v>452</v>
      </c>
      <c r="U228" s="835">
        <v>0</v>
      </c>
      <c r="V228" s="836">
        <v>690</v>
      </c>
      <c r="W228" s="839">
        <f t="shared" si="17"/>
        <v>0</v>
      </c>
      <c r="X228" s="721"/>
      <c r="Y228" s="1481"/>
      <c r="Z228" s="834" t="s">
        <v>778</v>
      </c>
      <c r="AA228" s="835" t="s">
        <v>776</v>
      </c>
      <c r="AB228" s="835" t="s">
        <v>472</v>
      </c>
      <c r="AC228" s="835">
        <v>0</v>
      </c>
      <c r="AD228" s="836">
        <v>47900</v>
      </c>
      <c r="AE228" s="839">
        <f t="shared" si="18"/>
        <v>0</v>
      </c>
      <c r="AF228" s="721"/>
      <c r="AG228" s="1481"/>
      <c r="AH228" s="834" t="s">
        <v>765</v>
      </c>
      <c r="AI228" s="835" t="s">
        <v>754</v>
      </c>
      <c r="AJ228" s="835" t="s">
        <v>472</v>
      </c>
      <c r="AK228" s="835">
        <v>0</v>
      </c>
      <c r="AL228" s="836">
        <v>3450</v>
      </c>
      <c r="AM228" s="839">
        <f t="shared" si="19"/>
        <v>0</v>
      </c>
      <c r="AN228" s="721"/>
      <c r="AO228" s="721"/>
      <c r="AP228" s="721"/>
      <c r="AQ228" s="721"/>
      <c r="AR228" s="721"/>
      <c r="AS228" s="721"/>
      <c r="AT228" s="721"/>
      <c r="AU228" s="721"/>
      <c r="AV228" s="721"/>
      <c r="AW228" s="721"/>
      <c r="AX228" s="721"/>
    </row>
    <row r="229" spans="1:50" ht="13.5" thickBot="1" x14ac:dyDescent="0.25">
      <c r="A229" s="1497"/>
      <c r="B229" s="917" t="s">
        <v>774</v>
      </c>
      <c r="C229" s="918" t="s">
        <v>720</v>
      </c>
      <c r="D229" s="918" t="s">
        <v>472</v>
      </c>
      <c r="E229" s="918">
        <v>0</v>
      </c>
      <c r="F229" s="919">
        <v>119000</v>
      </c>
      <c r="G229" s="920">
        <f t="shared" si="16"/>
        <v>0</v>
      </c>
      <c r="H229" s="721"/>
      <c r="I229" s="1481"/>
      <c r="J229" s="834" t="s">
        <v>781</v>
      </c>
      <c r="K229" s="835" t="s">
        <v>754</v>
      </c>
      <c r="L229" s="835" t="s">
        <v>452</v>
      </c>
      <c r="M229" s="835">
        <v>4</v>
      </c>
      <c r="N229" s="836">
        <v>15900</v>
      </c>
      <c r="O229" s="907">
        <f t="shared" si="15"/>
        <v>63600</v>
      </c>
      <c r="P229" s="721"/>
      <c r="Q229" s="1481"/>
      <c r="R229" s="834" t="s">
        <v>781</v>
      </c>
      <c r="S229" s="835" t="s">
        <v>754</v>
      </c>
      <c r="T229" s="845" t="s">
        <v>452</v>
      </c>
      <c r="U229" s="835">
        <v>0</v>
      </c>
      <c r="V229" s="836">
        <v>15900</v>
      </c>
      <c r="W229" s="839">
        <f t="shared" si="17"/>
        <v>0</v>
      </c>
      <c r="X229" s="721"/>
      <c r="Y229" s="1481"/>
      <c r="Z229" s="834" t="s">
        <v>779</v>
      </c>
      <c r="AA229" s="835" t="s">
        <v>776</v>
      </c>
      <c r="AB229" s="835" t="s">
        <v>472</v>
      </c>
      <c r="AC229" s="835">
        <v>1</v>
      </c>
      <c r="AD229" s="836">
        <v>19900</v>
      </c>
      <c r="AE229" s="839">
        <f t="shared" si="18"/>
        <v>19900</v>
      </c>
      <c r="AF229" s="721"/>
      <c r="AG229" s="1481"/>
      <c r="AH229" s="921" t="s">
        <v>766</v>
      </c>
      <c r="AI229" s="835" t="s">
        <v>754</v>
      </c>
      <c r="AJ229" s="922" t="s">
        <v>472</v>
      </c>
      <c r="AK229" s="835">
        <v>0</v>
      </c>
      <c r="AL229" s="836">
        <v>59000</v>
      </c>
      <c r="AM229" s="839">
        <f t="shared" si="19"/>
        <v>0</v>
      </c>
      <c r="AN229" s="721"/>
      <c r="AO229" s="721"/>
      <c r="AP229" s="721"/>
      <c r="AQ229" s="721"/>
      <c r="AR229" s="721"/>
      <c r="AS229" s="721"/>
      <c r="AT229" s="721"/>
      <c r="AU229" s="721"/>
      <c r="AV229" s="721"/>
      <c r="AW229" s="721"/>
      <c r="AX229" s="721"/>
    </row>
    <row r="230" spans="1:50" ht="13.5" thickBot="1" x14ac:dyDescent="0.25">
      <c r="A230" s="1497"/>
      <c r="B230" s="917" t="s">
        <v>778</v>
      </c>
      <c r="C230" s="918" t="s">
        <v>776</v>
      </c>
      <c r="D230" s="918" t="s">
        <v>472</v>
      </c>
      <c r="E230" s="918">
        <v>0</v>
      </c>
      <c r="F230" s="919">
        <v>47900</v>
      </c>
      <c r="G230" s="920">
        <f t="shared" si="16"/>
        <v>0</v>
      </c>
      <c r="H230" s="721"/>
      <c r="I230" s="1481"/>
      <c r="J230" s="834" t="s">
        <v>782</v>
      </c>
      <c r="K230" s="835" t="s">
        <v>754</v>
      </c>
      <c r="L230" s="835" t="s">
        <v>452</v>
      </c>
      <c r="M230" s="835">
        <v>0</v>
      </c>
      <c r="N230" s="836">
        <v>6500</v>
      </c>
      <c r="O230" s="907">
        <f t="shared" si="15"/>
        <v>0</v>
      </c>
      <c r="P230" s="721"/>
      <c r="Q230" s="1481"/>
      <c r="R230" s="844" t="s">
        <v>782</v>
      </c>
      <c r="S230" s="835" t="s">
        <v>754</v>
      </c>
      <c r="T230" s="845" t="s">
        <v>452</v>
      </c>
      <c r="U230" s="845">
        <v>24</v>
      </c>
      <c r="V230" s="846">
        <v>6500</v>
      </c>
      <c r="W230" s="839">
        <f t="shared" si="17"/>
        <v>156000</v>
      </c>
      <c r="X230" s="721"/>
      <c r="Y230" s="1481"/>
      <c r="Z230" s="834" t="s">
        <v>780</v>
      </c>
      <c r="AA230" s="835" t="s">
        <v>754</v>
      </c>
      <c r="AB230" s="845" t="s">
        <v>452</v>
      </c>
      <c r="AC230" s="835">
        <v>0</v>
      </c>
      <c r="AD230" s="836">
        <v>690</v>
      </c>
      <c r="AE230" s="839">
        <f t="shared" si="18"/>
        <v>0</v>
      </c>
      <c r="AF230" s="721"/>
      <c r="AG230" s="1481"/>
      <c r="AH230" s="834" t="s">
        <v>767</v>
      </c>
      <c r="AI230" s="835" t="s">
        <v>720</v>
      </c>
      <c r="AJ230" s="835" t="s">
        <v>472</v>
      </c>
      <c r="AK230" s="835">
        <v>0</v>
      </c>
      <c r="AL230" s="836">
        <v>17900</v>
      </c>
      <c r="AM230" s="839">
        <f t="shared" si="19"/>
        <v>0</v>
      </c>
      <c r="AN230" s="721"/>
      <c r="AO230" s="721"/>
      <c r="AP230" s="721"/>
      <c r="AQ230" s="721"/>
      <c r="AR230" s="721"/>
      <c r="AS230" s="721"/>
      <c r="AT230" s="721"/>
      <c r="AU230" s="721"/>
      <c r="AV230" s="721"/>
      <c r="AW230" s="721"/>
      <c r="AX230" s="721"/>
    </row>
    <row r="231" spans="1:50" ht="13.5" thickBot="1" x14ac:dyDescent="0.25">
      <c r="A231" s="1497"/>
      <c r="B231" s="917" t="s">
        <v>779</v>
      </c>
      <c r="C231" s="918" t="s">
        <v>776</v>
      </c>
      <c r="D231" s="918" t="s">
        <v>472</v>
      </c>
      <c r="E231" s="918">
        <v>0</v>
      </c>
      <c r="F231" s="919">
        <v>19900</v>
      </c>
      <c r="G231" s="920">
        <f t="shared" si="16"/>
        <v>0</v>
      </c>
      <c r="H231" s="721"/>
      <c r="I231" s="1481"/>
      <c r="J231" s="844" t="s">
        <v>783</v>
      </c>
      <c r="K231" s="845" t="s">
        <v>720</v>
      </c>
      <c r="L231" s="845" t="s">
        <v>472</v>
      </c>
      <c r="M231" s="845">
        <v>10</v>
      </c>
      <c r="N231" s="846">
        <v>10900</v>
      </c>
      <c r="O231" s="924">
        <f t="shared" si="15"/>
        <v>109000</v>
      </c>
      <c r="P231" s="721"/>
      <c r="Q231" s="1495"/>
      <c r="R231" s="878" t="s">
        <v>783</v>
      </c>
      <c r="S231" s="879" t="s">
        <v>720</v>
      </c>
      <c r="T231" s="879" t="s">
        <v>472</v>
      </c>
      <c r="U231" s="879">
        <v>30</v>
      </c>
      <c r="V231" s="880">
        <v>10900</v>
      </c>
      <c r="W231" s="925">
        <f t="shared" si="17"/>
        <v>327000</v>
      </c>
      <c r="X231" s="721"/>
      <c r="Y231" s="1481"/>
      <c r="Z231" s="834" t="s">
        <v>781</v>
      </c>
      <c r="AA231" s="835" t="s">
        <v>754</v>
      </c>
      <c r="AB231" s="845" t="s">
        <v>452</v>
      </c>
      <c r="AC231" s="835">
        <v>0</v>
      </c>
      <c r="AD231" s="836">
        <v>15900</v>
      </c>
      <c r="AE231" s="839">
        <f t="shared" si="18"/>
        <v>0</v>
      </c>
      <c r="AF231" s="721"/>
      <c r="AG231" s="1481"/>
      <c r="AH231" s="834" t="s">
        <v>768</v>
      </c>
      <c r="AI231" s="835" t="s">
        <v>720</v>
      </c>
      <c r="AJ231" s="835" t="s">
        <v>472</v>
      </c>
      <c r="AK231" s="835">
        <v>0</v>
      </c>
      <c r="AL231" s="836">
        <v>24900</v>
      </c>
      <c r="AM231" s="839">
        <f t="shared" si="19"/>
        <v>0</v>
      </c>
      <c r="AN231" s="721"/>
      <c r="AO231" s="721"/>
      <c r="AP231" s="721"/>
      <c r="AQ231" s="721"/>
      <c r="AR231" s="721"/>
      <c r="AS231" s="721"/>
      <c r="AT231" s="721"/>
      <c r="AU231" s="721"/>
      <c r="AV231" s="721"/>
      <c r="AW231" s="721"/>
      <c r="AX231" s="721"/>
    </row>
    <row r="232" spans="1:50" ht="13.5" thickBot="1" x14ac:dyDescent="0.25">
      <c r="A232" s="1497"/>
      <c r="B232" s="923" t="s">
        <v>775</v>
      </c>
      <c r="C232" s="918" t="s">
        <v>776</v>
      </c>
      <c r="D232" s="918" t="s">
        <v>472</v>
      </c>
      <c r="E232" s="918">
        <v>2</v>
      </c>
      <c r="F232" s="919">
        <v>79990</v>
      </c>
      <c r="G232" s="920">
        <f t="shared" si="16"/>
        <v>159980</v>
      </c>
      <c r="H232" s="721"/>
      <c r="I232" s="926"/>
      <c r="J232" s="850"/>
      <c r="K232" s="850"/>
      <c r="L232" s="850"/>
      <c r="M232" s="851"/>
      <c r="N232" s="927" t="s">
        <v>209</v>
      </c>
      <c r="O232" s="928">
        <f>SUM(O206:O231)</f>
        <v>839370</v>
      </c>
      <c r="P232" s="721"/>
      <c r="Q232" s="929"/>
      <c r="R232" s="930"/>
      <c r="S232" s="930"/>
      <c r="T232" s="930"/>
      <c r="U232" s="931"/>
      <c r="V232" s="927" t="s">
        <v>209</v>
      </c>
      <c r="W232" s="932">
        <f>SUM(W206:W231)</f>
        <v>683800</v>
      </c>
      <c r="X232" s="721"/>
      <c r="Y232" s="1481"/>
      <c r="Z232" s="844" t="s">
        <v>782</v>
      </c>
      <c r="AA232" s="835" t="s">
        <v>754</v>
      </c>
      <c r="AB232" s="845" t="s">
        <v>452</v>
      </c>
      <c r="AC232" s="845">
        <v>0</v>
      </c>
      <c r="AD232" s="846">
        <v>6500</v>
      </c>
      <c r="AE232" s="839">
        <f t="shared" si="18"/>
        <v>0</v>
      </c>
      <c r="AF232" s="721"/>
      <c r="AG232" s="1481"/>
      <c r="AH232" s="834" t="s">
        <v>769</v>
      </c>
      <c r="AI232" s="835" t="s">
        <v>720</v>
      </c>
      <c r="AJ232" s="835" t="s">
        <v>472</v>
      </c>
      <c r="AK232" s="835">
        <v>0</v>
      </c>
      <c r="AL232" s="836">
        <v>12000</v>
      </c>
      <c r="AM232" s="839">
        <f t="shared" si="19"/>
        <v>0</v>
      </c>
      <c r="AN232" s="721"/>
      <c r="AO232" s="721"/>
      <c r="AP232" s="721"/>
      <c r="AQ232" s="721"/>
      <c r="AR232" s="721"/>
      <c r="AS232" s="721"/>
      <c r="AT232" s="721"/>
      <c r="AU232" s="721"/>
      <c r="AV232" s="721"/>
      <c r="AW232" s="721"/>
      <c r="AX232" s="721"/>
    </row>
    <row r="233" spans="1:50" ht="13.5" thickBot="1" x14ac:dyDescent="0.25">
      <c r="A233" s="1497"/>
      <c r="B233" s="933" t="s">
        <v>780</v>
      </c>
      <c r="C233" s="918" t="s">
        <v>754</v>
      </c>
      <c r="D233" s="918" t="s">
        <v>452</v>
      </c>
      <c r="E233" s="918">
        <v>0</v>
      </c>
      <c r="F233" s="919">
        <v>690</v>
      </c>
      <c r="G233" s="920">
        <f t="shared" si="16"/>
        <v>0</v>
      </c>
      <c r="H233" s="721"/>
      <c r="I233" s="721"/>
      <c r="J233" s="721"/>
      <c r="K233" s="721"/>
      <c r="L233" s="721"/>
      <c r="M233" s="721"/>
      <c r="N233" s="721"/>
      <c r="O233" s="721"/>
      <c r="P233" s="721"/>
      <c r="Q233" s="721"/>
      <c r="R233" s="721"/>
      <c r="S233" s="721"/>
      <c r="T233" s="721"/>
      <c r="U233" s="721"/>
      <c r="V233" s="721"/>
      <c r="W233" s="721"/>
      <c r="X233" s="721"/>
      <c r="Y233" s="1481"/>
      <c r="Z233" s="844" t="s">
        <v>783</v>
      </c>
      <c r="AA233" s="845" t="s">
        <v>720</v>
      </c>
      <c r="AB233" s="845" t="s">
        <v>472</v>
      </c>
      <c r="AC233" s="845">
        <v>30</v>
      </c>
      <c r="AD233" s="846">
        <v>10900</v>
      </c>
      <c r="AE233" s="859">
        <f t="shared" si="18"/>
        <v>327000</v>
      </c>
      <c r="AF233" s="721"/>
      <c r="AG233" s="1481"/>
      <c r="AH233" s="834" t="s">
        <v>770</v>
      </c>
      <c r="AI233" s="835" t="s">
        <v>720</v>
      </c>
      <c r="AJ233" s="845" t="s">
        <v>452</v>
      </c>
      <c r="AK233" s="835">
        <v>30</v>
      </c>
      <c r="AL233" s="836">
        <v>1390</v>
      </c>
      <c r="AM233" s="839">
        <f t="shared" si="19"/>
        <v>41700</v>
      </c>
      <c r="AN233" s="721"/>
      <c r="AO233" s="721"/>
      <c r="AP233" s="721"/>
      <c r="AQ233" s="721"/>
      <c r="AR233" s="721"/>
      <c r="AS233" s="721"/>
      <c r="AT233" s="721"/>
      <c r="AU233" s="721"/>
      <c r="AV233" s="721"/>
      <c r="AW233" s="721"/>
      <c r="AX233" s="721"/>
    </row>
    <row r="234" spans="1:50" ht="13.5" thickBot="1" x14ac:dyDescent="0.25">
      <c r="A234" s="1497"/>
      <c r="B234" s="933" t="s">
        <v>781</v>
      </c>
      <c r="C234" s="918" t="s">
        <v>754</v>
      </c>
      <c r="D234" s="918" t="s">
        <v>452</v>
      </c>
      <c r="E234" s="918">
        <v>0</v>
      </c>
      <c r="F234" s="919">
        <v>15900</v>
      </c>
      <c r="G234" s="920">
        <f t="shared" si="16"/>
        <v>0</v>
      </c>
      <c r="H234" s="721"/>
      <c r="I234" s="721"/>
      <c r="J234" s="721"/>
      <c r="K234" s="721"/>
      <c r="L234" s="721"/>
      <c r="M234" s="721"/>
      <c r="N234" s="721"/>
      <c r="O234" s="721"/>
      <c r="P234" s="721"/>
      <c r="Q234" s="721"/>
      <c r="R234" s="721"/>
      <c r="S234" s="721"/>
      <c r="T234" s="721"/>
      <c r="U234" s="721"/>
      <c r="V234" s="721"/>
      <c r="W234" s="721"/>
      <c r="X234" s="721"/>
      <c r="Y234" s="934"/>
      <c r="Z234" s="927"/>
      <c r="AA234" s="927"/>
      <c r="AB234" s="927"/>
      <c r="AC234" s="927"/>
      <c r="AD234" s="927" t="s">
        <v>209</v>
      </c>
      <c r="AE234" s="932">
        <f>SUM(AE208:AE233)</f>
        <v>854600</v>
      </c>
      <c r="AF234" s="721"/>
      <c r="AG234" s="1481"/>
      <c r="AH234" s="834" t="s">
        <v>771</v>
      </c>
      <c r="AI234" s="835" t="s">
        <v>720</v>
      </c>
      <c r="AJ234" s="845" t="s">
        <v>452</v>
      </c>
      <c r="AK234" s="835">
        <v>30</v>
      </c>
      <c r="AL234" s="836">
        <v>1290</v>
      </c>
      <c r="AM234" s="839">
        <f t="shared" si="19"/>
        <v>38700</v>
      </c>
      <c r="AN234" s="721"/>
      <c r="AO234" s="721"/>
      <c r="AP234" s="721"/>
      <c r="AQ234" s="721"/>
      <c r="AR234" s="721"/>
      <c r="AS234" s="721"/>
      <c r="AT234" s="721"/>
      <c r="AU234" s="721"/>
      <c r="AV234" s="721"/>
      <c r="AW234" s="721"/>
      <c r="AX234" s="721"/>
    </row>
    <row r="235" spans="1:50" ht="13.5" thickBot="1" x14ac:dyDescent="0.25">
      <c r="A235" s="1497"/>
      <c r="B235" s="933" t="s">
        <v>782</v>
      </c>
      <c r="C235" s="918" t="s">
        <v>754</v>
      </c>
      <c r="D235" s="918" t="s">
        <v>452</v>
      </c>
      <c r="E235" s="918">
        <v>0</v>
      </c>
      <c r="F235" s="919">
        <v>6500</v>
      </c>
      <c r="G235" s="920">
        <f t="shared" si="16"/>
        <v>0</v>
      </c>
      <c r="H235" s="721"/>
      <c r="I235" s="721"/>
      <c r="J235" s="721"/>
      <c r="K235" s="721"/>
      <c r="L235" s="721"/>
      <c r="M235" s="721"/>
      <c r="N235" s="721"/>
      <c r="O235" s="721"/>
      <c r="P235" s="721"/>
      <c r="Q235" s="721"/>
      <c r="R235" s="721"/>
      <c r="S235" s="721"/>
      <c r="T235" s="721"/>
      <c r="U235" s="721"/>
      <c r="V235" s="721"/>
      <c r="W235" s="721"/>
      <c r="X235" s="721"/>
      <c r="Y235" s="721"/>
      <c r="Z235" s="721"/>
      <c r="AA235" s="721"/>
      <c r="AB235" s="721"/>
      <c r="AC235" s="721"/>
      <c r="AD235" s="721"/>
      <c r="AE235" s="721"/>
      <c r="AF235" s="721"/>
      <c r="AG235" s="1481"/>
      <c r="AH235" s="834" t="s">
        <v>772</v>
      </c>
      <c r="AI235" s="835" t="s">
        <v>720</v>
      </c>
      <c r="AJ235" s="845" t="s">
        <v>452</v>
      </c>
      <c r="AK235" s="835">
        <v>30</v>
      </c>
      <c r="AL235" s="836">
        <v>1290</v>
      </c>
      <c r="AM235" s="839">
        <f t="shared" si="19"/>
        <v>38700</v>
      </c>
      <c r="AN235" s="721"/>
      <c r="AO235" s="721"/>
      <c r="AP235" s="721"/>
      <c r="AQ235" s="721"/>
      <c r="AR235" s="721"/>
      <c r="AS235" s="721"/>
      <c r="AT235" s="721"/>
      <c r="AU235" s="721"/>
      <c r="AV235" s="721"/>
      <c r="AW235" s="721"/>
      <c r="AX235" s="721"/>
    </row>
    <row r="236" spans="1:50" ht="13.5" thickBot="1" x14ac:dyDescent="0.25">
      <c r="A236" s="1497"/>
      <c r="B236" s="933" t="s">
        <v>783</v>
      </c>
      <c r="C236" s="918" t="s">
        <v>754</v>
      </c>
      <c r="D236" s="918" t="s">
        <v>472</v>
      </c>
      <c r="E236" s="918">
        <v>0</v>
      </c>
      <c r="F236" s="919">
        <v>10900</v>
      </c>
      <c r="G236" s="920">
        <f t="shared" si="16"/>
        <v>0</v>
      </c>
      <c r="H236" s="721"/>
      <c r="I236" s="721"/>
      <c r="J236" s="721"/>
      <c r="K236" s="721"/>
      <c r="L236" s="721"/>
      <c r="M236" s="721"/>
      <c r="N236" s="721"/>
      <c r="O236" s="721"/>
      <c r="P236" s="721"/>
      <c r="Q236" s="721"/>
      <c r="R236" s="721"/>
      <c r="S236" s="721"/>
      <c r="T236" s="721"/>
      <c r="U236" s="721"/>
      <c r="V236" s="721"/>
      <c r="W236" s="721"/>
      <c r="X236" s="721"/>
      <c r="Y236" s="721"/>
      <c r="Z236" s="721"/>
      <c r="AA236" s="721"/>
      <c r="AB236" s="721"/>
      <c r="AC236" s="721"/>
      <c r="AD236" s="721"/>
      <c r="AE236" s="721"/>
      <c r="AF236" s="721"/>
      <c r="AG236" s="1481"/>
      <c r="AH236" s="834" t="s">
        <v>773</v>
      </c>
      <c r="AI236" s="835" t="s">
        <v>720</v>
      </c>
      <c r="AJ236" s="835" t="s">
        <v>472</v>
      </c>
      <c r="AK236" s="835">
        <v>0</v>
      </c>
      <c r="AL236" s="836">
        <v>5290</v>
      </c>
      <c r="AM236" s="839">
        <f t="shared" si="19"/>
        <v>0</v>
      </c>
      <c r="AN236" s="721"/>
      <c r="AO236" s="721"/>
      <c r="AP236" s="721"/>
      <c r="AQ236" s="721"/>
      <c r="AR236" s="721"/>
      <c r="AS236" s="721"/>
      <c r="AT236" s="721"/>
      <c r="AU236" s="721"/>
      <c r="AV236" s="721"/>
      <c r="AW236" s="721"/>
      <c r="AX236" s="721"/>
    </row>
    <row r="237" spans="1:50" ht="13.5" thickBot="1" x14ac:dyDescent="0.25">
      <c r="A237" s="913"/>
      <c r="B237" s="923" t="s">
        <v>594</v>
      </c>
      <c r="C237" s="918" t="s">
        <v>784</v>
      </c>
      <c r="D237" s="918" t="s">
        <v>472</v>
      </c>
      <c r="E237" s="918">
        <v>0</v>
      </c>
      <c r="F237" s="919">
        <v>39990</v>
      </c>
      <c r="G237" s="920">
        <f t="shared" si="16"/>
        <v>0</v>
      </c>
      <c r="H237" s="721"/>
      <c r="I237" s="721"/>
      <c r="J237" s="721"/>
      <c r="K237" s="721"/>
      <c r="L237" s="721"/>
      <c r="M237" s="721"/>
      <c r="N237" s="721"/>
      <c r="O237" s="721"/>
      <c r="P237" s="721"/>
      <c r="Q237" s="721"/>
      <c r="R237" s="721"/>
      <c r="S237" s="721"/>
      <c r="T237" s="721"/>
      <c r="U237" s="721"/>
      <c r="V237" s="721"/>
      <c r="W237" s="721"/>
      <c r="X237" s="721"/>
      <c r="Y237" s="721"/>
      <c r="Z237" s="721"/>
      <c r="AA237" s="721"/>
      <c r="AB237" s="721"/>
      <c r="AC237" s="721"/>
      <c r="AD237" s="721"/>
      <c r="AE237" s="721"/>
      <c r="AF237" s="721"/>
      <c r="AG237" s="1481"/>
      <c r="AH237" s="834" t="s">
        <v>774</v>
      </c>
      <c r="AI237" s="835" t="s">
        <v>720</v>
      </c>
      <c r="AJ237" s="835" t="s">
        <v>472</v>
      </c>
      <c r="AK237" s="835">
        <v>0</v>
      </c>
      <c r="AL237" s="836">
        <v>119000</v>
      </c>
      <c r="AM237" s="839">
        <f t="shared" si="19"/>
        <v>0</v>
      </c>
      <c r="AN237" s="721"/>
      <c r="AO237" s="721"/>
      <c r="AP237" s="721"/>
      <c r="AQ237" s="721"/>
      <c r="AR237" s="721"/>
      <c r="AS237" s="721"/>
      <c r="AT237" s="721"/>
      <c r="AU237" s="721"/>
      <c r="AV237" s="721"/>
      <c r="AW237" s="721"/>
      <c r="AX237" s="721"/>
    </row>
    <row r="238" spans="1:50" ht="13.5" thickBot="1" x14ac:dyDescent="0.25">
      <c r="A238" s="913"/>
      <c r="B238" s="935" t="s">
        <v>785</v>
      </c>
      <c r="C238" s="936" t="s">
        <v>784</v>
      </c>
      <c r="D238" s="936" t="s">
        <v>472</v>
      </c>
      <c r="E238" s="936">
        <v>0</v>
      </c>
      <c r="F238" s="937">
        <v>23990</v>
      </c>
      <c r="G238" s="938">
        <f t="shared" si="16"/>
        <v>0</v>
      </c>
      <c r="H238" s="721"/>
      <c r="I238" s="721"/>
      <c r="J238" s="721"/>
      <c r="K238" s="721"/>
      <c r="L238" s="721"/>
      <c r="M238" s="721"/>
      <c r="N238" s="721"/>
      <c r="O238" s="721"/>
      <c r="P238" s="721"/>
      <c r="Q238" s="721"/>
      <c r="R238" s="721"/>
      <c r="S238" s="721"/>
      <c r="T238" s="721"/>
      <c r="U238" s="721"/>
      <c r="V238" s="721"/>
      <c r="W238" s="721"/>
      <c r="X238" s="721"/>
      <c r="Y238" s="721"/>
      <c r="Z238" s="721"/>
      <c r="AA238" s="721"/>
      <c r="AB238" s="721"/>
      <c r="AC238" s="721"/>
      <c r="AD238" s="721"/>
      <c r="AE238" s="721"/>
      <c r="AF238" s="721"/>
      <c r="AG238" s="1481"/>
      <c r="AH238" s="834" t="s">
        <v>777</v>
      </c>
      <c r="AI238" s="835" t="s">
        <v>720</v>
      </c>
      <c r="AJ238" s="835" t="s">
        <v>503</v>
      </c>
      <c r="AK238" s="835">
        <v>0</v>
      </c>
      <c r="AL238" s="836">
        <v>149900</v>
      </c>
      <c r="AM238" s="839">
        <f t="shared" si="19"/>
        <v>0</v>
      </c>
      <c r="AN238" s="721"/>
      <c r="AO238" s="721"/>
      <c r="AP238" s="721"/>
      <c r="AQ238" s="721"/>
      <c r="AR238" s="721"/>
      <c r="AS238" s="721"/>
      <c r="AT238" s="721"/>
      <c r="AU238" s="721"/>
      <c r="AV238" s="721"/>
      <c r="AW238" s="721"/>
      <c r="AX238" s="721"/>
    </row>
    <row r="239" spans="1:50" ht="13.5" thickBot="1" x14ac:dyDescent="0.25">
      <c r="A239" s="939"/>
      <c r="B239" s="940"/>
      <c r="C239" s="940"/>
      <c r="D239" s="940"/>
      <c r="E239" s="940"/>
      <c r="F239" s="941" t="s">
        <v>209</v>
      </c>
      <c r="G239" s="942">
        <f>SUM(G212:G238)</f>
        <v>159980</v>
      </c>
      <c r="H239" s="721"/>
      <c r="I239" s="721"/>
      <c r="J239" s="721"/>
      <c r="K239" s="721"/>
      <c r="L239" s="721"/>
      <c r="M239" s="721"/>
      <c r="N239" s="721"/>
      <c r="O239" s="721"/>
      <c r="P239" s="721"/>
      <c r="Q239" s="721"/>
      <c r="R239" s="721"/>
      <c r="S239" s="721"/>
      <c r="T239" s="721"/>
      <c r="U239" s="721"/>
      <c r="V239" s="721"/>
      <c r="W239" s="721"/>
      <c r="X239" s="721"/>
      <c r="Y239" s="721"/>
      <c r="Z239" s="721"/>
      <c r="AA239" s="721"/>
      <c r="AB239" s="721"/>
      <c r="AC239" s="721"/>
      <c r="AD239" s="721"/>
      <c r="AE239" s="721"/>
      <c r="AF239" s="721"/>
      <c r="AG239" s="1481"/>
      <c r="AH239" s="834" t="s">
        <v>778</v>
      </c>
      <c r="AI239" s="835" t="s">
        <v>776</v>
      </c>
      <c r="AJ239" s="835" t="s">
        <v>472</v>
      </c>
      <c r="AK239" s="835">
        <v>0</v>
      </c>
      <c r="AL239" s="836">
        <v>47900</v>
      </c>
      <c r="AM239" s="839">
        <f t="shared" si="19"/>
        <v>0</v>
      </c>
      <c r="AN239" s="721"/>
      <c r="AO239" s="721"/>
      <c r="AP239" s="721"/>
      <c r="AQ239" s="721"/>
      <c r="AR239" s="721"/>
      <c r="AS239" s="721"/>
      <c r="AT239" s="721"/>
      <c r="AU239" s="721"/>
      <c r="AV239" s="721"/>
      <c r="AW239" s="721"/>
      <c r="AX239" s="721"/>
    </row>
    <row r="240" spans="1:50" ht="13.5" thickBot="1" x14ac:dyDescent="0.25">
      <c r="A240" s="721"/>
      <c r="B240" s="721"/>
      <c r="C240" s="721"/>
      <c r="D240" s="721"/>
      <c r="E240" s="721"/>
      <c r="F240" s="721"/>
      <c r="G240" s="721"/>
      <c r="H240" s="721"/>
      <c r="I240" s="721"/>
      <c r="J240" s="721"/>
      <c r="K240" s="721"/>
      <c r="L240" s="721"/>
      <c r="M240" s="721"/>
      <c r="N240" s="721"/>
      <c r="O240" s="721"/>
      <c r="P240" s="721"/>
      <c r="Q240" s="721"/>
      <c r="R240" s="721"/>
      <c r="S240" s="721"/>
      <c r="T240" s="721"/>
      <c r="U240" s="721"/>
      <c r="V240" s="721"/>
      <c r="W240" s="721"/>
      <c r="X240" s="721"/>
      <c r="Y240" s="721"/>
      <c r="Z240" s="721"/>
      <c r="AA240" s="721"/>
      <c r="AB240" s="721"/>
      <c r="AC240" s="721"/>
      <c r="AD240" s="721"/>
      <c r="AE240" s="721"/>
      <c r="AF240" s="721"/>
      <c r="AG240" s="1481"/>
      <c r="AH240" s="834" t="s">
        <v>779</v>
      </c>
      <c r="AI240" s="835" t="s">
        <v>776</v>
      </c>
      <c r="AJ240" s="835" t="s">
        <v>472</v>
      </c>
      <c r="AK240" s="835">
        <v>2</v>
      </c>
      <c r="AL240" s="836">
        <v>19900</v>
      </c>
      <c r="AM240" s="839">
        <f t="shared" si="19"/>
        <v>39800</v>
      </c>
      <c r="AN240" s="721"/>
      <c r="AO240" s="721"/>
      <c r="AP240" s="721"/>
      <c r="AQ240" s="721"/>
      <c r="AR240" s="721"/>
      <c r="AS240" s="721"/>
      <c r="AT240" s="721"/>
      <c r="AU240" s="721"/>
      <c r="AV240" s="721"/>
      <c r="AW240" s="721"/>
      <c r="AX240" s="721"/>
    </row>
    <row r="241" spans="1:50" ht="13.5" thickBot="1" x14ac:dyDescent="0.25">
      <c r="A241" s="721"/>
      <c r="B241" s="721"/>
      <c r="C241" s="721"/>
      <c r="D241" s="721"/>
      <c r="E241" s="721"/>
      <c r="F241" s="721"/>
      <c r="G241" s="721"/>
      <c r="H241" s="721"/>
      <c r="I241" s="721"/>
      <c r="J241" s="721"/>
      <c r="K241" s="721"/>
      <c r="L241" s="721"/>
      <c r="M241" s="721"/>
      <c r="N241" s="721"/>
      <c r="O241" s="721"/>
      <c r="P241" s="721"/>
      <c r="Q241" s="721"/>
      <c r="R241" s="721"/>
      <c r="S241" s="721"/>
      <c r="T241" s="721"/>
      <c r="U241" s="721"/>
      <c r="V241" s="721"/>
      <c r="W241" s="721"/>
      <c r="X241" s="721"/>
      <c r="Y241" s="721"/>
      <c r="Z241" s="721"/>
      <c r="AA241" s="721"/>
      <c r="AB241" s="721"/>
      <c r="AC241" s="721"/>
      <c r="AD241" s="721"/>
      <c r="AE241" s="721"/>
      <c r="AF241" s="721"/>
      <c r="AG241" s="1481"/>
      <c r="AH241" s="834" t="s">
        <v>780</v>
      </c>
      <c r="AI241" s="835" t="s">
        <v>754</v>
      </c>
      <c r="AJ241" s="845" t="s">
        <v>452</v>
      </c>
      <c r="AK241" s="835">
        <v>30</v>
      </c>
      <c r="AL241" s="836">
        <v>690</v>
      </c>
      <c r="AM241" s="839">
        <f t="shared" si="19"/>
        <v>20700</v>
      </c>
      <c r="AN241" s="721"/>
      <c r="AO241" s="721"/>
      <c r="AP241" s="721"/>
      <c r="AQ241" s="721"/>
      <c r="AR241" s="721"/>
      <c r="AS241" s="721"/>
      <c r="AT241" s="721"/>
      <c r="AU241" s="721"/>
      <c r="AV241" s="721"/>
      <c r="AW241" s="721"/>
      <c r="AX241" s="721"/>
    </row>
    <row r="242" spans="1:50" ht="13.5" thickBot="1" x14ac:dyDescent="0.25">
      <c r="A242" s="721"/>
      <c r="B242" s="721"/>
      <c r="C242" s="721"/>
      <c r="D242" s="721"/>
      <c r="E242" s="721"/>
      <c r="F242" s="721"/>
      <c r="G242" s="721"/>
      <c r="H242" s="721"/>
      <c r="I242" s="721"/>
      <c r="J242" s="721"/>
      <c r="K242" s="721"/>
      <c r="L242" s="721"/>
      <c r="M242" s="721"/>
      <c r="N242" s="721"/>
      <c r="O242" s="721"/>
      <c r="P242" s="721"/>
      <c r="Q242" s="721"/>
      <c r="R242" s="721"/>
      <c r="S242" s="721"/>
      <c r="T242" s="721"/>
      <c r="U242" s="721"/>
      <c r="V242" s="721"/>
      <c r="W242" s="721"/>
      <c r="X242" s="721"/>
      <c r="Y242" s="721"/>
      <c r="Z242" s="721"/>
      <c r="AA242" s="721"/>
      <c r="AB242" s="721"/>
      <c r="AC242" s="721"/>
      <c r="AD242" s="721"/>
      <c r="AE242" s="721"/>
      <c r="AF242" s="721"/>
      <c r="AG242" s="1481"/>
      <c r="AH242" s="834" t="s">
        <v>781</v>
      </c>
      <c r="AI242" s="835" t="s">
        <v>754</v>
      </c>
      <c r="AJ242" s="845" t="s">
        <v>452</v>
      </c>
      <c r="AK242" s="835">
        <v>10</v>
      </c>
      <c r="AL242" s="836">
        <v>15900</v>
      </c>
      <c r="AM242" s="839">
        <f t="shared" si="19"/>
        <v>159000</v>
      </c>
      <c r="AN242" s="721"/>
      <c r="AO242" s="721"/>
      <c r="AP242" s="721"/>
      <c r="AQ242" s="721"/>
      <c r="AR242" s="721"/>
      <c r="AS242" s="721"/>
      <c r="AT242" s="721"/>
      <c r="AU242" s="721"/>
      <c r="AV242" s="721"/>
      <c r="AW242" s="721"/>
      <c r="AX242" s="721"/>
    </row>
    <row r="243" spans="1:50" ht="13.5" thickBot="1" x14ac:dyDescent="0.25">
      <c r="A243" s="721"/>
      <c r="B243" s="721"/>
      <c r="C243" s="721"/>
      <c r="D243" s="721"/>
      <c r="E243" s="721"/>
      <c r="F243" s="721"/>
      <c r="G243" s="721"/>
      <c r="H243" s="721"/>
      <c r="I243" s="721"/>
      <c r="J243" s="721"/>
      <c r="K243" s="721"/>
      <c r="L243" s="721"/>
      <c r="M243" s="721"/>
      <c r="N243" s="721"/>
      <c r="O243" s="721"/>
      <c r="P243" s="721"/>
      <c r="Q243" s="721"/>
      <c r="R243" s="721"/>
      <c r="S243" s="721"/>
      <c r="T243" s="721"/>
      <c r="U243" s="721"/>
      <c r="V243" s="721"/>
      <c r="W243" s="721"/>
      <c r="X243" s="721"/>
      <c r="Y243" s="721"/>
      <c r="Z243" s="721"/>
      <c r="AA243" s="721"/>
      <c r="AB243" s="721"/>
      <c r="AC243" s="721"/>
      <c r="AD243" s="721"/>
      <c r="AE243" s="721"/>
      <c r="AF243" s="721"/>
      <c r="AG243" s="1481"/>
      <c r="AH243" s="844" t="s">
        <v>782</v>
      </c>
      <c r="AI243" s="845" t="s">
        <v>754</v>
      </c>
      <c r="AJ243" s="845" t="s">
        <v>452</v>
      </c>
      <c r="AK243" s="845">
        <v>30</v>
      </c>
      <c r="AL243" s="846">
        <v>650</v>
      </c>
      <c r="AM243" s="839">
        <f t="shared" si="19"/>
        <v>19500</v>
      </c>
      <c r="AN243" s="721"/>
      <c r="AO243" s="721"/>
      <c r="AP243" s="721"/>
      <c r="AQ243" s="721"/>
      <c r="AR243" s="721"/>
      <c r="AS243" s="721"/>
      <c r="AT243" s="721"/>
      <c r="AU243" s="721"/>
      <c r="AV243" s="721"/>
      <c r="AW243" s="721"/>
      <c r="AX243" s="721"/>
    </row>
    <row r="244" spans="1:50" ht="13.5" thickBot="1" x14ac:dyDescent="0.25">
      <c r="A244" s="721"/>
      <c r="B244" s="721"/>
      <c r="C244" s="721"/>
      <c r="D244" s="721"/>
      <c r="E244" s="721"/>
      <c r="F244" s="721"/>
      <c r="G244" s="721"/>
      <c r="H244" s="721"/>
      <c r="I244" s="721"/>
      <c r="J244" s="721"/>
      <c r="K244" s="721"/>
      <c r="L244" s="721"/>
      <c r="M244" s="721"/>
      <c r="N244" s="721"/>
      <c r="O244" s="721"/>
      <c r="P244" s="721"/>
      <c r="Q244" s="721"/>
      <c r="R244" s="721"/>
      <c r="S244" s="721"/>
      <c r="T244" s="721"/>
      <c r="U244" s="721"/>
      <c r="V244" s="721"/>
      <c r="W244" s="721"/>
      <c r="X244" s="721"/>
      <c r="Y244" s="721"/>
      <c r="Z244" s="721"/>
      <c r="AA244" s="721"/>
      <c r="AB244" s="721"/>
      <c r="AC244" s="721"/>
      <c r="AD244" s="721"/>
      <c r="AE244" s="721"/>
      <c r="AF244" s="721"/>
      <c r="AG244" s="1481"/>
      <c r="AH244" s="943" t="s">
        <v>786</v>
      </c>
      <c r="AI244" s="835" t="s">
        <v>720</v>
      </c>
      <c r="AJ244" s="944" t="s">
        <v>452</v>
      </c>
      <c r="AK244" s="835">
        <v>0</v>
      </c>
      <c r="AL244" s="836">
        <v>3900</v>
      </c>
      <c r="AM244" s="839">
        <f t="shared" si="19"/>
        <v>0</v>
      </c>
      <c r="AN244" s="721"/>
      <c r="AO244" s="721"/>
      <c r="AP244" s="721"/>
      <c r="AQ244" s="721"/>
      <c r="AR244" s="721"/>
      <c r="AS244" s="721"/>
      <c r="AT244" s="721"/>
      <c r="AU244" s="721"/>
      <c r="AV244" s="721"/>
      <c r="AW244" s="721"/>
      <c r="AX244" s="721"/>
    </row>
    <row r="245" spans="1:50" ht="13.5" thickBot="1" x14ac:dyDescent="0.25">
      <c r="A245" s="721"/>
      <c r="B245" s="721"/>
      <c r="C245" s="721"/>
      <c r="D245" s="721"/>
      <c r="E245" s="721"/>
      <c r="F245" s="721"/>
      <c r="G245" s="721"/>
      <c r="H245" s="721"/>
      <c r="I245" s="721"/>
      <c r="J245" s="721"/>
      <c r="K245" s="721"/>
      <c r="L245" s="721"/>
      <c r="M245" s="721"/>
      <c r="N245" s="721"/>
      <c r="O245" s="721"/>
      <c r="P245" s="721"/>
      <c r="Q245" s="721"/>
      <c r="R245" s="721"/>
      <c r="S245" s="721"/>
      <c r="T245" s="721"/>
      <c r="U245" s="721"/>
      <c r="V245" s="721"/>
      <c r="W245" s="721"/>
      <c r="X245" s="721"/>
      <c r="Y245" s="721"/>
      <c r="Z245" s="721"/>
      <c r="AA245" s="721"/>
      <c r="AB245" s="721"/>
      <c r="AC245" s="721"/>
      <c r="AD245" s="721"/>
      <c r="AE245" s="721"/>
      <c r="AF245" s="721"/>
      <c r="AG245" s="1481"/>
      <c r="AH245" s="834" t="s">
        <v>787</v>
      </c>
      <c r="AI245" s="835" t="s">
        <v>776</v>
      </c>
      <c r="AJ245" s="835" t="s">
        <v>452</v>
      </c>
      <c r="AK245" s="835">
        <v>1</v>
      </c>
      <c r="AL245" s="836">
        <v>47770</v>
      </c>
      <c r="AM245" s="839">
        <f t="shared" si="19"/>
        <v>47770</v>
      </c>
      <c r="AN245" s="721"/>
      <c r="AO245" s="721"/>
      <c r="AP245" s="721"/>
      <c r="AQ245" s="721"/>
      <c r="AR245" s="721"/>
      <c r="AS245" s="721"/>
      <c r="AT245" s="721"/>
      <c r="AU245" s="721"/>
      <c r="AV245" s="721"/>
      <c r="AW245" s="721"/>
      <c r="AX245" s="721"/>
    </row>
    <row r="246" spans="1:50" ht="13.5" thickBot="1" x14ac:dyDescent="0.25">
      <c r="A246" s="721"/>
      <c r="B246" s="721"/>
      <c r="C246" s="721"/>
      <c r="D246" s="721"/>
      <c r="E246" s="721"/>
      <c r="F246" s="721"/>
      <c r="G246" s="721"/>
      <c r="H246" s="721"/>
      <c r="I246" s="721"/>
      <c r="J246" s="721"/>
      <c r="K246" s="721"/>
      <c r="L246" s="721"/>
      <c r="M246" s="721"/>
      <c r="N246" s="721"/>
      <c r="O246" s="721"/>
      <c r="P246" s="721"/>
      <c r="Q246" s="721"/>
      <c r="R246" s="721"/>
      <c r="S246" s="721"/>
      <c r="T246" s="721"/>
      <c r="U246" s="721"/>
      <c r="V246" s="721"/>
      <c r="W246" s="721"/>
      <c r="X246" s="721"/>
      <c r="Y246" s="721"/>
      <c r="Z246" s="721"/>
      <c r="AA246" s="721"/>
      <c r="AB246" s="721"/>
      <c r="AC246" s="721"/>
      <c r="AD246" s="721"/>
      <c r="AE246" s="721"/>
      <c r="AF246" s="721"/>
      <c r="AG246" s="1481"/>
      <c r="AH246" s="834" t="s">
        <v>788</v>
      </c>
      <c r="AI246" s="835"/>
      <c r="AJ246" s="835" t="s">
        <v>472</v>
      </c>
      <c r="AK246" s="835">
        <v>0</v>
      </c>
      <c r="AL246" s="836">
        <v>1300000</v>
      </c>
      <c r="AM246" s="839">
        <f t="shared" si="19"/>
        <v>0</v>
      </c>
      <c r="AN246" s="721"/>
      <c r="AO246" s="721"/>
      <c r="AP246" s="721"/>
      <c r="AQ246" s="721"/>
      <c r="AR246" s="721"/>
      <c r="AS246" s="721"/>
      <c r="AT246" s="721"/>
      <c r="AU246" s="721"/>
      <c r="AV246" s="721"/>
      <c r="AW246" s="721"/>
      <c r="AX246" s="721"/>
    </row>
    <row r="247" spans="1:50" ht="13.5" thickBot="1" x14ac:dyDescent="0.25">
      <c r="A247" s="721"/>
      <c r="B247" s="721"/>
      <c r="C247" s="721"/>
      <c r="D247" s="721"/>
      <c r="E247" s="721"/>
      <c r="F247" s="721"/>
      <c r="G247" s="721"/>
      <c r="H247" s="721"/>
      <c r="I247" s="721"/>
      <c r="J247" s="721"/>
      <c r="K247" s="721"/>
      <c r="L247" s="721"/>
      <c r="M247" s="721"/>
      <c r="N247" s="721"/>
      <c r="O247" s="721"/>
      <c r="P247" s="721"/>
      <c r="Q247" s="721"/>
      <c r="R247" s="721"/>
      <c r="S247" s="721"/>
      <c r="T247" s="721"/>
      <c r="U247" s="721"/>
      <c r="V247" s="721"/>
      <c r="W247" s="721"/>
      <c r="X247" s="721"/>
      <c r="Y247" s="721"/>
      <c r="Z247" s="721"/>
      <c r="AA247" s="721"/>
      <c r="AB247" s="721"/>
      <c r="AC247" s="721"/>
      <c r="AD247" s="721"/>
      <c r="AE247" s="721"/>
      <c r="AF247" s="721"/>
      <c r="AG247" s="1481"/>
      <c r="AH247" s="921" t="s">
        <v>783</v>
      </c>
      <c r="AI247" s="922" t="s">
        <v>789</v>
      </c>
      <c r="AJ247" s="922" t="s">
        <v>472</v>
      </c>
      <c r="AK247" s="922">
        <v>40</v>
      </c>
      <c r="AL247" s="945">
        <v>10900</v>
      </c>
      <c r="AM247" s="859">
        <f t="shared" si="19"/>
        <v>436000</v>
      </c>
      <c r="AN247" s="721"/>
      <c r="AO247" s="721"/>
      <c r="AP247" s="721"/>
      <c r="AQ247" s="721"/>
      <c r="AR247" s="721"/>
      <c r="AS247" s="721"/>
      <c r="AT247" s="721"/>
      <c r="AU247" s="721"/>
      <c r="AV247" s="721"/>
      <c r="AW247" s="721"/>
      <c r="AX247" s="721"/>
    </row>
    <row r="248" spans="1:50" ht="13.5" thickBot="1" x14ac:dyDescent="0.25">
      <c r="A248" s="721"/>
      <c r="B248" s="721"/>
      <c r="C248" s="721"/>
      <c r="D248" s="721"/>
      <c r="E248" s="721"/>
      <c r="F248" s="721"/>
      <c r="G248" s="721"/>
      <c r="H248" s="721"/>
      <c r="I248" s="721"/>
      <c r="J248" s="721"/>
      <c r="K248" s="721"/>
      <c r="L248" s="721"/>
      <c r="M248" s="721"/>
      <c r="N248" s="721"/>
      <c r="O248" s="721"/>
      <c r="P248" s="721"/>
      <c r="Q248" s="721"/>
      <c r="R248" s="721"/>
      <c r="S248" s="721"/>
      <c r="T248" s="721"/>
      <c r="U248" s="721"/>
      <c r="V248" s="721"/>
      <c r="W248" s="721"/>
      <c r="X248" s="721"/>
      <c r="Y248" s="721"/>
      <c r="Z248" s="721"/>
      <c r="AA248" s="721"/>
      <c r="AB248" s="721"/>
      <c r="AC248" s="721"/>
      <c r="AD248" s="721"/>
      <c r="AE248" s="721"/>
      <c r="AF248" s="721"/>
      <c r="AG248" s="926"/>
      <c r="AH248" s="850"/>
      <c r="AI248" s="850"/>
      <c r="AJ248" s="850"/>
      <c r="AK248" s="851"/>
      <c r="AL248" s="946" t="s">
        <v>209</v>
      </c>
      <c r="AM248" s="947">
        <f>SUM(AM219:AM247)</f>
        <v>944470</v>
      </c>
      <c r="AN248" s="721"/>
      <c r="AO248" s="721"/>
      <c r="AP248" s="721"/>
      <c r="AQ248" s="721"/>
      <c r="AR248" s="721"/>
      <c r="AS248" s="721"/>
      <c r="AT248" s="721"/>
      <c r="AU248" s="721"/>
      <c r="AV248" s="721"/>
      <c r="AW248" s="721"/>
      <c r="AX248" s="721"/>
    </row>
    <row r="249" spans="1:50" x14ac:dyDescent="0.2">
      <c r="A249" s="721"/>
      <c r="B249" s="721"/>
      <c r="C249" s="721"/>
      <c r="D249" s="721"/>
      <c r="E249" s="721"/>
      <c r="F249" s="721"/>
      <c r="G249" s="721"/>
      <c r="H249" s="721"/>
      <c r="I249" s="721"/>
      <c r="J249" s="721"/>
      <c r="K249" s="721"/>
      <c r="L249" s="721"/>
      <c r="M249" s="721"/>
      <c r="N249" s="721"/>
      <c r="O249" s="721"/>
      <c r="P249" s="721"/>
      <c r="Q249" s="721"/>
      <c r="R249" s="721"/>
      <c r="S249" s="721"/>
      <c r="T249" s="721"/>
      <c r="U249" s="721"/>
      <c r="V249" s="721"/>
      <c r="W249" s="721"/>
      <c r="X249" s="721"/>
      <c r="Y249" s="721"/>
      <c r="Z249" s="721"/>
      <c r="AA249" s="721"/>
      <c r="AB249" s="721"/>
      <c r="AC249" s="721"/>
      <c r="AD249" s="721"/>
      <c r="AE249" s="721"/>
      <c r="AF249" s="721"/>
      <c r="AG249" s="721"/>
      <c r="AH249" s="721"/>
      <c r="AI249" s="721"/>
      <c r="AJ249" s="721"/>
      <c r="AK249" s="721"/>
      <c r="AL249" s="721"/>
      <c r="AM249" s="721"/>
      <c r="AN249" s="721"/>
      <c r="AO249" s="721"/>
      <c r="AP249" s="721"/>
      <c r="AQ249" s="721"/>
      <c r="AR249" s="721"/>
      <c r="AS249" s="721"/>
      <c r="AT249" s="721"/>
      <c r="AU249" s="721"/>
      <c r="AV249" s="721"/>
      <c r="AW249" s="721"/>
      <c r="AX249" s="721"/>
    </row>
    <row r="250" spans="1:50" x14ac:dyDescent="0.2">
      <c r="A250" s="721"/>
      <c r="B250" s="721"/>
      <c r="C250" s="721"/>
      <c r="D250" s="721"/>
      <c r="E250" s="721"/>
      <c r="F250" s="721"/>
      <c r="G250" s="721"/>
      <c r="H250" s="721"/>
      <c r="I250" s="721"/>
      <c r="J250" s="721"/>
      <c r="K250" s="721"/>
      <c r="L250" s="721"/>
      <c r="M250" s="721"/>
      <c r="N250" s="721"/>
      <c r="O250" s="721"/>
      <c r="P250" s="721"/>
      <c r="Q250" s="721"/>
      <c r="R250" s="721"/>
      <c r="S250" s="721"/>
      <c r="T250" s="721"/>
      <c r="U250" s="721"/>
      <c r="V250" s="721"/>
      <c r="W250" s="721"/>
      <c r="X250" s="721"/>
      <c r="Y250" s="721"/>
      <c r="Z250" s="721"/>
      <c r="AA250" s="721"/>
      <c r="AB250" s="721"/>
      <c r="AC250" s="721"/>
      <c r="AD250" s="721"/>
      <c r="AE250" s="721"/>
      <c r="AF250" s="721"/>
      <c r="AG250" s="721"/>
      <c r="AH250" s="721"/>
      <c r="AI250" s="721"/>
      <c r="AJ250" s="721"/>
      <c r="AK250" s="721"/>
      <c r="AL250" s="721"/>
      <c r="AM250" s="721"/>
      <c r="AN250" s="721"/>
      <c r="AO250" s="721"/>
      <c r="AP250" s="721"/>
      <c r="AQ250" s="721"/>
      <c r="AR250" s="721"/>
      <c r="AS250" s="721"/>
      <c r="AT250" s="721"/>
      <c r="AU250" s="721"/>
      <c r="AV250" s="721"/>
      <c r="AW250" s="721"/>
      <c r="AX250" s="721"/>
    </row>
    <row r="251" spans="1:50" x14ac:dyDescent="0.2">
      <c r="A251" s="721"/>
      <c r="B251" s="721"/>
      <c r="C251" s="721"/>
      <c r="D251" s="721"/>
      <c r="E251" s="721"/>
      <c r="F251" s="721"/>
      <c r="G251" s="721"/>
      <c r="H251" s="721"/>
      <c r="I251" s="721"/>
      <c r="J251" s="721"/>
      <c r="K251" s="721"/>
      <c r="L251" s="721"/>
      <c r="M251" s="721"/>
      <c r="N251" s="721"/>
      <c r="O251" s="721"/>
      <c r="P251" s="721"/>
      <c r="Q251" s="721"/>
      <c r="R251" s="721"/>
      <c r="S251" s="721"/>
      <c r="T251" s="721"/>
      <c r="U251" s="721"/>
      <c r="V251" s="721"/>
      <c r="W251" s="721"/>
      <c r="X251" s="721"/>
      <c r="Y251" s="721"/>
      <c r="Z251" s="721"/>
      <c r="AA251" s="721"/>
      <c r="AB251" s="721"/>
      <c r="AC251" s="721"/>
      <c r="AD251" s="721"/>
      <c r="AE251" s="721"/>
      <c r="AF251" s="721"/>
      <c r="AG251" s="721"/>
      <c r="AH251" s="721"/>
      <c r="AI251" s="721"/>
      <c r="AJ251" s="721"/>
      <c r="AK251" s="721"/>
      <c r="AL251" s="721"/>
      <c r="AM251" s="721"/>
      <c r="AN251" s="721"/>
      <c r="AO251" s="721"/>
      <c r="AP251" s="721"/>
      <c r="AQ251" s="721"/>
      <c r="AR251" s="721"/>
      <c r="AS251" s="721"/>
      <c r="AT251" s="721"/>
      <c r="AU251" s="721"/>
      <c r="AV251" s="721"/>
      <c r="AW251" s="721"/>
      <c r="AX251" s="721"/>
    </row>
    <row r="252" spans="1:50" x14ac:dyDescent="0.2">
      <c r="A252" s="721"/>
      <c r="B252" s="721"/>
      <c r="C252" s="721"/>
      <c r="D252" s="721"/>
      <c r="E252" s="721"/>
      <c r="F252" s="721"/>
      <c r="G252" s="721"/>
      <c r="H252" s="721"/>
      <c r="I252" s="721"/>
      <c r="J252" s="721"/>
      <c r="K252" s="721"/>
      <c r="L252" s="721"/>
      <c r="M252" s="721"/>
      <c r="N252" s="721"/>
      <c r="O252" s="721"/>
      <c r="P252" s="721"/>
      <c r="Q252" s="721"/>
      <c r="R252" s="721"/>
      <c r="S252" s="721"/>
      <c r="T252" s="721"/>
      <c r="U252" s="721"/>
      <c r="V252" s="721"/>
      <c r="W252" s="721"/>
      <c r="X252" s="721"/>
      <c r="Y252" s="721"/>
      <c r="Z252" s="721"/>
      <c r="AA252" s="721"/>
      <c r="AB252" s="721"/>
      <c r="AC252" s="721"/>
      <c r="AD252" s="721"/>
      <c r="AE252" s="721"/>
      <c r="AF252" s="721"/>
      <c r="AG252" s="721"/>
      <c r="AH252" s="721"/>
      <c r="AI252" s="721"/>
      <c r="AJ252" s="721"/>
      <c r="AK252" s="721"/>
      <c r="AL252" s="721"/>
      <c r="AM252" s="721"/>
      <c r="AN252" s="721"/>
      <c r="AO252" s="721"/>
      <c r="AP252" s="721"/>
      <c r="AQ252" s="721"/>
      <c r="AR252" s="721"/>
      <c r="AS252" s="721"/>
      <c r="AT252" s="721"/>
      <c r="AU252" s="721"/>
      <c r="AV252" s="721"/>
      <c r="AW252" s="721"/>
      <c r="AX252" s="721"/>
    </row>
    <row r="253" spans="1:50" x14ac:dyDescent="0.2">
      <c r="A253" s="721"/>
      <c r="B253" s="721"/>
      <c r="C253" s="721"/>
      <c r="D253" s="721"/>
      <c r="E253" s="721"/>
      <c r="F253" s="721"/>
      <c r="G253" s="721"/>
      <c r="H253" s="721"/>
      <c r="I253" s="721"/>
      <c r="J253" s="721"/>
      <c r="K253" s="721"/>
      <c r="L253" s="721"/>
      <c r="M253" s="721"/>
      <c r="N253" s="721"/>
      <c r="O253" s="721"/>
      <c r="P253" s="721"/>
      <c r="Q253" s="721"/>
      <c r="R253" s="721"/>
      <c r="S253" s="721"/>
      <c r="T253" s="721"/>
      <c r="U253" s="721"/>
      <c r="V253" s="721"/>
      <c r="W253" s="721"/>
      <c r="X253" s="721"/>
      <c r="Y253" s="721"/>
      <c r="Z253" s="721"/>
      <c r="AA253" s="721"/>
      <c r="AB253" s="721"/>
      <c r="AC253" s="721"/>
      <c r="AD253" s="721"/>
      <c r="AE253" s="721"/>
      <c r="AF253" s="721"/>
      <c r="AG253" s="721"/>
      <c r="AH253" s="721"/>
      <c r="AI253" s="721"/>
      <c r="AJ253" s="721"/>
      <c r="AK253" s="721"/>
      <c r="AL253" s="721"/>
      <c r="AM253" s="721"/>
      <c r="AN253" s="721"/>
      <c r="AO253" s="721"/>
      <c r="AP253" s="721"/>
      <c r="AQ253" s="721"/>
      <c r="AR253" s="721"/>
      <c r="AS253" s="721"/>
      <c r="AT253" s="721"/>
      <c r="AU253" s="721"/>
      <c r="AV253" s="721"/>
      <c r="AW253" s="721"/>
      <c r="AX253" s="721"/>
    </row>
    <row r="254" spans="1:50" x14ac:dyDescent="0.2">
      <c r="A254" s="721"/>
      <c r="B254" s="721"/>
      <c r="C254" s="721"/>
      <c r="D254" s="721"/>
      <c r="E254" s="721"/>
      <c r="F254" s="721"/>
      <c r="G254" s="721"/>
      <c r="H254" s="721"/>
      <c r="I254" s="721"/>
      <c r="J254" s="721"/>
      <c r="K254" s="721"/>
      <c r="L254" s="721"/>
      <c r="M254" s="721"/>
      <c r="N254" s="721"/>
      <c r="O254" s="721"/>
      <c r="P254" s="721"/>
      <c r="Q254" s="721"/>
      <c r="R254" s="721"/>
      <c r="S254" s="721"/>
      <c r="T254" s="721"/>
      <c r="U254" s="721"/>
      <c r="V254" s="721"/>
      <c r="W254" s="721"/>
      <c r="X254" s="721"/>
      <c r="Y254" s="721"/>
      <c r="Z254" s="721"/>
      <c r="AA254" s="721"/>
      <c r="AB254" s="721"/>
      <c r="AC254" s="721"/>
      <c r="AD254" s="721"/>
      <c r="AE254" s="721"/>
      <c r="AF254" s="721"/>
      <c r="AG254" s="721"/>
      <c r="AH254" s="721"/>
      <c r="AI254" s="721"/>
      <c r="AJ254" s="721"/>
      <c r="AK254" s="721"/>
      <c r="AL254" s="721"/>
      <c r="AM254" s="721"/>
      <c r="AN254" s="721"/>
      <c r="AO254" s="721"/>
      <c r="AP254" s="721"/>
      <c r="AQ254" s="721"/>
      <c r="AR254" s="721"/>
      <c r="AS254" s="721"/>
      <c r="AT254" s="721"/>
      <c r="AU254" s="721"/>
      <c r="AV254" s="721"/>
      <c r="AW254" s="721"/>
      <c r="AX254" s="721"/>
    </row>
    <row r="255" spans="1:50" x14ac:dyDescent="0.2">
      <c r="A255" s="721"/>
      <c r="B255" s="721"/>
      <c r="C255" s="721"/>
      <c r="D255" s="721"/>
      <c r="E255" s="721"/>
      <c r="F255" s="721"/>
      <c r="G255" s="721"/>
      <c r="H255" s="721"/>
      <c r="I255" s="721"/>
      <c r="J255" s="721"/>
      <c r="K255" s="721"/>
      <c r="L255" s="721"/>
      <c r="M255" s="721"/>
      <c r="N255" s="721"/>
      <c r="O255" s="721"/>
      <c r="P255" s="721"/>
      <c r="Q255" s="721"/>
      <c r="R255" s="721"/>
      <c r="S255" s="721"/>
      <c r="T255" s="721"/>
      <c r="U255" s="721"/>
      <c r="V255" s="721"/>
      <c r="W255" s="721"/>
      <c r="X255" s="721"/>
      <c r="Y255" s="721"/>
      <c r="Z255" s="721"/>
      <c r="AA255" s="721"/>
      <c r="AB255" s="721"/>
      <c r="AC255" s="721"/>
      <c r="AD255" s="721"/>
      <c r="AE255" s="721"/>
      <c r="AF255" s="721"/>
      <c r="AG255" s="721"/>
      <c r="AH255" s="721"/>
      <c r="AI255" s="721"/>
      <c r="AJ255" s="721"/>
      <c r="AK255" s="721"/>
      <c r="AL255" s="721"/>
      <c r="AM255" s="721"/>
      <c r="AN255" s="721"/>
      <c r="AO255" s="721"/>
      <c r="AP255" s="721"/>
      <c r="AQ255" s="721"/>
      <c r="AR255" s="721"/>
      <c r="AS255" s="721"/>
      <c r="AT255" s="721"/>
      <c r="AU255" s="721"/>
      <c r="AV255" s="721"/>
      <c r="AW255" s="721"/>
      <c r="AX255" s="721"/>
    </row>
    <row r="256" spans="1:50" x14ac:dyDescent="0.2">
      <c r="A256" s="721"/>
      <c r="B256" s="721"/>
      <c r="C256" s="721"/>
      <c r="D256" s="721"/>
      <c r="E256" s="721"/>
      <c r="F256" s="721"/>
      <c r="G256" s="721"/>
      <c r="H256" s="721"/>
      <c r="I256" s="721"/>
      <c r="J256" s="721"/>
      <c r="K256" s="721"/>
      <c r="L256" s="721"/>
      <c r="M256" s="721"/>
      <c r="N256" s="721"/>
      <c r="O256" s="721"/>
      <c r="P256" s="721"/>
      <c r="Q256" s="721"/>
      <c r="R256" s="721"/>
      <c r="S256" s="721"/>
      <c r="T256" s="721"/>
      <c r="U256" s="721"/>
      <c r="V256" s="721"/>
      <c r="W256" s="721"/>
      <c r="X256" s="721"/>
      <c r="Y256" s="721"/>
      <c r="Z256" s="721"/>
      <c r="AA256" s="721"/>
      <c r="AB256" s="721"/>
      <c r="AC256" s="721"/>
      <c r="AD256" s="721"/>
      <c r="AE256" s="721"/>
      <c r="AF256" s="721"/>
      <c r="AG256" s="721"/>
      <c r="AH256" s="721"/>
      <c r="AI256" s="721"/>
      <c r="AJ256" s="721"/>
      <c r="AK256" s="721"/>
      <c r="AL256" s="721"/>
      <c r="AM256" s="721"/>
      <c r="AN256" s="721"/>
      <c r="AO256" s="721"/>
      <c r="AP256" s="721"/>
      <c r="AQ256" s="721"/>
      <c r="AR256" s="721"/>
      <c r="AS256" s="721"/>
      <c r="AT256" s="721"/>
      <c r="AU256" s="721"/>
      <c r="AV256" s="721"/>
      <c r="AW256" s="721"/>
      <c r="AX256" s="721"/>
    </row>
    <row r="257" spans="1:50" x14ac:dyDescent="0.2">
      <c r="A257" s="721"/>
      <c r="B257" s="721"/>
      <c r="C257" s="721"/>
      <c r="D257" s="721"/>
      <c r="E257" s="721"/>
      <c r="F257" s="721"/>
      <c r="G257" s="721"/>
      <c r="H257" s="721"/>
      <c r="I257" s="721"/>
      <c r="J257" s="721"/>
      <c r="K257" s="721"/>
      <c r="L257" s="721"/>
      <c r="M257" s="721"/>
      <c r="N257" s="721"/>
      <c r="O257" s="721"/>
      <c r="P257" s="721"/>
      <c r="Q257" s="721"/>
      <c r="R257" s="721"/>
      <c r="S257" s="721"/>
      <c r="T257" s="721"/>
      <c r="U257" s="721"/>
      <c r="V257" s="721"/>
      <c r="W257" s="721"/>
      <c r="X257" s="721"/>
      <c r="Y257" s="721"/>
      <c r="Z257" s="721"/>
      <c r="AA257" s="721"/>
      <c r="AB257" s="721"/>
      <c r="AC257" s="721"/>
      <c r="AD257" s="721"/>
      <c r="AE257" s="721"/>
      <c r="AF257" s="721"/>
      <c r="AG257" s="721"/>
      <c r="AH257" s="721"/>
      <c r="AI257" s="721"/>
      <c r="AJ257" s="721"/>
      <c r="AK257" s="721"/>
      <c r="AL257" s="721"/>
      <c r="AM257" s="721"/>
      <c r="AN257" s="721"/>
      <c r="AO257" s="721"/>
      <c r="AP257" s="721"/>
      <c r="AQ257" s="721"/>
      <c r="AR257" s="721"/>
      <c r="AS257" s="721"/>
      <c r="AT257" s="721"/>
      <c r="AU257" s="721"/>
      <c r="AV257" s="721"/>
      <c r="AW257" s="721"/>
      <c r="AX257" s="721"/>
    </row>
    <row r="258" spans="1:50" x14ac:dyDescent="0.2">
      <c r="A258" s="721"/>
      <c r="B258" s="721"/>
      <c r="C258" s="721"/>
      <c r="D258" s="721"/>
      <c r="E258" s="721"/>
      <c r="F258" s="721"/>
      <c r="G258" s="721"/>
      <c r="H258" s="721"/>
      <c r="I258" s="721"/>
      <c r="J258" s="721"/>
      <c r="K258" s="721"/>
      <c r="L258" s="721"/>
      <c r="M258" s="721"/>
      <c r="N258" s="721"/>
      <c r="O258" s="721"/>
      <c r="P258" s="721"/>
      <c r="Q258" s="721"/>
      <c r="R258" s="721"/>
      <c r="S258" s="721"/>
      <c r="T258" s="721"/>
      <c r="U258" s="721"/>
      <c r="V258" s="721"/>
      <c r="W258" s="721"/>
      <c r="X258" s="721"/>
      <c r="Y258" s="721"/>
      <c r="Z258" s="721"/>
      <c r="AA258" s="721"/>
      <c r="AB258" s="721"/>
      <c r="AC258" s="721"/>
      <c r="AD258" s="721"/>
      <c r="AE258" s="721"/>
      <c r="AF258" s="721"/>
      <c r="AG258" s="721"/>
      <c r="AH258" s="721"/>
      <c r="AI258" s="721"/>
      <c r="AJ258" s="721"/>
      <c r="AK258" s="721"/>
      <c r="AL258" s="721"/>
      <c r="AM258" s="721"/>
      <c r="AN258" s="721"/>
      <c r="AO258" s="721"/>
      <c r="AP258" s="721"/>
      <c r="AQ258" s="721"/>
      <c r="AR258" s="721"/>
      <c r="AS258" s="721"/>
      <c r="AT258" s="721"/>
      <c r="AU258" s="721"/>
      <c r="AV258" s="721"/>
      <c r="AW258" s="721"/>
      <c r="AX258" s="721"/>
    </row>
    <row r="259" spans="1:50" x14ac:dyDescent="0.2">
      <c r="A259" s="721"/>
      <c r="B259" s="721"/>
      <c r="C259" s="721"/>
      <c r="D259" s="721"/>
      <c r="E259" s="721"/>
      <c r="F259" s="721"/>
      <c r="G259" s="721"/>
      <c r="H259" s="721"/>
      <c r="I259" s="721"/>
      <c r="J259" s="721"/>
      <c r="K259" s="721"/>
      <c r="L259" s="721"/>
      <c r="M259" s="721"/>
      <c r="N259" s="721"/>
      <c r="O259" s="721"/>
      <c r="P259" s="721"/>
      <c r="Q259" s="721"/>
      <c r="R259" s="721"/>
      <c r="S259" s="721"/>
      <c r="T259" s="721"/>
      <c r="U259" s="721"/>
      <c r="V259" s="721"/>
      <c r="W259" s="721"/>
      <c r="X259" s="721"/>
      <c r="Y259" s="721"/>
      <c r="Z259" s="721"/>
      <c r="AA259" s="721"/>
      <c r="AB259" s="721"/>
      <c r="AC259" s="721"/>
      <c r="AD259" s="721"/>
      <c r="AE259" s="721"/>
      <c r="AF259" s="721"/>
      <c r="AG259" s="721"/>
      <c r="AH259" s="721"/>
      <c r="AI259" s="721"/>
      <c r="AJ259" s="721"/>
      <c r="AK259" s="721"/>
      <c r="AL259" s="721"/>
      <c r="AM259" s="721"/>
      <c r="AN259" s="721"/>
      <c r="AO259" s="721"/>
      <c r="AP259" s="721"/>
      <c r="AQ259" s="721"/>
      <c r="AR259" s="721"/>
      <c r="AS259" s="721"/>
      <c r="AT259" s="721"/>
      <c r="AU259" s="721"/>
      <c r="AV259" s="721"/>
      <c r="AW259" s="721"/>
      <c r="AX259" s="721"/>
    </row>
    <row r="260" spans="1:50" x14ac:dyDescent="0.2">
      <c r="A260" s="721"/>
      <c r="B260" s="721"/>
      <c r="C260" s="721"/>
      <c r="D260" s="721"/>
      <c r="E260" s="721"/>
      <c r="F260" s="721"/>
      <c r="G260" s="721"/>
      <c r="H260" s="721"/>
      <c r="I260" s="721"/>
      <c r="J260" s="721"/>
      <c r="K260" s="721"/>
      <c r="L260" s="721"/>
      <c r="M260" s="721"/>
      <c r="N260" s="721"/>
      <c r="O260" s="721"/>
      <c r="P260" s="721"/>
      <c r="Q260" s="721"/>
      <c r="R260" s="721"/>
      <c r="S260" s="721"/>
      <c r="T260" s="721"/>
      <c r="U260" s="721"/>
      <c r="V260" s="721"/>
      <c r="W260" s="721"/>
      <c r="X260" s="721"/>
      <c r="Y260" s="721"/>
      <c r="Z260" s="721"/>
      <c r="AA260" s="721"/>
      <c r="AB260" s="721"/>
      <c r="AC260" s="721"/>
      <c r="AD260" s="721"/>
      <c r="AE260" s="721"/>
      <c r="AF260" s="721"/>
      <c r="AG260" s="721"/>
      <c r="AH260" s="721"/>
      <c r="AI260" s="721"/>
      <c r="AJ260" s="721"/>
      <c r="AK260" s="721"/>
      <c r="AL260" s="721"/>
      <c r="AM260" s="721"/>
      <c r="AN260" s="721"/>
      <c r="AO260" s="721"/>
      <c r="AP260" s="721"/>
      <c r="AQ260" s="721"/>
      <c r="AR260" s="721"/>
      <c r="AS260" s="721"/>
      <c r="AT260" s="721"/>
      <c r="AU260" s="721"/>
      <c r="AV260" s="721"/>
      <c r="AW260" s="721"/>
      <c r="AX260" s="721"/>
    </row>
    <row r="261" spans="1:50" x14ac:dyDescent="0.2">
      <c r="A261" s="721"/>
      <c r="B261" s="721"/>
      <c r="C261" s="721"/>
      <c r="D261" s="721"/>
      <c r="E261" s="721"/>
      <c r="F261" s="721"/>
      <c r="G261" s="721"/>
      <c r="H261" s="721"/>
      <c r="I261" s="721"/>
      <c r="J261" s="721"/>
      <c r="K261" s="721"/>
      <c r="L261" s="721"/>
      <c r="M261" s="721"/>
      <c r="N261" s="721"/>
      <c r="O261" s="721"/>
      <c r="P261" s="721"/>
      <c r="Q261" s="721"/>
      <c r="R261" s="721"/>
      <c r="S261" s="721"/>
      <c r="T261" s="721"/>
      <c r="U261" s="721"/>
      <c r="V261" s="721"/>
      <c r="W261" s="721"/>
      <c r="X261" s="721"/>
      <c r="Y261" s="721"/>
      <c r="Z261" s="721"/>
      <c r="AA261" s="721"/>
      <c r="AB261" s="721"/>
      <c r="AC261" s="721"/>
      <c r="AD261" s="721"/>
      <c r="AE261" s="721"/>
      <c r="AF261" s="721"/>
      <c r="AG261" s="721"/>
      <c r="AH261" s="721"/>
      <c r="AI261" s="721"/>
      <c r="AJ261" s="721"/>
      <c r="AK261" s="721"/>
      <c r="AL261" s="721"/>
      <c r="AM261" s="721"/>
      <c r="AN261" s="721"/>
      <c r="AO261" s="721"/>
      <c r="AP261" s="721"/>
      <c r="AQ261" s="721"/>
      <c r="AR261" s="721"/>
      <c r="AS261" s="721"/>
      <c r="AT261" s="721"/>
      <c r="AU261" s="721"/>
      <c r="AV261" s="721"/>
      <c r="AW261" s="721"/>
      <c r="AX261" s="721"/>
    </row>
    <row r="262" spans="1:50" x14ac:dyDescent="0.2">
      <c r="A262" s="721"/>
      <c r="B262" s="721"/>
      <c r="C262" s="721"/>
      <c r="D262" s="721"/>
      <c r="E262" s="721"/>
      <c r="F262" s="721"/>
      <c r="G262" s="721"/>
      <c r="H262" s="721"/>
      <c r="I262" s="721"/>
      <c r="J262" s="721"/>
      <c r="K262" s="721"/>
      <c r="L262" s="721"/>
      <c r="M262" s="721"/>
      <c r="N262" s="721"/>
      <c r="O262" s="721"/>
      <c r="P262" s="721"/>
      <c r="Q262" s="721"/>
      <c r="R262" s="721"/>
      <c r="S262" s="721"/>
      <c r="T262" s="721"/>
      <c r="U262" s="721"/>
      <c r="V262" s="721"/>
      <c r="W262" s="721"/>
      <c r="X262" s="721"/>
      <c r="Y262" s="721"/>
      <c r="Z262" s="721"/>
      <c r="AA262" s="721"/>
      <c r="AB262" s="721"/>
      <c r="AC262" s="721"/>
      <c r="AD262" s="721"/>
      <c r="AE262" s="721"/>
      <c r="AF262" s="721"/>
      <c r="AG262" s="721"/>
      <c r="AH262" s="721"/>
      <c r="AI262" s="721"/>
      <c r="AJ262" s="721"/>
      <c r="AK262" s="721"/>
      <c r="AL262" s="721"/>
      <c r="AM262" s="721"/>
      <c r="AN262" s="721"/>
      <c r="AO262" s="721"/>
      <c r="AP262" s="721"/>
      <c r="AQ262" s="721"/>
      <c r="AR262" s="721"/>
      <c r="AS262" s="721"/>
      <c r="AT262" s="721"/>
      <c r="AU262" s="721"/>
      <c r="AV262" s="721"/>
      <c r="AW262" s="721"/>
      <c r="AX262" s="721"/>
    </row>
  </sheetData>
  <mergeCells count="139">
    <mergeCell ref="A15:A16"/>
    <mergeCell ref="B15:B16"/>
    <mergeCell ref="C15:C16"/>
    <mergeCell ref="E15:E16"/>
    <mergeCell ref="J4:K4"/>
    <mergeCell ref="B8:E10"/>
    <mergeCell ref="F8:H10"/>
    <mergeCell ref="B11:B12"/>
    <mergeCell ref="D11:D12"/>
    <mergeCell ref="E11:E12"/>
    <mergeCell ref="A13:A14"/>
    <mergeCell ref="B13:B14"/>
    <mergeCell ref="C13:C14"/>
    <mergeCell ref="E13:E14"/>
    <mergeCell ref="A26:A27"/>
    <mergeCell ref="B26:B27"/>
    <mergeCell ref="C26:C27"/>
    <mergeCell ref="E26:E27"/>
    <mergeCell ref="B32:B38"/>
    <mergeCell ref="B19:E21"/>
    <mergeCell ref="B22:B23"/>
    <mergeCell ref="D22:D23"/>
    <mergeCell ref="E22:E23"/>
    <mergeCell ref="A24:A25"/>
    <mergeCell ref="B24:B25"/>
    <mergeCell ref="C24:C25"/>
    <mergeCell ref="E24:E25"/>
    <mergeCell ref="AQ33:AQ35"/>
    <mergeCell ref="C36:C37"/>
    <mergeCell ref="M36:M37"/>
    <mergeCell ref="W36:W37"/>
    <mergeCell ref="AG36:AG37"/>
    <mergeCell ref="AQ36:AQ37"/>
    <mergeCell ref="L32:L38"/>
    <mergeCell ref="V32:V38"/>
    <mergeCell ref="AF32:AF38"/>
    <mergeCell ref="AP32:AP38"/>
    <mergeCell ref="C33:C35"/>
    <mergeCell ref="M33:M35"/>
    <mergeCell ref="W33:W35"/>
    <mergeCell ref="AG33:AG35"/>
    <mergeCell ref="C44:C46"/>
    <mergeCell ref="M45:M48"/>
    <mergeCell ref="C47:C50"/>
    <mergeCell ref="M49:M50"/>
    <mergeCell ref="C51:C53"/>
    <mergeCell ref="M51:M52"/>
    <mergeCell ref="C54:C55"/>
    <mergeCell ref="C58:C59"/>
    <mergeCell ref="W39:W41"/>
    <mergeCell ref="W42:W44"/>
    <mergeCell ref="W45:W48"/>
    <mergeCell ref="W49:W50"/>
    <mergeCell ref="W51:W52"/>
    <mergeCell ref="AG52:AG53"/>
    <mergeCell ref="AQ52:AQ53"/>
    <mergeCell ref="M53:M54"/>
    <mergeCell ref="W53:W54"/>
    <mergeCell ref="L39:L64"/>
    <mergeCell ref="M39:M41"/>
    <mergeCell ref="V39:V64"/>
    <mergeCell ref="M42:M44"/>
    <mergeCell ref="AF39:AF65"/>
    <mergeCell ref="AG39:AG41"/>
    <mergeCell ref="AP39:AP65"/>
    <mergeCell ref="AQ39:AQ41"/>
    <mergeCell ref="AG42:AG43"/>
    <mergeCell ref="AQ42:AQ43"/>
    <mergeCell ref="AG44:AG47"/>
    <mergeCell ref="AQ44:AQ47"/>
    <mergeCell ref="AG48:AG49"/>
    <mergeCell ref="AQ48:AQ49"/>
    <mergeCell ref="AG50:AG51"/>
    <mergeCell ref="AQ50:AQ51"/>
    <mergeCell ref="AG55:AG56"/>
    <mergeCell ref="AQ55:AQ56"/>
    <mergeCell ref="AP66:AP74"/>
    <mergeCell ref="AG58:AG59"/>
    <mergeCell ref="AQ58:AQ59"/>
    <mergeCell ref="M59:M60"/>
    <mergeCell ref="W59:W60"/>
    <mergeCell ref="C60:C61"/>
    <mergeCell ref="AG60:AG61"/>
    <mergeCell ref="AQ60:AQ61"/>
    <mergeCell ref="M61:M62"/>
    <mergeCell ref="W61:W62"/>
    <mergeCell ref="AG62:AG64"/>
    <mergeCell ref="AQ62:AQ64"/>
    <mergeCell ref="C63:C64"/>
    <mergeCell ref="C65:C66"/>
    <mergeCell ref="L65:L72"/>
    <mergeCell ref="A212:A236"/>
    <mergeCell ref="Y86:AA86"/>
    <mergeCell ref="AG86:AI86"/>
    <mergeCell ref="A87:B87"/>
    <mergeCell ref="I87:J87"/>
    <mergeCell ref="Q87:R87"/>
    <mergeCell ref="Y87:Z87"/>
    <mergeCell ref="AG87:AH87"/>
    <mergeCell ref="C67:C70"/>
    <mergeCell ref="B72:B81"/>
    <mergeCell ref="M84:P84"/>
    <mergeCell ref="Q84:S84"/>
    <mergeCell ref="A86:C86"/>
    <mergeCell ref="I86:K86"/>
    <mergeCell ref="Q86:S86"/>
    <mergeCell ref="M65:M72"/>
    <mergeCell ref="V65:V72"/>
    <mergeCell ref="W65:W72"/>
    <mergeCell ref="AF66:AF74"/>
    <mergeCell ref="B39:B71"/>
    <mergeCell ref="C39:C43"/>
    <mergeCell ref="C56:C57"/>
    <mergeCell ref="M56:M57"/>
    <mergeCell ref="W56:W57"/>
    <mergeCell ref="AG219:AG247"/>
    <mergeCell ref="A91:A102"/>
    <mergeCell ref="I91:I100"/>
    <mergeCell ref="Q91:Q100"/>
    <mergeCell ref="Y91:Y102"/>
    <mergeCell ref="AG91:AG101"/>
    <mergeCell ref="I102:I120"/>
    <mergeCell ref="Q102:Q120"/>
    <mergeCell ref="AG103:AG127"/>
    <mergeCell ref="A104:A122"/>
    <mergeCell ref="Y104:Y122"/>
    <mergeCell ref="I122:I186"/>
    <mergeCell ref="Q122:Q186"/>
    <mergeCell ref="A124:A191"/>
    <mergeCell ref="Y124:Y188"/>
    <mergeCell ref="AG129:AG199"/>
    <mergeCell ref="I188:I204"/>
    <mergeCell ref="Q188:Q204"/>
    <mergeCell ref="Y190:Y206"/>
    <mergeCell ref="A193:A210"/>
    <mergeCell ref="AG201:AG217"/>
    <mergeCell ref="I206:I231"/>
    <mergeCell ref="Q206:Q231"/>
    <mergeCell ref="Y208:Y233"/>
  </mergeCells>
  <pageMargins left="0.7" right="0.7" top="0.75" bottom="0.75" header="0.3" footer="0.3"/>
  <ignoredErrors>
    <ignoredError sqref="J4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-0.249977111117893"/>
  </sheetPr>
  <dimension ref="A2:N86"/>
  <sheetViews>
    <sheetView zoomScale="80" zoomScaleNormal="80" workbookViewId="0">
      <selection activeCell="E41" sqref="E41"/>
    </sheetView>
  </sheetViews>
  <sheetFormatPr baseColWidth="10" defaultColWidth="11.42578125" defaultRowHeight="15" x14ac:dyDescent="0.25"/>
  <cols>
    <col min="1" max="1" width="38.140625" style="441" bestFit="1" customWidth="1"/>
    <col min="2" max="2" width="14.85546875" style="441" bestFit="1" customWidth="1"/>
    <col min="3" max="13" width="13.85546875" style="441" bestFit="1" customWidth="1"/>
    <col min="14" max="14" width="14.85546875" style="441" bestFit="1" customWidth="1"/>
    <col min="15" max="15" width="13.85546875" style="441" bestFit="1" customWidth="1"/>
    <col min="16" max="16" width="17.140625" style="441" bestFit="1" customWidth="1"/>
    <col min="17" max="16384" width="11.42578125" style="441"/>
  </cols>
  <sheetData>
    <row r="2" spans="1:14" ht="15.75" x14ac:dyDescent="0.25">
      <c r="A2" s="1166" t="s">
        <v>239</v>
      </c>
      <c r="B2" s="1166"/>
      <c r="C2" s="1166"/>
      <c r="D2" s="1166"/>
    </row>
    <row r="4" spans="1:14" x14ac:dyDescent="0.25">
      <c r="A4" s="442" t="s">
        <v>260</v>
      </c>
      <c r="B4" s="443" t="s">
        <v>240</v>
      </c>
      <c r="C4" s="443" t="s">
        <v>241</v>
      </c>
      <c r="D4" s="443" t="s">
        <v>242</v>
      </c>
      <c r="E4" s="443" t="s">
        <v>243</v>
      </c>
      <c r="F4" s="443" t="s">
        <v>244</v>
      </c>
      <c r="G4" s="443" t="s">
        <v>245</v>
      </c>
      <c r="H4" s="443" t="s">
        <v>246</v>
      </c>
      <c r="I4" s="443" t="s">
        <v>247</v>
      </c>
      <c r="J4" s="443" t="s">
        <v>248</v>
      </c>
      <c r="K4" s="443" t="s">
        <v>249</v>
      </c>
      <c r="L4" s="443" t="s">
        <v>250</v>
      </c>
      <c r="M4" s="443" t="s">
        <v>251</v>
      </c>
    </row>
    <row r="5" spans="1:14" x14ac:dyDescent="0.25">
      <c r="A5" s="444" t="s">
        <v>252</v>
      </c>
      <c r="B5" s="445"/>
      <c r="C5" s="445"/>
      <c r="D5" s="445">
        <f>+'B) Reajuste Tarifas y Ocupación'!$I$37</f>
        <v>120</v>
      </c>
      <c r="E5" s="445">
        <f>+'B) Reajuste Tarifas y Ocupación'!$I$37</f>
        <v>120</v>
      </c>
      <c r="F5" s="445">
        <f>+'B) Reajuste Tarifas y Ocupación'!$I$37</f>
        <v>120</v>
      </c>
      <c r="G5" s="445">
        <f>+'B) Reajuste Tarifas y Ocupación'!$I$37</f>
        <v>120</v>
      </c>
      <c r="H5" s="445">
        <f>+'B) Reajuste Tarifas y Ocupación'!$I$37</f>
        <v>120</v>
      </c>
      <c r="I5" s="445">
        <f>+'B) Reajuste Tarifas y Ocupación'!$I$37</f>
        <v>120</v>
      </c>
      <c r="J5" s="445">
        <f>+'B) Reajuste Tarifas y Ocupación'!$I$37</f>
        <v>120</v>
      </c>
      <c r="K5" s="445">
        <f>+'B) Reajuste Tarifas y Ocupación'!$I$37</f>
        <v>120</v>
      </c>
      <c r="L5" s="445">
        <f>+'B) Reajuste Tarifas y Ocupación'!$I$37</f>
        <v>120</v>
      </c>
      <c r="M5" s="445">
        <f>+'B) Reajuste Tarifas y Ocupación'!$I$37</f>
        <v>120</v>
      </c>
    </row>
    <row r="6" spans="1:14" x14ac:dyDescent="0.25">
      <c r="A6" s="444" t="s">
        <v>253</v>
      </c>
      <c r="B6" s="445">
        <f>+COUNTA('F) Remuneraciones'!$C$11:$C$31)</f>
        <v>18</v>
      </c>
      <c r="C6" s="445">
        <f>+COUNTA('F) Remuneraciones'!$C$11:$C$31)</f>
        <v>18</v>
      </c>
      <c r="D6" s="445">
        <f>+COUNTA('F) Remuneraciones'!$C$11:$C$31)</f>
        <v>18</v>
      </c>
      <c r="E6" s="445">
        <f>+COUNTA('F) Remuneraciones'!$C$11:$C$31)</f>
        <v>18</v>
      </c>
      <c r="F6" s="445">
        <f>+COUNTA('F) Remuneraciones'!$C$11:$C$31)</f>
        <v>18</v>
      </c>
      <c r="G6" s="445">
        <f>+COUNTA('F) Remuneraciones'!$C$11:$C$31)</f>
        <v>18</v>
      </c>
      <c r="H6" s="445">
        <f>+COUNTA('F) Remuneraciones'!$C$11:$C$31)</f>
        <v>18</v>
      </c>
      <c r="I6" s="445">
        <f>+COUNTA('F) Remuneraciones'!$C$11:$C$31)</f>
        <v>18</v>
      </c>
      <c r="J6" s="445">
        <f>+COUNTA('F) Remuneraciones'!$C$11:$C$31)</f>
        <v>18</v>
      </c>
      <c r="K6" s="445">
        <f>+COUNTA('F) Remuneraciones'!$C$11:$C$31)</f>
        <v>18</v>
      </c>
      <c r="L6" s="445">
        <f>+COUNTA('F) Remuneraciones'!$C$11:$C$31)</f>
        <v>18</v>
      </c>
      <c r="M6" s="445">
        <f>+COUNTA('F) Remuneraciones'!$C$11:$C$31)</f>
        <v>18</v>
      </c>
    </row>
    <row r="7" spans="1:14" x14ac:dyDescent="0.25">
      <c r="A7" s="444"/>
      <c r="B7" s="446"/>
      <c r="C7" s="446"/>
      <c r="D7" s="446"/>
      <c r="E7" s="446"/>
      <c r="F7" s="446"/>
      <c r="G7" s="446"/>
      <c r="H7" s="446"/>
      <c r="I7" s="446"/>
      <c r="J7" s="446"/>
      <c r="K7" s="446"/>
      <c r="L7" s="446"/>
      <c r="M7" s="446"/>
    </row>
    <row r="8" spans="1:14" ht="30" x14ac:dyDescent="0.25">
      <c r="A8" s="447" t="s">
        <v>261</v>
      </c>
      <c r="B8" s="443" t="s">
        <v>240</v>
      </c>
      <c r="C8" s="443" t="s">
        <v>241</v>
      </c>
      <c r="D8" s="443" t="s">
        <v>242</v>
      </c>
      <c r="E8" s="443" t="s">
        <v>243</v>
      </c>
      <c r="F8" s="443" t="s">
        <v>244</v>
      </c>
      <c r="G8" s="443" t="s">
        <v>245</v>
      </c>
      <c r="H8" s="443" t="s">
        <v>246</v>
      </c>
      <c r="I8" s="443" t="s">
        <v>247</v>
      </c>
      <c r="J8" s="443" t="s">
        <v>248</v>
      </c>
      <c r="K8" s="443" t="s">
        <v>249</v>
      </c>
      <c r="L8" s="443" t="s">
        <v>250</v>
      </c>
      <c r="M8" s="443" t="s">
        <v>251</v>
      </c>
      <c r="N8" s="443" t="s">
        <v>254</v>
      </c>
    </row>
    <row r="9" spans="1:14" x14ac:dyDescent="0.25">
      <c r="A9" s="448" t="s">
        <v>255</v>
      </c>
      <c r="B9" s="449">
        <f>+'A) Resumen Ingresos y Egresos'!P32</f>
        <v>2598000</v>
      </c>
      <c r="C9" s="449">
        <f>+'A) Resumen Ingresos y Egresos'!N32*0.7</f>
        <v>15433109.999999998</v>
      </c>
      <c r="D9" s="449">
        <f>+'A) Resumen Ingresos y Egresos'!N32*0.3+'A) Resumen Ingresos y Egresos'!O32*0.1</f>
        <v>28661490</v>
      </c>
      <c r="E9" s="449">
        <f>+'A) Resumen Ingresos y Egresos'!$O$32*0.1</f>
        <v>22047300</v>
      </c>
      <c r="F9" s="449">
        <f>+'A) Resumen Ingresos y Egresos'!$O$32*0.1</f>
        <v>22047300</v>
      </c>
      <c r="G9" s="449">
        <f>+'A) Resumen Ingresos y Egresos'!$O$32*0.1</f>
        <v>22047300</v>
      </c>
      <c r="H9" s="449">
        <f>+'A) Resumen Ingresos y Egresos'!$O$32*0.1</f>
        <v>22047300</v>
      </c>
      <c r="I9" s="449">
        <f>+'A) Resumen Ingresos y Egresos'!$O$32*0.1</f>
        <v>22047300</v>
      </c>
      <c r="J9" s="449">
        <f>+'A) Resumen Ingresos y Egresos'!$O$32*0.1</f>
        <v>22047300</v>
      </c>
      <c r="K9" s="449">
        <f>+'A) Resumen Ingresos y Egresos'!$O$32*0.1</f>
        <v>22047300</v>
      </c>
      <c r="L9" s="449">
        <f>+'A) Resumen Ingresos y Egresos'!$O$32*0.1</f>
        <v>22047300</v>
      </c>
      <c r="M9" s="449">
        <f>+'A) Resumen Ingresos y Egresos'!$O$32*0.1</f>
        <v>22047300</v>
      </c>
      <c r="N9" s="450">
        <f>SUM(B9:M9)</f>
        <v>245118300</v>
      </c>
    </row>
    <row r="10" spans="1:14" x14ac:dyDescent="0.25">
      <c r="A10" s="448" t="s">
        <v>256</v>
      </c>
      <c r="B10" s="449">
        <f>SUM('F) Remuneraciones'!$H$11:$H$31)/12</f>
        <v>8560272.8249999993</v>
      </c>
      <c r="C10" s="449">
        <f>SUM('F) Remuneraciones'!$H$11:$H$31)/12</f>
        <v>8560272.8249999993</v>
      </c>
      <c r="D10" s="449">
        <f>SUM('F) Remuneraciones'!$H$11:$H$31)/12</f>
        <v>8560272.8249999993</v>
      </c>
      <c r="E10" s="449">
        <f>SUM('F) Remuneraciones'!$H$11:$H$31)/12</f>
        <v>8560272.8249999993</v>
      </c>
      <c r="F10" s="449">
        <f>SUM('F) Remuneraciones'!$H$11:$H$31)/12</f>
        <v>8560272.8249999993</v>
      </c>
      <c r="G10" s="449">
        <f>SUM('F) Remuneraciones'!$H$11:$H$31)/12</f>
        <v>8560272.8249999993</v>
      </c>
      <c r="H10" s="449">
        <f>SUM('F) Remuneraciones'!$H$11:$H$31)/12</f>
        <v>8560272.8249999993</v>
      </c>
      <c r="I10" s="449">
        <f>SUM('F) Remuneraciones'!$H$11:$H$31)/12</f>
        <v>8560272.8249999993</v>
      </c>
      <c r="J10" s="449">
        <f>SUM('F) Remuneraciones'!$H$11:$H$31)/12</f>
        <v>8560272.8249999993</v>
      </c>
      <c r="K10" s="449">
        <f>SUM('F) Remuneraciones'!$H$11:$H$31)/12</f>
        <v>8560272.8249999993</v>
      </c>
      <c r="L10" s="449">
        <f>SUM('F) Remuneraciones'!$H$11:$H$31)/12</f>
        <v>8560272.8249999993</v>
      </c>
      <c r="M10" s="449">
        <f>SUM('F) Remuneraciones'!$H$11:$H$31)/12</f>
        <v>8560272.8249999993</v>
      </c>
      <c r="N10" s="450">
        <f t="shared" ref="N10:N12" si="0">SUM(B10:M10)</f>
        <v>102723273.90000002</v>
      </c>
    </row>
    <row r="11" spans="1:14" x14ac:dyDescent="0.25">
      <c r="A11" s="448" t="s">
        <v>257</v>
      </c>
      <c r="B11" s="449">
        <f>SUM('F) Remuneraciones'!I11:I31)*0.5</f>
        <v>1983240</v>
      </c>
      <c r="C11" s="449">
        <v>0</v>
      </c>
      <c r="D11" s="449">
        <v>0</v>
      </c>
      <c r="E11" s="449">
        <v>0</v>
      </c>
      <c r="F11" s="449">
        <v>0</v>
      </c>
      <c r="G11" s="449">
        <v>0</v>
      </c>
      <c r="H11" s="449">
        <v>0</v>
      </c>
      <c r="I11" s="449">
        <v>0</v>
      </c>
      <c r="J11" s="449">
        <f>SUM('F) Remuneraciones'!J11:J31)*0.5</f>
        <v>990360</v>
      </c>
      <c r="K11" s="449">
        <v>0</v>
      </c>
      <c r="L11" s="449">
        <v>0</v>
      </c>
      <c r="M11" s="449">
        <f>+B11+J11</f>
        <v>2973600</v>
      </c>
      <c r="N11" s="450">
        <f t="shared" si="0"/>
        <v>5947200</v>
      </c>
    </row>
    <row r="12" spans="1:14" x14ac:dyDescent="0.25">
      <c r="A12" s="448" t="s">
        <v>258</v>
      </c>
      <c r="B12" s="449">
        <f>(+'C) Costos Directos'!$H$75-'C) Costos Directos'!$D$14)*0.05</f>
        <v>3973519.3502999991</v>
      </c>
      <c r="C12" s="449">
        <f>(+'C) Costos Directos'!$H$75-'C) Costos Directos'!$D$14)*0.05</f>
        <v>3973519.3502999991</v>
      </c>
      <c r="D12" s="449">
        <f>(+'C) Costos Directos'!$H$75-'C) Costos Directos'!$D$14)*0.09</f>
        <v>7152334.8305399986</v>
      </c>
      <c r="E12" s="449">
        <f>(+'C) Costos Directos'!$H$75-'C) Costos Directos'!$D$14)*0.09</f>
        <v>7152334.8305399986</v>
      </c>
      <c r="F12" s="449">
        <f>(+'C) Costos Directos'!$H$75-'C) Costos Directos'!$D$14)*0.09</f>
        <v>7152334.8305399986</v>
      </c>
      <c r="G12" s="449">
        <f>(+'C) Costos Directos'!$H$75-'C) Costos Directos'!$D$14)*0.09</f>
        <v>7152334.8305399986</v>
      </c>
      <c r="H12" s="449">
        <f>(+'C) Costos Directos'!$H$75-'C) Costos Directos'!$D$14)*0.09</f>
        <v>7152334.8305399986</v>
      </c>
      <c r="I12" s="449">
        <f>(+'C) Costos Directos'!$H$75-'C) Costos Directos'!$D$14)*0.09</f>
        <v>7152334.8305399986</v>
      </c>
      <c r="J12" s="449">
        <f>(+'C) Costos Directos'!$H$75-'C) Costos Directos'!$D$14)*0.09</f>
        <v>7152334.8305399986</v>
      </c>
      <c r="K12" s="449">
        <f>(+'C) Costos Directos'!$H$75-'C) Costos Directos'!$D$14)*0.09</f>
        <v>7152334.8305399986</v>
      </c>
      <c r="L12" s="449">
        <f>(+'C) Costos Directos'!$H$75-'C) Costos Directos'!$D$14)*0.09</f>
        <v>7152334.8305399986</v>
      </c>
      <c r="M12" s="449">
        <f>(+'C) Costos Directos'!$H$75-'C) Costos Directos'!$D$14)*0.09</f>
        <v>7152334.8305399986</v>
      </c>
      <c r="N12" s="450">
        <f t="shared" si="0"/>
        <v>79470387.005999997</v>
      </c>
    </row>
    <row r="13" spans="1:14" x14ac:dyDescent="0.25">
      <c r="A13" s="451" t="s">
        <v>259</v>
      </c>
      <c r="B13" s="452">
        <f t="shared" ref="B13:M13" si="1">+B9-B10-B11-B12</f>
        <v>-11919032.175299998</v>
      </c>
      <c r="C13" s="452">
        <f t="shared" si="1"/>
        <v>2899317.8246999998</v>
      </c>
      <c r="D13" s="452">
        <f t="shared" si="1"/>
        <v>12948882.344460003</v>
      </c>
      <c r="E13" s="452">
        <f t="shared" si="1"/>
        <v>6334692.3444600021</v>
      </c>
      <c r="F13" s="452">
        <f t="shared" si="1"/>
        <v>6334692.3444600021</v>
      </c>
      <c r="G13" s="452">
        <f t="shared" si="1"/>
        <v>6334692.3444600021</v>
      </c>
      <c r="H13" s="452">
        <f t="shared" si="1"/>
        <v>6334692.3444600021</v>
      </c>
      <c r="I13" s="452">
        <v>0</v>
      </c>
      <c r="J13" s="452">
        <f t="shared" si="1"/>
        <v>5344332.3444600021</v>
      </c>
      <c r="K13" s="452">
        <f t="shared" si="1"/>
        <v>6334692.3444600021</v>
      </c>
      <c r="L13" s="452">
        <f t="shared" si="1"/>
        <v>6334692.3444600021</v>
      </c>
      <c r="M13" s="452">
        <f t="shared" si="1"/>
        <v>3361092.3444600021</v>
      </c>
      <c r="N13" s="452">
        <f>+N9-N10-N11-N12</f>
        <v>56977439.093999967</v>
      </c>
    </row>
    <row r="14" spans="1:14" x14ac:dyDescent="0.25">
      <c r="A14" s="453"/>
      <c r="B14" s="450"/>
      <c r="C14" s="450"/>
      <c r="D14" s="450"/>
      <c r="E14" s="450"/>
      <c r="F14" s="450"/>
      <c r="G14" s="450"/>
      <c r="H14" s="450"/>
      <c r="I14" s="450"/>
      <c r="J14" s="450"/>
      <c r="K14" s="450"/>
      <c r="L14" s="450"/>
      <c r="M14" s="450"/>
      <c r="N14" s="450"/>
    </row>
    <row r="15" spans="1:14" x14ac:dyDescent="0.25">
      <c r="A15" s="453"/>
      <c r="B15" s="450"/>
      <c r="C15" s="450"/>
      <c r="D15" s="450"/>
      <c r="E15" s="450"/>
      <c r="F15" s="450"/>
      <c r="G15" s="450"/>
      <c r="H15" s="450"/>
      <c r="I15" s="450"/>
      <c r="J15" s="450"/>
      <c r="K15" s="450"/>
      <c r="L15" s="450"/>
      <c r="M15" s="450"/>
      <c r="N15" s="450"/>
    </row>
    <row r="16" spans="1:14" x14ac:dyDescent="0.25">
      <c r="A16" s="442" t="s">
        <v>260</v>
      </c>
      <c r="B16" s="443" t="s">
        <v>240</v>
      </c>
      <c r="C16" s="443" t="s">
        <v>241</v>
      </c>
      <c r="D16" s="443" t="s">
        <v>242</v>
      </c>
      <c r="E16" s="443" t="s">
        <v>243</v>
      </c>
      <c r="F16" s="443" t="s">
        <v>244</v>
      </c>
      <c r="G16" s="443" t="s">
        <v>245</v>
      </c>
      <c r="H16" s="443" t="s">
        <v>246</v>
      </c>
      <c r="I16" s="443" t="s">
        <v>247</v>
      </c>
      <c r="J16" s="443" t="s">
        <v>248</v>
      </c>
      <c r="K16" s="443" t="s">
        <v>249</v>
      </c>
      <c r="L16" s="443" t="s">
        <v>250</v>
      </c>
      <c r="M16" s="443" t="s">
        <v>251</v>
      </c>
      <c r="N16" s="450"/>
    </row>
    <row r="17" spans="1:14" x14ac:dyDescent="0.25">
      <c r="A17" s="444" t="s">
        <v>252</v>
      </c>
      <c r="B17" s="445"/>
      <c r="C17" s="445"/>
      <c r="D17" s="445">
        <f>+'B) Reajuste Tarifas y Ocupación'!$I$39</f>
        <v>120</v>
      </c>
      <c r="E17" s="445">
        <f>+'B) Reajuste Tarifas y Ocupación'!$I$39</f>
        <v>120</v>
      </c>
      <c r="F17" s="445">
        <f>+'B) Reajuste Tarifas y Ocupación'!$I$39</f>
        <v>120</v>
      </c>
      <c r="G17" s="445">
        <f>+'B) Reajuste Tarifas y Ocupación'!$I$39</f>
        <v>120</v>
      </c>
      <c r="H17" s="445">
        <f>+'B) Reajuste Tarifas y Ocupación'!$I$39</f>
        <v>120</v>
      </c>
      <c r="I17" s="445">
        <f>+'B) Reajuste Tarifas y Ocupación'!$I$39</f>
        <v>120</v>
      </c>
      <c r="J17" s="445">
        <f>+'B) Reajuste Tarifas y Ocupación'!$I$39</f>
        <v>120</v>
      </c>
      <c r="K17" s="445">
        <f>+'B) Reajuste Tarifas y Ocupación'!$I$39</f>
        <v>120</v>
      </c>
      <c r="L17" s="445">
        <f>+'B) Reajuste Tarifas y Ocupación'!$I$39</f>
        <v>120</v>
      </c>
      <c r="M17" s="445">
        <f>+'B) Reajuste Tarifas y Ocupación'!$I$39</f>
        <v>120</v>
      </c>
      <c r="N17" s="450"/>
    </row>
    <row r="18" spans="1:14" x14ac:dyDescent="0.25">
      <c r="A18" s="444" t="s">
        <v>253</v>
      </c>
      <c r="B18" s="445">
        <f>+COUNTA('F) Remuneraciones'!$C$32:$C$52)</f>
        <v>19</v>
      </c>
      <c r="C18" s="445">
        <f>+COUNTA('F) Remuneraciones'!$C$32:$C$52)</f>
        <v>19</v>
      </c>
      <c r="D18" s="445">
        <f>+COUNTA('F) Remuneraciones'!$C$32:$C$52)</f>
        <v>19</v>
      </c>
      <c r="E18" s="445">
        <f>+COUNTA('F) Remuneraciones'!$C$32:$C$52)</f>
        <v>19</v>
      </c>
      <c r="F18" s="445">
        <f>+COUNTA('F) Remuneraciones'!$C$32:$C$52)</f>
        <v>19</v>
      </c>
      <c r="G18" s="445">
        <f>+COUNTA('F) Remuneraciones'!$C$32:$C$52)</f>
        <v>19</v>
      </c>
      <c r="H18" s="445">
        <f>+COUNTA('F) Remuneraciones'!$C$32:$C$52)</f>
        <v>19</v>
      </c>
      <c r="I18" s="445">
        <f>+COUNTA('F) Remuneraciones'!$C$32:$C$52)</f>
        <v>19</v>
      </c>
      <c r="J18" s="445">
        <f>+COUNTA('F) Remuneraciones'!$C$32:$C$52)</f>
        <v>19</v>
      </c>
      <c r="K18" s="445">
        <f>+COUNTA('F) Remuneraciones'!$C$32:$C$52)</f>
        <v>19</v>
      </c>
      <c r="L18" s="445">
        <f>+COUNTA('F) Remuneraciones'!$C$32:$C$52)</f>
        <v>19</v>
      </c>
      <c r="M18" s="445">
        <f>+COUNTA('F) Remuneraciones'!$C$32:$C$52)</f>
        <v>19</v>
      </c>
      <c r="N18" s="450"/>
    </row>
    <row r="19" spans="1:14" x14ac:dyDescent="0.25">
      <c r="A19" s="444"/>
      <c r="B19" s="446"/>
      <c r="C19" s="446"/>
      <c r="D19" s="446"/>
      <c r="E19" s="446"/>
      <c r="F19" s="446"/>
      <c r="G19" s="446"/>
      <c r="H19" s="446"/>
      <c r="I19" s="446"/>
      <c r="J19" s="446"/>
      <c r="K19" s="446"/>
      <c r="L19" s="446"/>
      <c r="M19" s="446"/>
    </row>
    <row r="20" spans="1:14" ht="30" x14ac:dyDescent="0.25">
      <c r="A20" s="447" t="s">
        <v>262</v>
      </c>
      <c r="B20" s="443" t="s">
        <v>240</v>
      </c>
      <c r="C20" s="443" t="s">
        <v>241</v>
      </c>
      <c r="D20" s="443" t="s">
        <v>242</v>
      </c>
      <c r="E20" s="443" t="s">
        <v>243</v>
      </c>
      <c r="F20" s="443" t="s">
        <v>244</v>
      </c>
      <c r="G20" s="443" t="s">
        <v>245</v>
      </c>
      <c r="H20" s="443" t="s">
        <v>246</v>
      </c>
      <c r="I20" s="443" t="s">
        <v>247</v>
      </c>
      <c r="J20" s="443" t="s">
        <v>248</v>
      </c>
      <c r="K20" s="443" t="s">
        <v>249</v>
      </c>
      <c r="L20" s="443" t="s">
        <v>250</v>
      </c>
      <c r="M20" s="443" t="s">
        <v>251</v>
      </c>
      <c r="N20" s="443" t="s">
        <v>254</v>
      </c>
    </row>
    <row r="21" spans="1:14" x14ac:dyDescent="0.25">
      <c r="A21" s="448" t="s">
        <v>255</v>
      </c>
      <c r="B21" s="449">
        <f>+'A) Resumen Ingresos y Egresos'!P39</f>
        <v>2598000</v>
      </c>
      <c r="C21" s="449">
        <f>+'A) Resumen Ingresos y Egresos'!N39*0.7</f>
        <v>16336879.999999998</v>
      </c>
      <c r="D21" s="449">
        <f>+'A) Resumen Ingresos y Egresos'!N39*0.3+'A) Resumen Ingresos y Egresos'!O39*0.1</f>
        <v>30339920</v>
      </c>
      <c r="E21" s="449">
        <f>+'A) Resumen Ingresos y Egresos'!$O$39*0.1</f>
        <v>23338400</v>
      </c>
      <c r="F21" s="449">
        <f>+'A) Resumen Ingresos y Egresos'!$O$39*0.1</f>
        <v>23338400</v>
      </c>
      <c r="G21" s="449">
        <f>+'A) Resumen Ingresos y Egresos'!$O$39*0.1</f>
        <v>23338400</v>
      </c>
      <c r="H21" s="449">
        <f>+'A) Resumen Ingresos y Egresos'!$O$39*0.1</f>
        <v>23338400</v>
      </c>
      <c r="I21" s="449">
        <f>+'A) Resumen Ingresos y Egresos'!$O$39*0.1</f>
        <v>23338400</v>
      </c>
      <c r="J21" s="449">
        <f>+'A) Resumen Ingresos y Egresos'!$O$39*0.1</f>
        <v>23338400</v>
      </c>
      <c r="K21" s="449">
        <f>+'A) Resumen Ingresos y Egresos'!$O$39*0.1</f>
        <v>23338400</v>
      </c>
      <c r="L21" s="449">
        <f>+'A) Resumen Ingresos y Egresos'!$O$39*0.1</f>
        <v>23338400</v>
      </c>
      <c r="M21" s="449">
        <f>+'A) Resumen Ingresos y Egresos'!$O$39*0.1</f>
        <v>23338400</v>
      </c>
      <c r="N21" s="450">
        <f>SUM(B21:M21)</f>
        <v>259320400</v>
      </c>
    </row>
    <row r="22" spans="1:14" x14ac:dyDescent="0.25">
      <c r="A22" s="448" t="s">
        <v>256</v>
      </c>
      <c r="B22" s="449">
        <f>SUM('F) Remuneraciones'!$H$32:$H$52)/12</f>
        <v>10166867.4</v>
      </c>
      <c r="C22" s="449">
        <f>SUM('F) Remuneraciones'!$H$32:$H$52)/12</f>
        <v>10166867.4</v>
      </c>
      <c r="D22" s="449">
        <f>SUM('F) Remuneraciones'!$H$32:$H$52)/12</f>
        <v>10166867.4</v>
      </c>
      <c r="E22" s="449">
        <f>SUM('F) Remuneraciones'!$H$32:$H$52)/12</f>
        <v>10166867.4</v>
      </c>
      <c r="F22" s="449">
        <f>SUM('F) Remuneraciones'!$H$32:$H$52)/12</f>
        <v>10166867.4</v>
      </c>
      <c r="G22" s="449">
        <f>SUM('F) Remuneraciones'!$H$32:$H$52)/12</f>
        <v>10166867.4</v>
      </c>
      <c r="H22" s="449">
        <f>SUM('F) Remuneraciones'!$H$32:$H$52)/12</f>
        <v>10166867.4</v>
      </c>
      <c r="I22" s="449">
        <f>SUM('F) Remuneraciones'!$H$32:$H$52)/12</f>
        <v>10166867.4</v>
      </c>
      <c r="J22" s="449">
        <f>SUM('F) Remuneraciones'!$H$32:$H$52)/12</f>
        <v>10166867.4</v>
      </c>
      <c r="K22" s="449">
        <f>SUM('F) Remuneraciones'!$H$32:$H$52)/12</f>
        <v>10166867.4</v>
      </c>
      <c r="L22" s="449">
        <f>SUM('F) Remuneraciones'!$H$32:$H$52)/12</f>
        <v>10166867.4</v>
      </c>
      <c r="M22" s="449">
        <f>SUM('F) Remuneraciones'!$H$32:$H$52)/12</f>
        <v>10166867.4</v>
      </c>
      <c r="N22" s="450">
        <f>SUM(B22:M22)</f>
        <v>122002408.80000003</v>
      </c>
    </row>
    <row r="23" spans="1:14" x14ac:dyDescent="0.25">
      <c r="A23" s="448" t="s">
        <v>257</v>
      </c>
      <c r="B23" s="449">
        <f>SUM('F) Remuneraciones'!I32:I52)*0.5</f>
        <v>2148510</v>
      </c>
      <c r="C23" s="449">
        <v>0</v>
      </c>
      <c r="D23" s="449">
        <v>0</v>
      </c>
      <c r="E23" s="449">
        <v>0</v>
      </c>
      <c r="F23" s="449">
        <v>0</v>
      </c>
      <c r="G23" s="449">
        <v>0</v>
      </c>
      <c r="H23" s="449">
        <v>0</v>
      </c>
      <c r="I23" s="449">
        <v>0</v>
      </c>
      <c r="J23" s="449">
        <f>SUM('F) Remuneraciones'!J32:J52)*0.5</f>
        <v>1073793</v>
      </c>
      <c r="K23" s="449">
        <v>0</v>
      </c>
      <c r="L23" s="449">
        <v>0</v>
      </c>
      <c r="M23" s="449">
        <f>+B23+J23</f>
        <v>3222303</v>
      </c>
      <c r="N23" s="450">
        <f t="shared" ref="N23:N24" si="2">SUM(B23:M23)</f>
        <v>6444606</v>
      </c>
    </row>
    <row r="24" spans="1:14" x14ac:dyDescent="0.25">
      <c r="A24" s="448" t="s">
        <v>258</v>
      </c>
      <c r="B24" s="449">
        <f>(+'C) Costos Directos'!$H$141-'C) Costos Directos'!$D$80)*0.05</f>
        <v>4168369.6456999988</v>
      </c>
      <c r="C24" s="449">
        <f>(+'C) Costos Directos'!$H$141-'C) Costos Directos'!$D$80)*0.05</f>
        <v>4168369.6456999988</v>
      </c>
      <c r="D24" s="449">
        <f>(+'C) Costos Directos'!$H$141-'C) Costos Directos'!$D$80)*0.09</f>
        <v>7503065.3622599971</v>
      </c>
      <c r="E24" s="449">
        <f>(+'C) Costos Directos'!$H$141-'C) Costos Directos'!$D$80)*0.09</f>
        <v>7503065.3622599971</v>
      </c>
      <c r="F24" s="449">
        <f>(+'C) Costos Directos'!$H$141-'C) Costos Directos'!$D$80)*0.09</f>
        <v>7503065.3622599971</v>
      </c>
      <c r="G24" s="449">
        <f>(+'C) Costos Directos'!$H$141-'C) Costos Directos'!$D$80)*0.09</f>
        <v>7503065.3622599971</v>
      </c>
      <c r="H24" s="449">
        <f>(+'C) Costos Directos'!$H$141-'C) Costos Directos'!$D$80)*0.09</f>
        <v>7503065.3622599971</v>
      </c>
      <c r="I24" s="449">
        <f>(+'C) Costos Directos'!$H$141-'C) Costos Directos'!$D$80)*0.09</f>
        <v>7503065.3622599971</v>
      </c>
      <c r="J24" s="449">
        <f>(+'C) Costos Directos'!$H$141-'C) Costos Directos'!$D$80)*0.09</f>
        <v>7503065.3622599971</v>
      </c>
      <c r="K24" s="449">
        <f>(+'C) Costos Directos'!$H$141-'C) Costos Directos'!$D$80)*0.09</f>
        <v>7503065.3622599971</v>
      </c>
      <c r="L24" s="449">
        <f>(+'C) Costos Directos'!$H$141-'C) Costos Directos'!$D$80)*0.09</f>
        <v>7503065.3622599971</v>
      </c>
      <c r="M24" s="449">
        <f>(+'C) Costos Directos'!$H$141-'C) Costos Directos'!$D$80)*0.09</f>
        <v>7503065.3622599971</v>
      </c>
      <c r="N24" s="450">
        <f t="shared" si="2"/>
        <v>83367392.913999975</v>
      </c>
    </row>
    <row r="25" spans="1:14" x14ac:dyDescent="0.25">
      <c r="A25" s="451" t="s">
        <v>259</v>
      </c>
      <c r="B25" s="452">
        <f t="shared" ref="B25:M25" si="3">+B21-B22-B23-B24</f>
        <v>-13885747.045699999</v>
      </c>
      <c r="C25" s="452">
        <f t="shared" si="3"/>
        <v>2001642.9542999989</v>
      </c>
      <c r="D25" s="452">
        <f t="shared" si="3"/>
        <v>12669987.237740004</v>
      </c>
      <c r="E25" s="452">
        <f t="shared" si="3"/>
        <v>5668467.2377400026</v>
      </c>
      <c r="F25" s="452">
        <f t="shared" si="3"/>
        <v>5668467.2377400026</v>
      </c>
      <c r="G25" s="452">
        <f t="shared" si="3"/>
        <v>5668467.2377400026</v>
      </c>
      <c r="H25" s="452">
        <f t="shared" si="3"/>
        <v>5668467.2377400026</v>
      </c>
      <c r="I25" s="452">
        <f t="shared" si="3"/>
        <v>5668467.2377400026</v>
      </c>
      <c r="J25" s="452">
        <f t="shared" si="3"/>
        <v>4594674.2377400026</v>
      </c>
      <c r="K25" s="452">
        <f t="shared" si="3"/>
        <v>5668467.2377400026</v>
      </c>
      <c r="L25" s="452">
        <f t="shared" si="3"/>
        <v>5668467.2377400026</v>
      </c>
      <c r="M25" s="452">
        <f t="shared" si="3"/>
        <v>2446164.2377400026</v>
      </c>
      <c r="N25" s="452">
        <f>+N21-N22-N23-N24</f>
        <v>47505992.286000013</v>
      </c>
    </row>
    <row r="26" spans="1:14" x14ac:dyDescent="0.25">
      <c r="A26" s="444"/>
      <c r="B26" s="446"/>
      <c r="C26" s="446"/>
      <c r="D26" s="446"/>
      <c r="E26" s="446"/>
      <c r="F26" s="446"/>
      <c r="G26" s="446"/>
      <c r="H26" s="446"/>
      <c r="I26" s="446"/>
      <c r="J26" s="446"/>
      <c r="K26" s="446"/>
      <c r="L26" s="446"/>
      <c r="M26" s="446"/>
    </row>
    <row r="27" spans="1:14" x14ac:dyDescent="0.25">
      <c r="A27" s="444"/>
      <c r="B27" s="446"/>
      <c r="C27" s="446"/>
      <c r="D27" s="446"/>
      <c r="E27" s="446"/>
      <c r="F27" s="446"/>
      <c r="G27" s="446"/>
      <c r="H27" s="446"/>
      <c r="I27" s="446"/>
      <c r="J27" s="446"/>
      <c r="K27" s="446"/>
      <c r="L27" s="446"/>
      <c r="M27" s="446"/>
    </row>
    <row r="28" spans="1:14" x14ac:dyDescent="0.25">
      <c r="A28" s="442" t="s">
        <v>260</v>
      </c>
      <c r="B28" s="443" t="s">
        <v>240</v>
      </c>
      <c r="C28" s="443" t="s">
        <v>241</v>
      </c>
      <c r="D28" s="443" t="s">
        <v>242</v>
      </c>
      <c r="E28" s="443" t="s">
        <v>243</v>
      </c>
      <c r="F28" s="443" t="s">
        <v>244</v>
      </c>
      <c r="G28" s="443" t="s">
        <v>245</v>
      </c>
      <c r="H28" s="443" t="s">
        <v>246</v>
      </c>
      <c r="I28" s="443" t="s">
        <v>247</v>
      </c>
      <c r="J28" s="443" t="s">
        <v>248</v>
      </c>
      <c r="K28" s="443" t="s">
        <v>249</v>
      </c>
      <c r="L28" s="443" t="s">
        <v>250</v>
      </c>
      <c r="M28" s="443" t="s">
        <v>251</v>
      </c>
      <c r="N28" s="450"/>
    </row>
    <row r="29" spans="1:14" x14ac:dyDescent="0.25">
      <c r="A29" s="444" t="s">
        <v>252</v>
      </c>
      <c r="B29" s="445"/>
      <c r="C29" s="445"/>
      <c r="D29" s="445">
        <f>+'B) Reajuste Tarifas y Ocupación'!I40</f>
        <v>18</v>
      </c>
      <c r="E29" s="445">
        <f>+'B) Reajuste Tarifas y Ocupación'!J40</f>
        <v>0</v>
      </c>
      <c r="F29" s="445">
        <f>+'B) Reajuste Tarifas y Ocupación'!K40</f>
        <v>0</v>
      </c>
      <c r="G29" s="445">
        <f>+'B) Reajuste Tarifas y Ocupación'!L40</f>
        <v>0</v>
      </c>
      <c r="H29" s="445">
        <f>+'B) Reajuste Tarifas y Ocupación'!M40</f>
        <v>0</v>
      </c>
      <c r="I29" s="445">
        <f>+'B) Reajuste Tarifas y Ocupación'!N40</f>
        <v>0</v>
      </c>
      <c r="J29" s="445">
        <f>+'B) Reajuste Tarifas y Ocupación'!O40</f>
        <v>0</v>
      </c>
      <c r="K29" s="445">
        <f>+'B) Reajuste Tarifas y Ocupación'!P40</f>
        <v>0</v>
      </c>
      <c r="L29" s="445">
        <f>+'B) Reajuste Tarifas y Ocupación'!Q40</f>
        <v>0</v>
      </c>
      <c r="M29" s="445">
        <f>+'B) Reajuste Tarifas y Ocupación'!R40</f>
        <v>0</v>
      </c>
      <c r="N29" s="450"/>
    </row>
    <row r="30" spans="1:14" x14ac:dyDescent="0.25">
      <c r="A30" s="444" t="s">
        <v>253</v>
      </c>
      <c r="B30" s="445">
        <f>+COUNTA('F) Remuneraciones'!$C$53:$C$58)</f>
        <v>2</v>
      </c>
      <c r="C30" s="445">
        <f>+COUNTA('F) Remuneraciones'!$C$53:$C$58)</f>
        <v>2</v>
      </c>
      <c r="D30" s="445">
        <f>+COUNTA('F) Remuneraciones'!$C$53:$C$58)</f>
        <v>2</v>
      </c>
      <c r="E30" s="445">
        <f>+COUNTA('F) Remuneraciones'!$C$53:$C$58)</f>
        <v>2</v>
      </c>
      <c r="F30" s="445">
        <f>+COUNTA('F) Remuneraciones'!$C$53:$C$58)</f>
        <v>2</v>
      </c>
      <c r="G30" s="445">
        <f>+COUNTA('F) Remuneraciones'!$C$53:$C$58)</f>
        <v>2</v>
      </c>
      <c r="H30" s="445">
        <f>+COUNTA('F) Remuneraciones'!$C$53:$C$58)</f>
        <v>2</v>
      </c>
      <c r="I30" s="445">
        <f>+COUNTA('F) Remuneraciones'!$C$53:$C$58)</f>
        <v>2</v>
      </c>
      <c r="J30" s="445">
        <f>+COUNTA('F) Remuneraciones'!$C$53:$C$58)</f>
        <v>2</v>
      </c>
      <c r="K30" s="445">
        <f>+COUNTA('F) Remuneraciones'!$C$53:$C$58)</f>
        <v>2</v>
      </c>
      <c r="L30" s="445">
        <f>+COUNTA('F) Remuneraciones'!$C$53:$C$58)</f>
        <v>2</v>
      </c>
      <c r="M30" s="445">
        <f>+COUNTA('F) Remuneraciones'!$C$53:$C$58)</f>
        <v>2</v>
      </c>
      <c r="N30" s="450"/>
    </row>
    <row r="31" spans="1:14" x14ac:dyDescent="0.25">
      <c r="A31" s="444"/>
      <c r="B31" s="446"/>
      <c r="C31" s="446"/>
      <c r="D31" s="446"/>
      <c r="E31" s="446"/>
      <c r="F31" s="446"/>
      <c r="G31" s="446"/>
      <c r="H31" s="446"/>
      <c r="I31" s="446"/>
      <c r="J31" s="446"/>
      <c r="K31" s="446"/>
      <c r="L31" s="446"/>
      <c r="M31" s="446"/>
    </row>
    <row r="32" spans="1:14" ht="30" x14ac:dyDescent="0.25">
      <c r="A32" s="447" t="s">
        <v>147</v>
      </c>
      <c r="B32" s="443" t="s">
        <v>240</v>
      </c>
      <c r="C32" s="443" t="s">
        <v>241</v>
      </c>
      <c r="D32" s="443" t="s">
        <v>242</v>
      </c>
      <c r="E32" s="443" t="s">
        <v>243</v>
      </c>
      <c r="F32" s="443" t="s">
        <v>244</v>
      </c>
      <c r="G32" s="443" t="s">
        <v>245</v>
      </c>
      <c r="H32" s="443" t="s">
        <v>246</v>
      </c>
      <c r="I32" s="443" t="s">
        <v>247</v>
      </c>
      <c r="J32" s="443" t="s">
        <v>248</v>
      </c>
      <c r="K32" s="443" t="s">
        <v>249</v>
      </c>
      <c r="L32" s="443" t="s">
        <v>250</v>
      </c>
      <c r="M32" s="443" t="s">
        <v>251</v>
      </c>
      <c r="N32" s="443" t="s">
        <v>254</v>
      </c>
    </row>
    <row r="33" spans="1:14" x14ac:dyDescent="0.25">
      <c r="A33" s="448" t="s">
        <v>255</v>
      </c>
      <c r="B33" s="449">
        <f>+'A) Resumen Ingresos y Egresos'!P43</f>
        <v>0</v>
      </c>
      <c r="C33" s="449">
        <f>+'A) Resumen Ingresos y Egresos'!N43*0.7</f>
        <v>646380</v>
      </c>
      <c r="D33" s="449">
        <f>+'A) Resumen Ingresos y Egresos'!N43*0.3+'A) Resumen Ingresos y Egresos'!O43*0.1</f>
        <v>1200420</v>
      </c>
      <c r="E33" s="449">
        <f>+'A) Resumen Ingresos y Egresos'!$O$43*0.1</f>
        <v>923400</v>
      </c>
      <c r="F33" s="449">
        <f>+'A) Resumen Ingresos y Egresos'!$O$43*0.1</f>
        <v>923400</v>
      </c>
      <c r="G33" s="449">
        <f>+'A) Resumen Ingresos y Egresos'!$O$43*0.1</f>
        <v>923400</v>
      </c>
      <c r="H33" s="449">
        <f>+'A) Resumen Ingresos y Egresos'!$O$43*0.1</f>
        <v>923400</v>
      </c>
      <c r="I33" s="449">
        <f>+'A) Resumen Ingresos y Egresos'!$O$43*0.1</f>
        <v>923400</v>
      </c>
      <c r="J33" s="449">
        <f>+'A) Resumen Ingresos y Egresos'!$O$43*0.1</f>
        <v>923400</v>
      </c>
      <c r="K33" s="449">
        <f>+'A) Resumen Ingresos y Egresos'!$O$43*0.1</f>
        <v>923400</v>
      </c>
      <c r="L33" s="449">
        <f>+'A) Resumen Ingresos y Egresos'!$O$43*0.1</f>
        <v>923400</v>
      </c>
      <c r="M33" s="449">
        <f>+'A) Resumen Ingresos y Egresos'!$O$43*0.1</f>
        <v>923400</v>
      </c>
      <c r="N33" s="450">
        <f>SUM(B33:M33)</f>
        <v>10157400</v>
      </c>
    </row>
    <row r="34" spans="1:14" x14ac:dyDescent="0.25">
      <c r="A34" s="448" t="s">
        <v>256</v>
      </c>
      <c r="B34" s="449">
        <f>SUM('F) Remuneraciones'!$H$53:$H$58)/12</f>
        <v>0</v>
      </c>
      <c r="C34" s="449">
        <f>SUM('F) Remuneraciones'!$H$53:$H$58)/12</f>
        <v>0</v>
      </c>
      <c r="D34" s="449">
        <f>SUM('F) Remuneraciones'!$H$53:$H$58)/12</f>
        <v>0</v>
      </c>
      <c r="E34" s="449">
        <f>SUM('F) Remuneraciones'!$H$53:$H$58)/12</f>
        <v>0</v>
      </c>
      <c r="F34" s="449">
        <f>SUM('F) Remuneraciones'!$H$53:$H$58)/12</f>
        <v>0</v>
      </c>
      <c r="G34" s="449">
        <f>SUM('F) Remuneraciones'!$H$53:$H$58)/12</f>
        <v>0</v>
      </c>
      <c r="H34" s="449">
        <f>SUM('F) Remuneraciones'!$H$53:$H$58)/12</f>
        <v>0</v>
      </c>
      <c r="I34" s="449">
        <f>SUM('F) Remuneraciones'!$H$53:$H$58)/12</f>
        <v>0</v>
      </c>
      <c r="J34" s="449">
        <f>SUM('F) Remuneraciones'!$H$53:$H$58)/12</f>
        <v>0</v>
      </c>
      <c r="K34" s="449">
        <f>SUM('F) Remuneraciones'!$H$53:$H$58)/12</f>
        <v>0</v>
      </c>
      <c r="L34" s="449">
        <f>SUM('F) Remuneraciones'!$H$53:$H$58)/12</f>
        <v>0</v>
      </c>
      <c r="M34" s="449">
        <f>SUM('F) Remuneraciones'!$H$53:$H$58)/12</f>
        <v>0</v>
      </c>
      <c r="N34" s="450">
        <f>SUM(B34:M34)</f>
        <v>0</v>
      </c>
    </row>
    <row r="35" spans="1:14" x14ac:dyDescent="0.25">
      <c r="A35" s="448" t="s">
        <v>257</v>
      </c>
      <c r="B35" s="449">
        <f>SUM('F) Remuneraciones'!I53:I58)*0.5</f>
        <v>0</v>
      </c>
      <c r="C35" s="449">
        <v>0</v>
      </c>
      <c r="D35" s="449">
        <v>0</v>
      </c>
      <c r="E35" s="449">
        <v>0</v>
      </c>
      <c r="F35" s="449">
        <v>0</v>
      </c>
      <c r="G35" s="449">
        <v>0</v>
      </c>
      <c r="H35" s="449">
        <v>0</v>
      </c>
      <c r="I35" s="449">
        <v>0</v>
      </c>
      <c r="J35" s="449">
        <f>SUM('F) Remuneraciones'!J53:J58)*0.5</f>
        <v>0</v>
      </c>
      <c r="K35" s="449">
        <v>0</v>
      </c>
      <c r="L35" s="449">
        <v>0</v>
      </c>
      <c r="M35" s="449">
        <f>+B35+J35</f>
        <v>0</v>
      </c>
      <c r="N35" s="450">
        <f t="shared" ref="N35:N36" si="4">SUM(B35:M35)</f>
        <v>0</v>
      </c>
    </row>
    <row r="36" spans="1:14" x14ac:dyDescent="0.25">
      <c r="A36" s="448" t="s">
        <v>258</v>
      </c>
      <c r="B36" s="449">
        <f>(+'C) Costos Directos'!$H$207-'C) Costos Directos'!$D$146)*0.05</f>
        <v>727369.71</v>
      </c>
      <c r="C36" s="449">
        <f>(+'C) Costos Directos'!$H$207-'C) Costos Directos'!$D$146)*0.05</f>
        <v>727369.71</v>
      </c>
      <c r="D36" s="449">
        <f>(+'C) Costos Directos'!$H$207-'C) Costos Directos'!$D$146)*0.09</f>
        <v>1309265.4779999999</v>
      </c>
      <c r="E36" s="449">
        <f>(+'C) Costos Directos'!$H$207-'C) Costos Directos'!$D$146)*0.09</f>
        <v>1309265.4779999999</v>
      </c>
      <c r="F36" s="449">
        <f>(+'C) Costos Directos'!$H$207-'C) Costos Directos'!$D$146)*0.09</f>
        <v>1309265.4779999999</v>
      </c>
      <c r="G36" s="449">
        <f>(+'C) Costos Directos'!$H$207-'C) Costos Directos'!$D$146)*0.09</f>
        <v>1309265.4779999999</v>
      </c>
      <c r="H36" s="449">
        <f>(+'C) Costos Directos'!$H$207-'C) Costos Directos'!$D$146)*0.09</f>
        <v>1309265.4779999999</v>
      </c>
      <c r="I36" s="449">
        <f>(+'C) Costos Directos'!$H$207-'C) Costos Directos'!$D$146)*0.09</f>
        <v>1309265.4779999999</v>
      </c>
      <c r="J36" s="449">
        <f>(+'C) Costos Directos'!$H$207-'C) Costos Directos'!$D$146)*0.09</f>
        <v>1309265.4779999999</v>
      </c>
      <c r="K36" s="449">
        <f>(+'C) Costos Directos'!$H$207-'C) Costos Directos'!$D$146)*0.09</f>
        <v>1309265.4779999999</v>
      </c>
      <c r="L36" s="449">
        <f>(+'C) Costos Directos'!$H$207-'C) Costos Directos'!$D$146)*0.09</f>
        <v>1309265.4779999999</v>
      </c>
      <c r="M36" s="449">
        <f>(+'C) Costos Directos'!$H$207-'C) Costos Directos'!$D$146)*0.09</f>
        <v>1309265.4779999999</v>
      </c>
      <c r="N36" s="450">
        <f t="shared" si="4"/>
        <v>14547394.200000001</v>
      </c>
    </row>
    <row r="37" spans="1:14" x14ac:dyDescent="0.25">
      <c r="A37" s="451" t="s">
        <v>259</v>
      </c>
      <c r="B37" s="452">
        <f t="shared" ref="B37:M37" si="5">+B33-B34-B35-B36</f>
        <v>-727369.71</v>
      </c>
      <c r="C37" s="452">
        <f t="shared" si="5"/>
        <v>-80989.709999999963</v>
      </c>
      <c r="D37" s="452">
        <f t="shared" si="5"/>
        <v>-108845.47799999989</v>
      </c>
      <c r="E37" s="452">
        <f t="shared" si="5"/>
        <v>-385865.47799999989</v>
      </c>
      <c r="F37" s="452">
        <f t="shared" si="5"/>
        <v>-385865.47799999989</v>
      </c>
      <c r="G37" s="452">
        <f t="shared" si="5"/>
        <v>-385865.47799999989</v>
      </c>
      <c r="H37" s="452">
        <f t="shared" si="5"/>
        <v>-385865.47799999989</v>
      </c>
      <c r="I37" s="452">
        <f t="shared" si="5"/>
        <v>-385865.47799999989</v>
      </c>
      <c r="J37" s="452">
        <f t="shared" si="5"/>
        <v>-385865.47799999989</v>
      </c>
      <c r="K37" s="452">
        <f t="shared" si="5"/>
        <v>-385865.47799999989</v>
      </c>
      <c r="L37" s="452">
        <f t="shared" si="5"/>
        <v>-385865.47799999989</v>
      </c>
      <c r="M37" s="452">
        <f t="shared" si="5"/>
        <v>-385865.47799999989</v>
      </c>
      <c r="N37" s="452">
        <f>+N33-N34-N35-N36</f>
        <v>-4389994.2000000011</v>
      </c>
    </row>
    <row r="40" spans="1:14" x14ac:dyDescent="0.25">
      <c r="A40" s="442" t="s">
        <v>260</v>
      </c>
      <c r="B40" s="443" t="s">
        <v>240</v>
      </c>
      <c r="C40" s="443" t="s">
        <v>241</v>
      </c>
      <c r="D40" s="443" t="s">
        <v>242</v>
      </c>
      <c r="E40" s="443" t="s">
        <v>243</v>
      </c>
      <c r="F40" s="443" t="s">
        <v>244</v>
      </c>
      <c r="G40" s="443" t="s">
        <v>245</v>
      </c>
      <c r="H40" s="443" t="s">
        <v>246</v>
      </c>
      <c r="I40" s="443" t="s">
        <v>247</v>
      </c>
      <c r="J40" s="443" t="s">
        <v>248</v>
      </c>
      <c r="K40" s="443" t="s">
        <v>249</v>
      </c>
      <c r="L40" s="443" t="s">
        <v>250</v>
      </c>
      <c r="M40" s="443" t="s">
        <v>251</v>
      </c>
      <c r="N40" s="450"/>
    </row>
    <row r="41" spans="1:14" x14ac:dyDescent="0.25">
      <c r="A41" s="444" t="s">
        <v>252</v>
      </c>
      <c r="B41" s="445"/>
      <c r="C41" s="445"/>
      <c r="D41" s="445">
        <f>+'B) Reajuste Tarifas y Ocupación'!$I$42</f>
        <v>34</v>
      </c>
      <c r="E41" s="445">
        <f>+'B) Reajuste Tarifas y Ocupación'!$I$42</f>
        <v>34</v>
      </c>
      <c r="F41" s="445">
        <f>+'B) Reajuste Tarifas y Ocupación'!$I$42</f>
        <v>34</v>
      </c>
      <c r="G41" s="445">
        <f>+'B) Reajuste Tarifas y Ocupación'!$I$42</f>
        <v>34</v>
      </c>
      <c r="H41" s="445">
        <f>+'B) Reajuste Tarifas y Ocupación'!$I$42</f>
        <v>34</v>
      </c>
      <c r="I41" s="445">
        <f>+'B) Reajuste Tarifas y Ocupación'!$I$42</f>
        <v>34</v>
      </c>
      <c r="J41" s="445">
        <f>+'B) Reajuste Tarifas y Ocupación'!$I$42</f>
        <v>34</v>
      </c>
      <c r="K41" s="445">
        <f>+'B) Reajuste Tarifas y Ocupación'!$I$42</f>
        <v>34</v>
      </c>
      <c r="L41" s="445">
        <f>+'B) Reajuste Tarifas y Ocupación'!$I$42</f>
        <v>34</v>
      </c>
      <c r="M41" s="445">
        <f>+'B) Reajuste Tarifas y Ocupación'!$I$42</f>
        <v>34</v>
      </c>
      <c r="N41" s="450"/>
    </row>
    <row r="42" spans="1:14" x14ac:dyDescent="0.25">
      <c r="A42" s="444" t="s">
        <v>253</v>
      </c>
      <c r="B42" s="445">
        <f>+COUNTA('F) Remuneraciones'!$C$59:$C$70)</f>
        <v>11</v>
      </c>
      <c r="C42" s="445">
        <f>+COUNTA('F) Remuneraciones'!$C$59:$C$70)</f>
        <v>11</v>
      </c>
      <c r="D42" s="445">
        <f>+COUNTA('F) Remuneraciones'!$C$59:$C$70)</f>
        <v>11</v>
      </c>
      <c r="E42" s="445">
        <f>+COUNTA('F) Remuneraciones'!$C$59:$C$70)</f>
        <v>11</v>
      </c>
      <c r="F42" s="445">
        <f>+COUNTA('F) Remuneraciones'!$C$59:$C$70)</f>
        <v>11</v>
      </c>
      <c r="G42" s="445">
        <f>+COUNTA('F) Remuneraciones'!$C$59:$C$70)</f>
        <v>11</v>
      </c>
      <c r="H42" s="445">
        <f>+COUNTA('F) Remuneraciones'!$C$59:$C$70)</f>
        <v>11</v>
      </c>
      <c r="I42" s="445">
        <f>+COUNTA('F) Remuneraciones'!$C$59:$C$70)</f>
        <v>11</v>
      </c>
      <c r="J42" s="445">
        <f>+COUNTA('F) Remuneraciones'!$C$59:$C$70)</f>
        <v>11</v>
      </c>
      <c r="K42" s="445">
        <f>+COUNTA('F) Remuneraciones'!$C$59:$C$70)</f>
        <v>11</v>
      </c>
      <c r="L42" s="445">
        <f>+COUNTA('F) Remuneraciones'!$C$59:$C$70)</f>
        <v>11</v>
      </c>
      <c r="M42" s="445">
        <f>+COUNTA('F) Remuneraciones'!$C$59:$C$70)</f>
        <v>11</v>
      </c>
      <c r="N42" s="450"/>
    </row>
    <row r="43" spans="1:14" x14ac:dyDescent="0.25">
      <c r="A43" s="444"/>
      <c r="B43" s="446"/>
      <c r="C43" s="446"/>
      <c r="D43" s="446"/>
      <c r="E43" s="446"/>
      <c r="F43" s="446"/>
      <c r="G43" s="446"/>
      <c r="H43" s="446"/>
      <c r="I43" s="446"/>
      <c r="J43" s="446"/>
      <c r="K43" s="446"/>
      <c r="L43" s="446"/>
      <c r="M43" s="446"/>
    </row>
    <row r="44" spans="1:14" ht="30" x14ac:dyDescent="0.25">
      <c r="A44" s="447" t="s">
        <v>148</v>
      </c>
      <c r="B44" s="443" t="s">
        <v>240</v>
      </c>
      <c r="C44" s="443" t="s">
        <v>241</v>
      </c>
      <c r="D44" s="443" t="s">
        <v>242</v>
      </c>
      <c r="E44" s="443" t="s">
        <v>243</v>
      </c>
      <c r="F44" s="443" t="s">
        <v>244</v>
      </c>
      <c r="G44" s="443" t="s">
        <v>245</v>
      </c>
      <c r="H44" s="443" t="s">
        <v>246</v>
      </c>
      <c r="I44" s="443" t="s">
        <v>247</v>
      </c>
      <c r="J44" s="443" t="s">
        <v>248</v>
      </c>
      <c r="K44" s="443" t="s">
        <v>249</v>
      </c>
      <c r="L44" s="443" t="s">
        <v>250</v>
      </c>
      <c r="M44" s="443" t="s">
        <v>251</v>
      </c>
      <c r="N44" s="443" t="s">
        <v>254</v>
      </c>
    </row>
    <row r="45" spans="1:14" x14ac:dyDescent="0.25">
      <c r="A45" s="448" t="s">
        <v>255</v>
      </c>
      <c r="B45" s="449">
        <f>+'A) Resumen Ingresos y Egresos'!P50</f>
        <v>2078400</v>
      </c>
      <c r="C45" s="449">
        <f>+'A) Resumen Ingresos y Egresos'!N50*0.7</f>
        <v>4617200</v>
      </c>
      <c r="D45" s="449">
        <f>+'A) Resumen Ingresos y Egresos'!N50*0.3+'A) Resumen Ingresos y Egresos'!O50*0.1</f>
        <v>8574800</v>
      </c>
      <c r="E45" s="449">
        <f>+'A) Resumen Ingresos y Egresos'!$O$50*0.1</f>
        <v>6596000</v>
      </c>
      <c r="F45" s="449">
        <f>+'A) Resumen Ingresos y Egresos'!$O$50*0.1</f>
        <v>6596000</v>
      </c>
      <c r="G45" s="449">
        <f>+'A) Resumen Ingresos y Egresos'!$O$50*0.1</f>
        <v>6596000</v>
      </c>
      <c r="H45" s="449">
        <f>+'A) Resumen Ingresos y Egresos'!$O$50*0.1</f>
        <v>6596000</v>
      </c>
      <c r="I45" s="449">
        <f>+'A) Resumen Ingresos y Egresos'!$O$50*0.1</f>
        <v>6596000</v>
      </c>
      <c r="J45" s="449">
        <f>+'A) Resumen Ingresos y Egresos'!$O$50*0.1</f>
        <v>6596000</v>
      </c>
      <c r="K45" s="449">
        <f>+'A) Resumen Ingresos y Egresos'!$O$50*0.1</f>
        <v>6596000</v>
      </c>
      <c r="L45" s="449">
        <f>+'A) Resumen Ingresos y Egresos'!$O$50*0.1</f>
        <v>6596000</v>
      </c>
      <c r="M45" s="449">
        <f>+'A) Resumen Ingresos y Egresos'!$O$50*0.1</f>
        <v>6596000</v>
      </c>
      <c r="N45" s="450">
        <f>SUM(B45:M45)</f>
        <v>74634400</v>
      </c>
    </row>
    <row r="46" spans="1:14" x14ac:dyDescent="0.25">
      <c r="A46" s="448" t="s">
        <v>256</v>
      </c>
      <c r="B46" s="449">
        <f>SUM('F) Remuneraciones'!$H$59:$H$70)/12</f>
        <v>0</v>
      </c>
      <c r="C46" s="449">
        <f>SUM('F) Remuneraciones'!$H$59:$H$70)/12</f>
        <v>0</v>
      </c>
      <c r="D46" s="449">
        <f>SUM('F) Remuneraciones'!$H$59:$H$70)/12</f>
        <v>0</v>
      </c>
      <c r="E46" s="449">
        <f>SUM('F) Remuneraciones'!$H$59:$H$70)/12</f>
        <v>0</v>
      </c>
      <c r="F46" s="449">
        <f>SUM('F) Remuneraciones'!$H$59:$H$70)/12</f>
        <v>0</v>
      </c>
      <c r="G46" s="449">
        <f>SUM('F) Remuneraciones'!$H$59:$H$70)/12</f>
        <v>0</v>
      </c>
      <c r="H46" s="449">
        <f>SUM('F) Remuneraciones'!$H$59:$H$70)/12</f>
        <v>0</v>
      </c>
      <c r="I46" s="449">
        <f>SUM('F) Remuneraciones'!$H$59:$H$70)/12</f>
        <v>0</v>
      </c>
      <c r="J46" s="449">
        <f>SUM('F) Remuneraciones'!$H$59:$H$70)/12</f>
        <v>0</v>
      </c>
      <c r="K46" s="449">
        <f>SUM('F) Remuneraciones'!$H$59:$H$70)/12</f>
        <v>0</v>
      </c>
      <c r="L46" s="449">
        <f>SUM('F) Remuneraciones'!$H$59:$H$70)/12</f>
        <v>0</v>
      </c>
      <c r="M46" s="449">
        <f>SUM('F) Remuneraciones'!$H$59:$H$70)/12</f>
        <v>0</v>
      </c>
      <c r="N46" s="450">
        <f>SUM(B46:M46)</f>
        <v>0</v>
      </c>
    </row>
    <row r="47" spans="1:14" x14ac:dyDescent="0.25">
      <c r="A47" s="448" t="s">
        <v>257</v>
      </c>
      <c r="B47" s="449">
        <f>SUM('F) Remuneraciones'!I59:I70)*0.5</f>
        <v>0</v>
      </c>
      <c r="C47" s="449">
        <v>0</v>
      </c>
      <c r="D47" s="449">
        <v>0</v>
      </c>
      <c r="E47" s="449">
        <v>0</v>
      </c>
      <c r="F47" s="449">
        <v>0</v>
      </c>
      <c r="G47" s="449">
        <v>0</v>
      </c>
      <c r="H47" s="449">
        <v>0</v>
      </c>
      <c r="I47" s="449">
        <v>0</v>
      </c>
      <c r="J47" s="449">
        <f>SUM('F) Remuneraciones'!J59:J70)*0.5</f>
        <v>0</v>
      </c>
      <c r="K47" s="449">
        <v>0</v>
      </c>
      <c r="L47" s="449">
        <v>0</v>
      </c>
      <c r="M47" s="449">
        <f>+B47+J47</f>
        <v>0</v>
      </c>
      <c r="N47" s="450">
        <f t="shared" ref="N47:N48" si="6">SUM(B47:M47)</f>
        <v>0</v>
      </c>
    </row>
    <row r="48" spans="1:14" x14ac:dyDescent="0.25">
      <c r="A48" s="448" t="s">
        <v>258</v>
      </c>
      <c r="B48" s="449">
        <f>(+'C) Costos Directos'!$H$273-'C) Costos Directos'!$D$212)*0.05</f>
        <v>1121275.0392799999</v>
      </c>
      <c r="C48" s="449">
        <f>(+'C) Costos Directos'!$H$273-'C) Costos Directos'!$D$212)*0.05</f>
        <v>1121275.0392799999</v>
      </c>
      <c r="D48" s="449">
        <f>(+'C) Costos Directos'!$H$273-'C) Costos Directos'!$D$212)*0.09</f>
        <v>2018295.0707039998</v>
      </c>
      <c r="E48" s="449">
        <f>(+'C) Costos Directos'!$H$273-'C) Costos Directos'!$D$212)*0.09</f>
        <v>2018295.0707039998</v>
      </c>
      <c r="F48" s="449">
        <f>(+'C) Costos Directos'!$H$273-'C) Costos Directos'!$D$212)*0.09</f>
        <v>2018295.0707039998</v>
      </c>
      <c r="G48" s="449">
        <f>(+'C) Costos Directos'!$H$273-'C) Costos Directos'!$D$212)*0.09</f>
        <v>2018295.0707039998</v>
      </c>
      <c r="H48" s="449">
        <f>(+'C) Costos Directos'!$H$273-'C) Costos Directos'!$D$212)*0.09</f>
        <v>2018295.0707039998</v>
      </c>
      <c r="I48" s="449">
        <f>(+'C) Costos Directos'!$H$273-'C) Costos Directos'!$D$212)*0.09</f>
        <v>2018295.0707039998</v>
      </c>
      <c r="J48" s="449">
        <f>(+'C) Costos Directos'!$H$273-'C) Costos Directos'!$D$212)*0.09</f>
        <v>2018295.0707039998</v>
      </c>
      <c r="K48" s="449">
        <f>(+'C) Costos Directos'!$H$273-'C) Costos Directos'!$D$212)*0.09</f>
        <v>2018295.0707039998</v>
      </c>
      <c r="L48" s="449">
        <f>(+'C) Costos Directos'!$H$273-'C) Costos Directos'!$D$212)*0.09</f>
        <v>2018295.0707039998</v>
      </c>
      <c r="M48" s="449">
        <f>(+'C) Costos Directos'!$H$273-'C) Costos Directos'!$D$212)*0.09</f>
        <v>2018295.0707039998</v>
      </c>
      <c r="N48" s="450">
        <f t="shared" si="6"/>
        <v>22425500.785599995</v>
      </c>
    </row>
    <row r="49" spans="1:14" x14ac:dyDescent="0.25">
      <c r="A49" s="451" t="s">
        <v>259</v>
      </c>
      <c r="B49" s="452">
        <f t="shared" ref="B49:M49" si="7">+B45-B46-B47-B48</f>
        <v>957124.96072000009</v>
      </c>
      <c r="C49" s="452">
        <f t="shared" si="7"/>
        <v>3495924.9607199999</v>
      </c>
      <c r="D49" s="452">
        <f t="shared" si="7"/>
        <v>6556504.9292959999</v>
      </c>
      <c r="E49" s="452">
        <f t="shared" si="7"/>
        <v>4577704.9292959999</v>
      </c>
      <c r="F49" s="452">
        <f t="shared" si="7"/>
        <v>4577704.9292959999</v>
      </c>
      <c r="G49" s="452">
        <f t="shared" si="7"/>
        <v>4577704.9292959999</v>
      </c>
      <c r="H49" s="452">
        <f t="shared" si="7"/>
        <v>4577704.9292959999</v>
      </c>
      <c r="I49" s="452">
        <f t="shared" si="7"/>
        <v>4577704.9292959999</v>
      </c>
      <c r="J49" s="452">
        <f t="shared" si="7"/>
        <v>4577704.9292959999</v>
      </c>
      <c r="K49" s="452">
        <f t="shared" si="7"/>
        <v>4577704.9292959999</v>
      </c>
      <c r="L49" s="452">
        <f t="shared" si="7"/>
        <v>4577704.9292959999</v>
      </c>
      <c r="M49" s="452">
        <f t="shared" si="7"/>
        <v>4577704.9292959999</v>
      </c>
      <c r="N49" s="452">
        <f>+N45-N46-N47-N48</f>
        <v>52208899.214400008</v>
      </c>
    </row>
    <row r="52" spans="1:14" x14ac:dyDescent="0.25">
      <c r="A52" s="442" t="s">
        <v>260</v>
      </c>
      <c r="B52" s="443" t="s">
        <v>240</v>
      </c>
      <c r="C52" s="443" t="s">
        <v>241</v>
      </c>
      <c r="D52" s="443" t="s">
        <v>242</v>
      </c>
      <c r="E52" s="443" t="s">
        <v>243</v>
      </c>
      <c r="F52" s="443" t="s">
        <v>244</v>
      </c>
      <c r="G52" s="443" t="s">
        <v>245</v>
      </c>
      <c r="H52" s="443" t="s">
        <v>246</v>
      </c>
      <c r="I52" s="443" t="s">
        <v>247</v>
      </c>
      <c r="J52" s="443" t="s">
        <v>248</v>
      </c>
      <c r="K52" s="443" t="s">
        <v>249</v>
      </c>
      <c r="L52" s="443" t="s">
        <v>250</v>
      </c>
      <c r="M52" s="443" t="s">
        <v>251</v>
      </c>
    </row>
    <row r="53" spans="1:14" x14ac:dyDescent="0.25">
      <c r="A53" s="444" t="s">
        <v>252</v>
      </c>
      <c r="B53" s="445">
        <f>+'B) Reajuste Tarifas y Ocupación'!$I$48</f>
        <v>35</v>
      </c>
      <c r="C53" s="445">
        <f>+'B) Reajuste Tarifas y Ocupación'!$I$48</f>
        <v>35</v>
      </c>
      <c r="D53" s="445">
        <f>+'B) Reajuste Tarifas y Ocupación'!$I$48</f>
        <v>35</v>
      </c>
      <c r="E53" s="445">
        <f>+'B) Reajuste Tarifas y Ocupación'!$I$48</f>
        <v>35</v>
      </c>
      <c r="F53" s="445">
        <f>+'B) Reajuste Tarifas y Ocupación'!$I$48</f>
        <v>35</v>
      </c>
      <c r="G53" s="445">
        <f>+'B) Reajuste Tarifas y Ocupación'!$I$48</f>
        <v>35</v>
      </c>
      <c r="H53" s="445">
        <f>+'B) Reajuste Tarifas y Ocupación'!$I$48</f>
        <v>35</v>
      </c>
      <c r="I53" s="445">
        <f>+'B) Reajuste Tarifas y Ocupación'!$I$48</f>
        <v>35</v>
      </c>
      <c r="J53" s="445">
        <f>+'B) Reajuste Tarifas y Ocupación'!$I$48</f>
        <v>35</v>
      </c>
      <c r="K53" s="445">
        <f>+'B) Reajuste Tarifas y Ocupación'!$I$48</f>
        <v>35</v>
      </c>
      <c r="L53" s="445">
        <f>+'B) Reajuste Tarifas y Ocupación'!$I$48</f>
        <v>35</v>
      </c>
      <c r="M53" s="445">
        <f>+'B) Reajuste Tarifas y Ocupación'!$I$48</f>
        <v>35</v>
      </c>
    </row>
    <row r="54" spans="1:14" x14ac:dyDescent="0.25">
      <c r="A54" s="444" t="s">
        <v>253</v>
      </c>
      <c r="B54" s="445">
        <f>+COUNTA('F) Remuneraciones'!$C$73:$C$87)</f>
        <v>11</v>
      </c>
      <c r="C54" s="445">
        <f>+COUNTA('F) Remuneraciones'!$C$73:$C$87)</f>
        <v>11</v>
      </c>
      <c r="D54" s="445">
        <f>+COUNTA('F) Remuneraciones'!$C$73:$C$87)</f>
        <v>11</v>
      </c>
      <c r="E54" s="445">
        <f>+COUNTA('F) Remuneraciones'!$C$73:$C$87)</f>
        <v>11</v>
      </c>
      <c r="F54" s="445">
        <f>+COUNTA('F) Remuneraciones'!$C$73:$C$87)</f>
        <v>11</v>
      </c>
      <c r="G54" s="445">
        <f>+COUNTA('F) Remuneraciones'!$C$73:$C$87)</f>
        <v>11</v>
      </c>
      <c r="H54" s="445">
        <f>+COUNTA('F) Remuneraciones'!$C$73:$C$87)</f>
        <v>11</v>
      </c>
      <c r="I54" s="445">
        <f>+COUNTA('F) Remuneraciones'!$C$73:$C$87)</f>
        <v>11</v>
      </c>
      <c r="J54" s="445">
        <f>+COUNTA('F) Remuneraciones'!$C$73:$C$87)</f>
        <v>11</v>
      </c>
      <c r="K54" s="445">
        <f>+COUNTA('F) Remuneraciones'!$C$73:$C$87)</f>
        <v>11</v>
      </c>
      <c r="L54" s="445">
        <f>+COUNTA('F) Remuneraciones'!$C$73:$C$87)</f>
        <v>11</v>
      </c>
      <c r="M54" s="445">
        <f>+COUNTA('F) Remuneraciones'!$C$73:$C$87)</f>
        <v>11</v>
      </c>
    </row>
    <row r="55" spans="1:14" x14ac:dyDescent="0.25">
      <c r="A55" s="444"/>
      <c r="B55" s="446"/>
      <c r="C55" s="446"/>
      <c r="D55" s="446"/>
      <c r="E55" s="446"/>
      <c r="F55" s="446"/>
      <c r="G55" s="446"/>
      <c r="H55" s="446"/>
      <c r="I55" s="446"/>
      <c r="J55" s="446"/>
      <c r="K55" s="446"/>
      <c r="L55" s="446"/>
      <c r="M55" s="446"/>
    </row>
    <row r="56" spans="1:14" ht="30" x14ac:dyDescent="0.25">
      <c r="A56" s="447" t="s">
        <v>266</v>
      </c>
      <c r="B56" s="443" t="s">
        <v>240</v>
      </c>
      <c r="C56" s="443" t="s">
        <v>241</v>
      </c>
      <c r="D56" s="443" t="s">
        <v>242</v>
      </c>
      <c r="E56" s="443" t="s">
        <v>243</v>
      </c>
      <c r="F56" s="443" t="s">
        <v>244</v>
      </c>
      <c r="G56" s="443" t="s">
        <v>245</v>
      </c>
      <c r="H56" s="443" t="s">
        <v>246</v>
      </c>
      <c r="I56" s="443" t="s">
        <v>247</v>
      </c>
      <c r="J56" s="443" t="s">
        <v>248</v>
      </c>
      <c r="K56" s="443" t="s">
        <v>249</v>
      </c>
      <c r="L56" s="443" t="s">
        <v>250</v>
      </c>
      <c r="M56" s="443" t="s">
        <v>251</v>
      </c>
      <c r="N56" s="443" t="s">
        <v>254</v>
      </c>
    </row>
    <row r="57" spans="1:14" x14ac:dyDescent="0.25">
      <c r="A57" s="448" t="s">
        <v>255</v>
      </c>
      <c r="B57" s="449">
        <f>+'A) Resumen Ingresos y Egresos'!$N$60/12+'A) Resumen Ingresos y Egresos'!$O$60/12</f>
        <v>13923000</v>
      </c>
      <c r="C57" s="449">
        <f>+'A) Resumen Ingresos y Egresos'!$N$60/12+'A) Resumen Ingresos y Egresos'!$O$60/12</f>
        <v>13923000</v>
      </c>
      <c r="D57" s="449">
        <f>+'A) Resumen Ingresos y Egresos'!$N$60/12+'A) Resumen Ingresos y Egresos'!$O$60/12</f>
        <v>13923000</v>
      </c>
      <c r="E57" s="449">
        <f>+'A) Resumen Ingresos y Egresos'!$N$60/12+'A) Resumen Ingresos y Egresos'!$O$60/12</f>
        <v>13923000</v>
      </c>
      <c r="F57" s="449">
        <f>+'A) Resumen Ingresos y Egresos'!$N$60/12+'A) Resumen Ingresos y Egresos'!$O$60/12</f>
        <v>13923000</v>
      </c>
      <c r="G57" s="449">
        <f>+'A) Resumen Ingresos y Egresos'!$N$60/12+'A) Resumen Ingresos y Egresos'!$O$60/12</f>
        <v>13923000</v>
      </c>
      <c r="H57" s="449">
        <f>+'A) Resumen Ingresos y Egresos'!$N$60/12+'A) Resumen Ingresos y Egresos'!$O$60/12</f>
        <v>13923000</v>
      </c>
      <c r="I57" s="449">
        <f>+'A) Resumen Ingresos y Egresos'!$N$60/12+'A) Resumen Ingresos y Egresos'!$O$60/12</f>
        <v>13923000</v>
      </c>
      <c r="J57" s="449">
        <f>+'A) Resumen Ingresos y Egresos'!$N$60/12+'A) Resumen Ingresos y Egresos'!$O$60/12</f>
        <v>13923000</v>
      </c>
      <c r="K57" s="449">
        <f>+'A) Resumen Ingresos y Egresos'!$N$60/12+'A) Resumen Ingresos y Egresos'!$O$60/12</f>
        <v>13923000</v>
      </c>
      <c r="L57" s="449">
        <f>+'A) Resumen Ingresos y Egresos'!$N$60/12+'A) Resumen Ingresos y Egresos'!$O$60/12</f>
        <v>13923000</v>
      </c>
      <c r="M57" s="449">
        <f>+'A) Resumen Ingresos y Egresos'!$N$60/12+'A) Resumen Ingresos y Egresos'!$O$60/12</f>
        <v>13923000</v>
      </c>
      <c r="N57" s="450">
        <f>SUM(B57:M57)</f>
        <v>167076000</v>
      </c>
    </row>
    <row r="58" spans="1:14" x14ac:dyDescent="0.25">
      <c r="A58" s="448" t="s">
        <v>256</v>
      </c>
      <c r="B58" s="449">
        <f>SUM('F) Remuneraciones'!$H$73:$H$87)/12</f>
        <v>7991408.370000001</v>
      </c>
      <c r="C58" s="449">
        <f>SUM('F) Remuneraciones'!$H$73:$H$87)/12</f>
        <v>7991408.370000001</v>
      </c>
      <c r="D58" s="449">
        <f>SUM('F) Remuneraciones'!$H$73:$H$87)/12</f>
        <v>7991408.370000001</v>
      </c>
      <c r="E58" s="449">
        <f>SUM('F) Remuneraciones'!$H$73:$H$87)/12</f>
        <v>7991408.370000001</v>
      </c>
      <c r="F58" s="449">
        <f>SUM('F) Remuneraciones'!$H$73:$H$87)/12</f>
        <v>7991408.370000001</v>
      </c>
      <c r="G58" s="449">
        <f>SUM('F) Remuneraciones'!$H$73:$H$87)/12</f>
        <v>7991408.370000001</v>
      </c>
      <c r="H58" s="449">
        <f>SUM('F) Remuneraciones'!$H$73:$H$87)/12</f>
        <v>7991408.370000001</v>
      </c>
      <c r="I58" s="449">
        <f>SUM('F) Remuneraciones'!$H$73:$H$87)/12</f>
        <v>7991408.370000001</v>
      </c>
      <c r="J58" s="449">
        <f>SUM('F) Remuneraciones'!$H$73:$H$87)/12</f>
        <v>7991408.370000001</v>
      </c>
      <c r="K58" s="449">
        <f>SUM('F) Remuneraciones'!$H$73:$H$87)/12</f>
        <v>7991408.370000001</v>
      </c>
      <c r="L58" s="449">
        <f>SUM('F) Remuneraciones'!$H$73:$H$87)/12</f>
        <v>7991408.370000001</v>
      </c>
      <c r="M58" s="449">
        <f>SUM('F) Remuneraciones'!$H$73:$H$87)/12</f>
        <v>7991408.370000001</v>
      </c>
      <c r="N58" s="450">
        <f t="shared" ref="N58:N60" si="8">SUM(B58:M58)</f>
        <v>95896900.440000042</v>
      </c>
    </row>
    <row r="59" spans="1:14" x14ac:dyDescent="0.25">
      <c r="A59" s="448" t="s">
        <v>257</v>
      </c>
      <c r="B59" s="449">
        <f>SUM('F) Remuneraciones'!I73:I87)*0.5</f>
        <v>1817970</v>
      </c>
      <c r="C59" s="449">
        <v>0</v>
      </c>
      <c r="D59" s="449">
        <v>0</v>
      </c>
      <c r="E59" s="449">
        <v>0</v>
      </c>
      <c r="F59" s="449">
        <v>0</v>
      </c>
      <c r="G59" s="449">
        <v>0</v>
      </c>
      <c r="H59" s="449">
        <v>0</v>
      </c>
      <c r="I59" s="449">
        <v>0</v>
      </c>
      <c r="J59" s="449">
        <f>SUM('F) Remuneraciones'!J73:J87)*0.5</f>
        <v>909851</v>
      </c>
      <c r="K59" s="449">
        <v>0</v>
      </c>
      <c r="L59" s="449">
        <v>0</v>
      </c>
      <c r="M59" s="449">
        <f>+B59+J59</f>
        <v>2727821</v>
      </c>
      <c r="N59" s="450">
        <f t="shared" si="8"/>
        <v>5455642</v>
      </c>
    </row>
    <row r="60" spans="1:14" x14ac:dyDescent="0.25">
      <c r="A60" s="448" t="s">
        <v>258</v>
      </c>
      <c r="B60" s="449">
        <f>(+'C) Costos Directos'!$H$339-'C) Costos Directos'!$D$278)/12</f>
        <v>2985877.568200002</v>
      </c>
      <c r="C60" s="449">
        <f>(+'C) Costos Directos'!$H$339-'C) Costos Directos'!$D$278)/12</f>
        <v>2985877.568200002</v>
      </c>
      <c r="D60" s="449">
        <f>(+'C) Costos Directos'!$H$339-'C) Costos Directos'!$D$278)/12</f>
        <v>2985877.568200002</v>
      </c>
      <c r="E60" s="449">
        <f>(+'C) Costos Directos'!$H$339-'C) Costos Directos'!$D$278)/12</f>
        <v>2985877.568200002</v>
      </c>
      <c r="F60" s="449">
        <f>(+'C) Costos Directos'!$H$339-'C) Costos Directos'!$D$278)/12</f>
        <v>2985877.568200002</v>
      </c>
      <c r="G60" s="449">
        <f>(+'C) Costos Directos'!$H$339-'C) Costos Directos'!$D$278)/12</f>
        <v>2985877.568200002</v>
      </c>
      <c r="H60" s="449">
        <f>(+'C) Costos Directos'!$H$339-'C) Costos Directos'!$D$278)/12</f>
        <v>2985877.568200002</v>
      </c>
      <c r="I60" s="449">
        <f>(+'C) Costos Directos'!$H$339-'C) Costos Directos'!$D$278)/12</f>
        <v>2985877.568200002</v>
      </c>
      <c r="J60" s="449">
        <f>(+'C) Costos Directos'!$H$339-'C) Costos Directos'!$D$278)/12</f>
        <v>2985877.568200002</v>
      </c>
      <c r="K60" s="449">
        <f>(+'C) Costos Directos'!$H$339-'C) Costos Directos'!$D$278)/12</f>
        <v>2985877.568200002</v>
      </c>
      <c r="L60" s="449">
        <f>(+'C) Costos Directos'!$H$339-'C) Costos Directos'!$D$278)/12</f>
        <v>2985877.568200002</v>
      </c>
      <c r="M60" s="449">
        <f>(+'C) Costos Directos'!$H$339-'C) Costos Directos'!$D$278)/12</f>
        <v>2985877.568200002</v>
      </c>
      <c r="N60" s="450">
        <f t="shared" si="8"/>
        <v>35830530.818400033</v>
      </c>
    </row>
    <row r="61" spans="1:14" x14ac:dyDescent="0.25">
      <c r="A61" s="451" t="s">
        <v>259</v>
      </c>
      <c r="B61" s="452">
        <f t="shared" ref="B61:M61" si="9">+B57-B58-B59-B60</f>
        <v>1127744.061799997</v>
      </c>
      <c r="C61" s="452">
        <f t="shared" si="9"/>
        <v>2945714.061799997</v>
      </c>
      <c r="D61" s="452">
        <f t="shared" si="9"/>
        <v>2945714.061799997</v>
      </c>
      <c r="E61" s="452">
        <f t="shared" si="9"/>
        <v>2945714.061799997</v>
      </c>
      <c r="F61" s="452">
        <f t="shared" si="9"/>
        <v>2945714.061799997</v>
      </c>
      <c r="G61" s="452">
        <f t="shared" si="9"/>
        <v>2945714.061799997</v>
      </c>
      <c r="H61" s="452">
        <f t="shared" si="9"/>
        <v>2945714.061799997</v>
      </c>
      <c r="I61" s="452">
        <f t="shared" si="9"/>
        <v>2945714.061799997</v>
      </c>
      <c r="J61" s="452">
        <f t="shared" si="9"/>
        <v>2035863.061799997</v>
      </c>
      <c r="K61" s="452">
        <f t="shared" si="9"/>
        <v>2945714.061799997</v>
      </c>
      <c r="L61" s="452">
        <f t="shared" si="9"/>
        <v>2945714.061799997</v>
      </c>
      <c r="M61" s="452">
        <f t="shared" si="9"/>
        <v>217893.061799997</v>
      </c>
      <c r="N61" s="452">
        <f>+N57-N58-N59-N60</f>
        <v>29892926.741599925</v>
      </c>
    </row>
    <row r="62" spans="1:14" x14ac:dyDescent="0.25">
      <c r="A62" s="453"/>
      <c r="B62" s="450"/>
      <c r="C62" s="450"/>
      <c r="D62" s="450"/>
      <c r="E62" s="450"/>
      <c r="F62" s="450"/>
      <c r="G62" s="450"/>
      <c r="H62" s="450"/>
      <c r="I62" s="450"/>
      <c r="J62" s="450"/>
      <c r="K62" s="450"/>
      <c r="L62" s="450"/>
      <c r="M62" s="450"/>
      <c r="N62" s="450"/>
    </row>
    <row r="63" spans="1:14" x14ac:dyDescent="0.25">
      <c r="A63" s="453"/>
      <c r="B63" s="450"/>
      <c r="C63" s="450"/>
      <c r="D63" s="450"/>
      <c r="E63" s="450"/>
      <c r="F63" s="450"/>
      <c r="G63" s="450"/>
      <c r="H63" s="450"/>
      <c r="I63" s="450"/>
      <c r="J63" s="450"/>
      <c r="K63" s="450"/>
      <c r="L63" s="450"/>
      <c r="M63" s="450"/>
      <c r="N63" s="450"/>
    </row>
    <row r="64" spans="1:14" x14ac:dyDescent="0.25">
      <c r="A64" s="442" t="s">
        <v>260</v>
      </c>
      <c r="B64" s="443" t="s">
        <v>240</v>
      </c>
      <c r="C64" s="443" t="s">
        <v>241</v>
      </c>
      <c r="D64" s="443" t="s">
        <v>242</v>
      </c>
      <c r="E64" s="443" t="s">
        <v>243</v>
      </c>
      <c r="F64" s="443" t="s">
        <v>244</v>
      </c>
      <c r="G64" s="443" t="s">
        <v>245</v>
      </c>
      <c r="H64" s="443" t="s">
        <v>246</v>
      </c>
      <c r="I64" s="443" t="s">
        <v>247</v>
      </c>
      <c r="J64" s="443" t="s">
        <v>248</v>
      </c>
      <c r="K64" s="443" t="s">
        <v>249</v>
      </c>
      <c r="L64" s="443" t="s">
        <v>250</v>
      </c>
      <c r="M64" s="443" t="s">
        <v>251</v>
      </c>
      <c r="N64" s="450"/>
    </row>
    <row r="65" spans="1:14" x14ac:dyDescent="0.25">
      <c r="A65" s="444" t="s">
        <v>252</v>
      </c>
      <c r="B65" s="445">
        <f>+'B) Reajuste Tarifas y Ocupación'!$I$51</f>
        <v>70</v>
      </c>
      <c r="C65" s="445">
        <f>+'B) Reajuste Tarifas y Ocupación'!$I$51</f>
        <v>70</v>
      </c>
      <c r="D65" s="445">
        <f>+'B) Reajuste Tarifas y Ocupación'!$I$51</f>
        <v>70</v>
      </c>
      <c r="E65" s="445">
        <f>+'B) Reajuste Tarifas y Ocupación'!$I$51</f>
        <v>70</v>
      </c>
      <c r="F65" s="445">
        <f>+'B) Reajuste Tarifas y Ocupación'!$I$51</f>
        <v>70</v>
      </c>
      <c r="G65" s="445">
        <f>+'B) Reajuste Tarifas y Ocupación'!$I$51</f>
        <v>70</v>
      </c>
      <c r="H65" s="445">
        <f>+'B) Reajuste Tarifas y Ocupación'!$I$51</f>
        <v>70</v>
      </c>
      <c r="I65" s="445">
        <f>+'B) Reajuste Tarifas y Ocupación'!$I$51</f>
        <v>70</v>
      </c>
      <c r="J65" s="445">
        <f>+'B) Reajuste Tarifas y Ocupación'!$I$51</f>
        <v>70</v>
      </c>
      <c r="K65" s="445">
        <f>+'B) Reajuste Tarifas y Ocupación'!$I$51</f>
        <v>70</v>
      </c>
      <c r="L65" s="445">
        <f>+'B) Reajuste Tarifas y Ocupación'!$I$51</f>
        <v>70</v>
      </c>
      <c r="M65" s="445">
        <f>+'B) Reajuste Tarifas y Ocupación'!$I$51</f>
        <v>70</v>
      </c>
      <c r="N65" s="450"/>
    </row>
    <row r="66" spans="1:14" x14ac:dyDescent="0.25">
      <c r="A66" s="444" t="s">
        <v>253</v>
      </c>
      <c r="B66" s="445">
        <f>+COUNTA('F) Remuneraciones'!$C$103:$C$130)</f>
        <v>23</v>
      </c>
      <c r="C66" s="445">
        <f>+COUNTA('F) Remuneraciones'!$C$103:$C$130)</f>
        <v>23</v>
      </c>
      <c r="D66" s="445">
        <f>+COUNTA('F) Remuneraciones'!$C$103:$C$130)</f>
        <v>23</v>
      </c>
      <c r="E66" s="445">
        <f>+COUNTA('F) Remuneraciones'!$C$103:$C$130)</f>
        <v>23</v>
      </c>
      <c r="F66" s="445">
        <f>+COUNTA('F) Remuneraciones'!$C$103:$C$130)</f>
        <v>23</v>
      </c>
      <c r="G66" s="445">
        <f>+COUNTA('F) Remuneraciones'!$C$103:$C$130)</f>
        <v>23</v>
      </c>
      <c r="H66" s="445">
        <f>+COUNTA('F) Remuneraciones'!$C$103:$C$130)</f>
        <v>23</v>
      </c>
      <c r="I66" s="445">
        <f>+COUNTA('F) Remuneraciones'!$C$103:$C$130)</f>
        <v>23</v>
      </c>
      <c r="J66" s="445">
        <f>+COUNTA('F) Remuneraciones'!$C$103:$C$130)</f>
        <v>23</v>
      </c>
      <c r="K66" s="445">
        <f>+COUNTA('F) Remuneraciones'!$C$103:$C$130)</f>
        <v>23</v>
      </c>
      <c r="L66" s="445">
        <f>+COUNTA('F) Remuneraciones'!$C$103:$C$130)</f>
        <v>23</v>
      </c>
      <c r="M66" s="445">
        <f>+COUNTA('F) Remuneraciones'!$C$103:$C$130)</f>
        <v>23</v>
      </c>
      <c r="N66" s="450"/>
    </row>
    <row r="67" spans="1:14" x14ac:dyDescent="0.25">
      <c r="A67" s="453"/>
      <c r="B67" s="450"/>
      <c r="C67" s="450"/>
      <c r="D67" s="450"/>
      <c r="E67" s="450"/>
      <c r="F67" s="450"/>
      <c r="G67" s="450"/>
      <c r="H67" s="450"/>
      <c r="I67" s="450"/>
      <c r="J67" s="450"/>
      <c r="K67" s="450"/>
      <c r="L67" s="450"/>
      <c r="M67" s="450"/>
      <c r="N67" s="450"/>
    </row>
    <row r="69" spans="1:14" ht="30" x14ac:dyDescent="0.25">
      <c r="A69" s="447" t="s">
        <v>263</v>
      </c>
      <c r="B69" s="443" t="s">
        <v>240</v>
      </c>
      <c r="C69" s="443" t="s">
        <v>241</v>
      </c>
      <c r="D69" s="443" t="s">
        <v>242</v>
      </c>
      <c r="E69" s="443" t="s">
        <v>243</v>
      </c>
      <c r="F69" s="443" t="s">
        <v>244</v>
      </c>
      <c r="G69" s="443" t="s">
        <v>245</v>
      </c>
      <c r="H69" s="443" t="s">
        <v>246</v>
      </c>
      <c r="I69" s="443" t="s">
        <v>247</v>
      </c>
      <c r="J69" s="443" t="s">
        <v>248</v>
      </c>
      <c r="K69" s="443" t="s">
        <v>249</v>
      </c>
      <c r="L69" s="443" t="s">
        <v>250</v>
      </c>
      <c r="M69" s="443" t="s">
        <v>251</v>
      </c>
      <c r="N69" s="443" t="s">
        <v>254</v>
      </c>
    </row>
    <row r="70" spans="1:14" x14ac:dyDescent="0.25">
      <c r="A70" s="448" t="s">
        <v>255</v>
      </c>
      <c r="B70" s="449">
        <f>+'A) Resumen Ingresos y Egresos'!$N$63/12+'A) Resumen Ingresos y Egresos'!$O$63/12+'A) Resumen Ingresos y Egresos'!$N$69/12+'A) Resumen Ingresos y Egresos'!$O$69/12</f>
        <v>27846000</v>
      </c>
      <c r="C70" s="449">
        <f>+'A) Resumen Ingresos y Egresos'!$N$63/12+'A) Resumen Ingresos y Egresos'!$O$63/12+'A) Resumen Ingresos y Egresos'!$N$69/12+'A) Resumen Ingresos y Egresos'!$O$69/12</f>
        <v>27846000</v>
      </c>
      <c r="D70" s="449">
        <f>+'A) Resumen Ingresos y Egresos'!$N$63/12+'A) Resumen Ingresos y Egresos'!$O$63/12+'A) Resumen Ingresos y Egresos'!$N$69/12+'A) Resumen Ingresos y Egresos'!$O$69/12</f>
        <v>27846000</v>
      </c>
      <c r="E70" s="449">
        <f>+'A) Resumen Ingresos y Egresos'!$N$63/12+'A) Resumen Ingresos y Egresos'!$O$63/12+'A) Resumen Ingresos y Egresos'!$N$69/12+'A) Resumen Ingresos y Egresos'!$O$69/12</f>
        <v>27846000</v>
      </c>
      <c r="F70" s="449">
        <f>+'A) Resumen Ingresos y Egresos'!$N$63/12+'A) Resumen Ingresos y Egresos'!$O$63/12+'A) Resumen Ingresos y Egresos'!$N$69/12+'A) Resumen Ingresos y Egresos'!$O$69/12</f>
        <v>27846000</v>
      </c>
      <c r="G70" s="449">
        <f>+'A) Resumen Ingresos y Egresos'!$N$63/12+'A) Resumen Ingresos y Egresos'!$O$63/12+'A) Resumen Ingresos y Egresos'!$N$69/12+'A) Resumen Ingresos y Egresos'!$O$69/12</f>
        <v>27846000</v>
      </c>
      <c r="H70" s="449">
        <f>+'A) Resumen Ingresos y Egresos'!$N$63/12+'A) Resumen Ingresos y Egresos'!$O$63/12+'A) Resumen Ingresos y Egresos'!$N$69/12+'A) Resumen Ingresos y Egresos'!$O$69/12</f>
        <v>27846000</v>
      </c>
      <c r="I70" s="449">
        <f>+'A) Resumen Ingresos y Egresos'!$N$63/12+'A) Resumen Ingresos y Egresos'!$O$63/12+'A) Resumen Ingresos y Egresos'!$N$69/12+'A) Resumen Ingresos y Egresos'!$O$69/12</f>
        <v>27846000</v>
      </c>
      <c r="J70" s="449">
        <f>+'A) Resumen Ingresos y Egresos'!$N$63/12+'A) Resumen Ingresos y Egresos'!$O$63/12+'A) Resumen Ingresos y Egresos'!$N$69/12+'A) Resumen Ingresos y Egresos'!$O$69/12</f>
        <v>27846000</v>
      </c>
      <c r="K70" s="449">
        <f>+'A) Resumen Ingresos y Egresos'!$N$63/12+'A) Resumen Ingresos y Egresos'!$O$63/12+'A) Resumen Ingresos y Egresos'!$N$69/12+'A) Resumen Ingresos y Egresos'!$O$69/12</f>
        <v>27846000</v>
      </c>
      <c r="L70" s="449">
        <f>+'A) Resumen Ingresos y Egresos'!$N$63/12+'A) Resumen Ingresos y Egresos'!$O$63/12+'A) Resumen Ingresos y Egresos'!$N$69/12+'A) Resumen Ingresos y Egresos'!$O$69/12</f>
        <v>27846000</v>
      </c>
      <c r="M70" s="449">
        <f>+'A) Resumen Ingresos y Egresos'!$N$63/12+'A) Resumen Ingresos y Egresos'!$O$63/12+'A) Resumen Ingresos y Egresos'!$N$69/12+'A) Resumen Ingresos y Egresos'!$O$69/12</f>
        <v>27846000</v>
      </c>
      <c r="N70" s="450">
        <f>SUM(B70:M70)</f>
        <v>334152000</v>
      </c>
    </row>
    <row r="71" spans="1:14" x14ac:dyDescent="0.25">
      <c r="A71" s="448" t="s">
        <v>256</v>
      </c>
      <c r="B71" s="449">
        <f>SUM('F) Remuneraciones'!$H$103:$H$130)/12</f>
        <v>18368790.044999998</v>
      </c>
      <c r="C71" s="449">
        <f>SUM('F) Remuneraciones'!$H$103:$H$130)/12</f>
        <v>18368790.044999998</v>
      </c>
      <c r="D71" s="449">
        <f>SUM('F) Remuneraciones'!$H$103:$H$130)/12</f>
        <v>18368790.044999998</v>
      </c>
      <c r="E71" s="449">
        <f>SUM('F) Remuneraciones'!$H$103:$H$130)/12</f>
        <v>18368790.044999998</v>
      </c>
      <c r="F71" s="449">
        <f>SUM('F) Remuneraciones'!$H$103:$H$130)/12</f>
        <v>18368790.044999998</v>
      </c>
      <c r="G71" s="449">
        <f>SUM('F) Remuneraciones'!$H$103:$H$130)/12</f>
        <v>18368790.044999998</v>
      </c>
      <c r="H71" s="449">
        <f>SUM('F) Remuneraciones'!$H$103:$H$130)/12</f>
        <v>18368790.044999998</v>
      </c>
      <c r="I71" s="449">
        <f>SUM('F) Remuneraciones'!$H$103:$H$130)/12</f>
        <v>18368790.044999998</v>
      </c>
      <c r="J71" s="449">
        <f>SUM('F) Remuneraciones'!$H$103:$H$130)/12</f>
        <v>18368790.044999998</v>
      </c>
      <c r="K71" s="449">
        <f>SUM('F) Remuneraciones'!$H$103:$H$130)/12</f>
        <v>18368790.044999998</v>
      </c>
      <c r="L71" s="449">
        <f>SUM('F) Remuneraciones'!$H$103:$H$130)/12</f>
        <v>18368790.044999998</v>
      </c>
      <c r="M71" s="449">
        <f>SUM('F) Remuneraciones'!$H$103:$H$130)/12</f>
        <v>18368790.044999998</v>
      </c>
      <c r="N71" s="450">
        <f t="shared" ref="N71:N73" si="10">SUM(B71:M71)</f>
        <v>220425480.53999993</v>
      </c>
    </row>
    <row r="72" spans="1:14" x14ac:dyDescent="0.25">
      <c r="A72" s="448" t="s">
        <v>257</v>
      </c>
      <c r="B72" s="449">
        <f>SUM('F) Remuneraciones'!I103:I130)*0.5</f>
        <v>3801210</v>
      </c>
      <c r="C72" s="449">
        <v>0</v>
      </c>
      <c r="D72" s="449">
        <v>0</v>
      </c>
      <c r="E72" s="449">
        <v>0</v>
      </c>
      <c r="F72" s="449">
        <v>0</v>
      </c>
      <c r="G72" s="449">
        <v>0</v>
      </c>
      <c r="H72" s="449">
        <v>0</v>
      </c>
      <c r="I72" s="449">
        <v>0</v>
      </c>
      <c r="J72" s="449">
        <f>SUM('F) Remuneraciones'!J103:J130)*0.5</f>
        <v>1899007</v>
      </c>
      <c r="K72" s="449">
        <v>0</v>
      </c>
      <c r="L72" s="449">
        <v>0</v>
      </c>
      <c r="M72" s="449">
        <f>+B72+J72</f>
        <v>5700217</v>
      </c>
      <c r="N72" s="450">
        <f t="shared" si="10"/>
        <v>11400434</v>
      </c>
    </row>
    <row r="73" spans="1:14" x14ac:dyDescent="0.25">
      <c r="A73" s="448" t="s">
        <v>258</v>
      </c>
      <c r="B73" s="449">
        <f>(+'C) Costos Directos'!$H$471-'C) Costos Directos'!$D$410)/12</f>
        <v>4941355.3709831117</v>
      </c>
      <c r="C73" s="449">
        <f>(+'C) Costos Directos'!$H$471-'C) Costos Directos'!$D$410)/12</f>
        <v>4941355.3709831117</v>
      </c>
      <c r="D73" s="449">
        <f>(+'C) Costos Directos'!$H$471-'C) Costos Directos'!$D$410)/12</f>
        <v>4941355.3709831117</v>
      </c>
      <c r="E73" s="449">
        <f>(+'C) Costos Directos'!$H$471-'C) Costos Directos'!$D$410)/12</f>
        <v>4941355.3709831117</v>
      </c>
      <c r="F73" s="449">
        <f>(+'C) Costos Directos'!$H$471-'C) Costos Directos'!$D$410)/12</f>
        <v>4941355.3709831117</v>
      </c>
      <c r="G73" s="449">
        <f>(+'C) Costos Directos'!$H$471-'C) Costos Directos'!$D$410)/12</f>
        <v>4941355.3709831117</v>
      </c>
      <c r="H73" s="449">
        <f>(+'C) Costos Directos'!$H$471-'C) Costos Directos'!$D$410)/12</f>
        <v>4941355.3709831117</v>
      </c>
      <c r="I73" s="449">
        <f>(+'C) Costos Directos'!$H$471-'C) Costos Directos'!$D$410)/12</f>
        <v>4941355.3709831117</v>
      </c>
      <c r="J73" s="449">
        <f>(+'C) Costos Directos'!$H$471-'C) Costos Directos'!$D$410)/12</f>
        <v>4941355.3709831117</v>
      </c>
      <c r="K73" s="449">
        <f>(+'C) Costos Directos'!$H$471-'C) Costos Directos'!$D$410)/12</f>
        <v>4941355.3709831117</v>
      </c>
      <c r="L73" s="449">
        <f>(+'C) Costos Directos'!$H$471-'C) Costos Directos'!$D$410)/12</f>
        <v>4941355.3709831117</v>
      </c>
      <c r="M73" s="449">
        <f>(+'C) Costos Directos'!$H$471-'C) Costos Directos'!$D$410)/12</f>
        <v>4941355.3709831117</v>
      </c>
      <c r="N73" s="450">
        <f t="shared" si="10"/>
        <v>59296264.451797329</v>
      </c>
    </row>
    <row r="74" spans="1:14" x14ac:dyDescent="0.25">
      <c r="A74" s="451" t="s">
        <v>259</v>
      </c>
      <c r="B74" s="452">
        <f t="shared" ref="B74:M74" si="11">+B70-B71-B72-B73</f>
        <v>734644.58401689027</v>
      </c>
      <c r="C74" s="452">
        <f t="shared" si="11"/>
        <v>4535854.5840168903</v>
      </c>
      <c r="D74" s="452">
        <f t="shared" si="11"/>
        <v>4535854.5840168903</v>
      </c>
      <c r="E74" s="452">
        <f t="shared" si="11"/>
        <v>4535854.5840168903</v>
      </c>
      <c r="F74" s="452">
        <f t="shared" si="11"/>
        <v>4535854.5840168903</v>
      </c>
      <c r="G74" s="452">
        <f t="shared" si="11"/>
        <v>4535854.5840168903</v>
      </c>
      <c r="H74" s="452">
        <f t="shared" si="11"/>
        <v>4535854.5840168903</v>
      </c>
      <c r="I74" s="452">
        <f t="shared" si="11"/>
        <v>4535854.5840168903</v>
      </c>
      <c r="J74" s="452">
        <f t="shared" si="11"/>
        <v>2636847.5840168903</v>
      </c>
      <c r="K74" s="452">
        <f t="shared" si="11"/>
        <v>4535854.5840168903</v>
      </c>
      <c r="L74" s="452">
        <f t="shared" si="11"/>
        <v>4535854.5840168903</v>
      </c>
      <c r="M74" s="452">
        <f t="shared" si="11"/>
        <v>-1164362.4159831097</v>
      </c>
      <c r="N74" s="452">
        <f>+N70-N71-N72-N73</f>
        <v>43029821.008202739</v>
      </c>
    </row>
    <row r="75" spans="1:14" x14ac:dyDescent="0.25">
      <c r="A75" s="453"/>
      <c r="B75" s="450"/>
      <c r="C75" s="450"/>
      <c r="D75" s="450"/>
      <c r="E75" s="450"/>
      <c r="F75" s="450"/>
      <c r="G75" s="450"/>
      <c r="H75" s="450"/>
      <c r="I75" s="450"/>
      <c r="J75" s="450"/>
      <c r="K75" s="450"/>
      <c r="L75" s="450"/>
      <c r="M75" s="450"/>
      <c r="N75" s="450"/>
    </row>
    <row r="77" spans="1:14" x14ac:dyDescent="0.25">
      <c r="A77" s="442" t="s">
        <v>260</v>
      </c>
      <c r="B77" s="443" t="s">
        <v>240</v>
      </c>
      <c r="C77" s="443" t="s">
        <v>241</v>
      </c>
      <c r="D77" s="443" t="s">
        <v>242</v>
      </c>
      <c r="E77" s="443" t="s">
        <v>243</v>
      </c>
      <c r="F77" s="443" t="s">
        <v>244</v>
      </c>
      <c r="G77" s="443" t="s">
        <v>245</v>
      </c>
      <c r="H77" s="443" t="s">
        <v>246</v>
      </c>
      <c r="I77" s="443" t="s">
        <v>247</v>
      </c>
      <c r="J77" s="443" t="s">
        <v>248</v>
      </c>
      <c r="K77" s="443" t="s">
        <v>249</v>
      </c>
      <c r="L77" s="443" t="s">
        <v>250</v>
      </c>
      <c r="M77" s="443" t="s">
        <v>251</v>
      </c>
    </row>
    <row r="78" spans="1:14" x14ac:dyDescent="0.25">
      <c r="A78" s="444" t="s">
        <v>252</v>
      </c>
      <c r="B78" s="445">
        <f>+'B) Reajuste Tarifas y Ocupación'!$H$50</f>
        <v>21</v>
      </c>
      <c r="C78" s="445">
        <f>+'B) Reajuste Tarifas y Ocupación'!$H$50</f>
        <v>21</v>
      </c>
      <c r="D78" s="445">
        <f>+'B) Reajuste Tarifas y Ocupación'!$H$50</f>
        <v>21</v>
      </c>
      <c r="E78" s="445">
        <f>+'B) Reajuste Tarifas y Ocupación'!$H$50</f>
        <v>21</v>
      </c>
      <c r="F78" s="445">
        <f>+'B) Reajuste Tarifas y Ocupación'!$H$50</f>
        <v>21</v>
      </c>
      <c r="G78" s="445">
        <f>+'B) Reajuste Tarifas y Ocupación'!$H$50</f>
        <v>21</v>
      </c>
      <c r="H78" s="445">
        <f>+'B) Reajuste Tarifas y Ocupación'!$H$50</f>
        <v>21</v>
      </c>
      <c r="I78" s="445">
        <f>+'B) Reajuste Tarifas y Ocupación'!$H$50</f>
        <v>21</v>
      </c>
      <c r="J78" s="445">
        <f>+'B) Reajuste Tarifas y Ocupación'!$H$50</f>
        <v>21</v>
      </c>
      <c r="K78" s="445">
        <f>+'B) Reajuste Tarifas y Ocupación'!$H$50</f>
        <v>21</v>
      </c>
      <c r="L78" s="445">
        <f>+'B) Reajuste Tarifas y Ocupación'!$H$50</f>
        <v>21</v>
      </c>
      <c r="M78" s="445">
        <f>+'B) Reajuste Tarifas y Ocupación'!$H$50</f>
        <v>21</v>
      </c>
    </row>
    <row r="79" spans="1:14" x14ac:dyDescent="0.25">
      <c r="A79" s="444" t="s">
        <v>253</v>
      </c>
      <c r="B79" s="445">
        <f>+COUNTA('F) Remuneraciones'!$C$131:$C$145)</f>
        <v>6</v>
      </c>
      <c r="C79" s="445">
        <f>+COUNTA('F) Remuneraciones'!$C$131:$C$145)</f>
        <v>6</v>
      </c>
      <c r="D79" s="445">
        <f>+COUNTA('F) Remuneraciones'!$C$131:$C$145)</f>
        <v>6</v>
      </c>
      <c r="E79" s="445">
        <f>+COUNTA('F) Remuneraciones'!$C$131:$C$145)</f>
        <v>6</v>
      </c>
      <c r="F79" s="445">
        <f>+COUNTA('F) Remuneraciones'!$C$131:$C$145)</f>
        <v>6</v>
      </c>
      <c r="G79" s="445">
        <f>+COUNTA('F) Remuneraciones'!$C$131:$C$145)</f>
        <v>6</v>
      </c>
      <c r="H79" s="445">
        <f>+COUNTA('F) Remuneraciones'!$C$131:$C$145)</f>
        <v>6</v>
      </c>
      <c r="I79" s="445">
        <f>+COUNTA('F) Remuneraciones'!$C$131:$C$145)</f>
        <v>6</v>
      </c>
      <c r="J79" s="445">
        <f>+COUNTA('F) Remuneraciones'!$C$131:$C$145)</f>
        <v>6</v>
      </c>
      <c r="K79" s="445">
        <f>+COUNTA('F) Remuneraciones'!$C$131:$C$145)</f>
        <v>6</v>
      </c>
      <c r="L79" s="445">
        <f>+COUNTA('F) Remuneraciones'!$C$131:$C$145)</f>
        <v>6</v>
      </c>
      <c r="M79" s="445">
        <f>+COUNTA('F) Remuneraciones'!$C$131:$C$145)</f>
        <v>6</v>
      </c>
    </row>
    <row r="81" spans="1:14" ht="30" x14ac:dyDescent="0.25">
      <c r="A81" s="447" t="s">
        <v>264</v>
      </c>
      <c r="B81" s="443" t="s">
        <v>240</v>
      </c>
      <c r="C81" s="443" t="s">
        <v>241</v>
      </c>
      <c r="D81" s="443" t="s">
        <v>242</v>
      </c>
      <c r="E81" s="443" t="s">
        <v>243</v>
      </c>
      <c r="F81" s="443" t="s">
        <v>244</v>
      </c>
      <c r="G81" s="443" t="s">
        <v>245</v>
      </c>
      <c r="H81" s="443" t="s">
        <v>246</v>
      </c>
      <c r="I81" s="443" t="s">
        <v>247</v>
      </c>
      <c r="J81" s="443" t="s">
        <v>248</v>
      </c>
      <c r="K81" s="443" t="s">
        <v>249</v>
      </c>
      <c r="L81" s="443" t="s">
        <v>250</v>
      </c>
      <c r="M81" s="443" t="s">
        <v>251</v>
      </c>
      <c r="N81" s="443" t="s">
        <v>254</v>
      </c>
    </row>
    <row r="82" spans="1:14" x14ac:dyDescent="0.25">
      <c r="A82" s="448" t="s">
        <v>255</v>
      </c>
      <c r="B82" s="449">
        <f>+'A) Resumen Ingresos y Egresos'!$O$66/12</f>
        <v>6738900</v>
      </c>
      <c r="C82" s="449">
        <f>+'A) Resumen Ingresos y Egresos'!$O$66/12</f>
        <v>6738900</v>
      </c>
      <c r="D82" s="449">
        <f>+'A) Resumen Ingresos y Egresos'!$O$66/12</f>
        <v>6738900</v>
      </c>
      <c r="E82" s="449">
        <f>+'A) Resumen Ingresos y Egresos'!$O$66/12</f>
        <v>6738900</v>
      </c>
      <c r="F82" s="449">
        <f>+'A) Resumen Ingresos y Egresos'!$O$66/12</f>
        <v>6738900</v>
      </c>
      <c r="G82" s="449">
        <f>+'A) Resumen Ingresos y Egresos'!$O$66/12</f>
        <v>6738900</v>
      </c>
      <c r="H82" s="449">
        <f>+'A) Resumen Ingresos y Egresos'!$O$66/12</f>
        <v>6738900</v>
      </c>
      <c r="I82" s="449">
        <f>+'A) Resumen Ingresos y Egresos'!$O$66/12</f>
        <v>6738900</v>
      </c>
      <c r="J82" s="449">
        <f>+'A) Resumen Ingresos y Egresos'!$O$66/12</f>
        <v>6738900</v>
      </c>
      <c r="K82" s="449">
        <f>+'A) Resumen Ingresos y Egresos'!$O$66/12</f>
        <v>6738900</v>
      </c>
      <c r="L82" s="449">
        <f>+'A) Resumen Ingresos y Egresos'!$O$66/12</f>
        <v>6738900</v>
      </c>
      <c r="M82" s="449">
        <f>+'A) Resumen Ingresos y Egresos'!$O$66/12</f>
        <v>6738900</v>
      </c>
      <c r="N82" s="450">
        <f>SUM(B82:M82)</f>
        <v>80866800</v>
      </c>
    </row>
    <row r="83" spans="1:14" x14ac:dyDescent="0.25">
      <c r="A83" s="448" t="s">
        <v>256</v>
      </c>
      <c r="B83" s="449">
        <f>SUM('F) Remuneraciones'!$H$131:$H$145)/12</f>
        <v>5197537.2600000007</v>
      </c>
      <c r="C83" s="449">
        <f>SUM('F) Remuneraciones'!$H$131:$H$145)/12</f>
        <v>5197537.2600000007</v>
      </c>
      <c r="D83" s="449">
        <f>SUM('F) Remuneraciones'!$H$131:$H$145)/12</f>
        <v>5197537.2600000007</v>
      </c>
      <c r="E83" s="449">
        <f>SUM('F) Remuneraciones'!$H$131:$H$145)/12</f>
        <v>5197537.2600000007</v>
      </c>
      <c r="F83" s="449">
        <f>SUM('F) Remuneraciones'!$H$131:$H$145)/12</f>
        <v>5197537.2600000007</v>
      </c>
      <c r="G83" s="449">
        <f>SUM('F) Remuneraciones'!$H$131:$H$145)/12</f>
        <v>5197537.2600000007</v>
      </c>
      <c r="H83" s="449">
        <f>SUM('F) Remuneraciones'!$H$131:$H$145)/12</f>
        <v>5197537.2600000007</v>
      </c>
      <c r="I83" s="449">
        <f>SUM('F) Remuneraciones'!$H$131:$H$145)/12</f>
        <v>5197537.2600000007</v>
      </c>
      <c r="J83" s="449">
        <f>SUM('F) Remuneraciones'!$H$131:$H$145)/12</f>
        <v>5197537.2600000007</v>
      </c>
      <c r="K83" s="449">
        <f>SUM('F) Remuneraciones'!$H$131:$H$145)/12</f>
        <v>5197537.2600000007</v>
      </c>
      <c r="L83" s="449">
        <f>SUM('F) Remuneraciones'!$H$131:$H$145)/12</f>
        <v>5197537.2600000007</v>
      </c>
      <c r="M83" s="449">
        <f>SUM('F) Remuneraciones'!$H$131:$H$145)/12</f>
        <v>5197537.2600000007</v>
      </c>
      <c r="N83" s="450">
        <f t="shared" ref="N83:N85" si="12">SUM(B83:M83)</f>
        <v>62370447.119999997</v>
      </c>
    </row>
    <row r="84" spans="1:14" x14ac:dyDescent="0.25">
      <c r="A84" s="448" t="s">
        <v>257</v>
      </c>
      <c r="B84" s="449">
        <f>SUM('F) Remuneraciones'!I131:I145)*0.5</f>
        <v>991620</v>
      </c>
      <c r="C84" s="449">
        <v>0</v>
      </c>
      <c r="D84" s="449">
        <v>0</v>
      </c>
      <c r="E84" s="449">
        <v>0</v>
      </c>
      <c r="F84" s="449">
        <v>0</v>
      </c>
      <c r="G84" s="449">
        <v>0</v>
      </c>
      <c r="H84" s="449">
        <v>0</v>
      </c>
      <c r="I84" s="449">
        <v>0</v>
      </c>
      <c r="J84" s="449">
        <f>SUM('F) Remuneraciones'!J131:J145)*0.5</f>
        <v>498534</v>
      </c>
      <c r="K84" s="449">
        <v>0</v>
      </c>
      <c r="L84" s="449">
        <v>0</v>
      </c>
      <c r="M84" s="449">
        <f>+B84+J84</f>
        <v>1490154</v>
      </c>
      <c r="N84" s="450">
        <f t="shared" si="12"/>
        <v>2980308</v>
      </c>
    </row>
    <row r="85" spans="1:14" x14ac:dyDescent="0.25">
      <c r="A85" s="448" t="s">
        <v>258</v>
      </c>
      <c r="B85" s="449">
        <f>(+'C) Costos Directos'!$H$537-'C) Costos Directos'!$D$476)/12</f>
        <v>1568864.2543275233</v>
      </c>
      <c r="C85" s="449">
        <f>(+'C) Costos Directos'!$H$537-'C) Costos Directos'!$D$476)/12</f>
        <v>1568864.2543275233</v>
      </c>
      <c r="D85" s="449">
        <f>(+'C) Costos Directos'!$H$537-'C) Costos Directos'!$D$476)/12</f>
        <v>1568864.2543275233</v>
      </c>
      <c r="E85" s="449">
        <f>(+'C) Costos Directos'!$H$537-'C) Costos Directos'!$D$476)/12</f>
        <v>1568864.2543275233</v>
      </c>
      <c r="F85" s="449">
        <f>(+'C) Costos Directos'!$H$537-'C) Costos Directos'!$D$476)/12</f>
        <v>1568864.2543275233</v>
      </c>
      <c r="G85" s="449">
        <f>(+'C) Costos Directos'!$H$537-'C) Costos Directos'!$D$476)/12</f>
        <v>1568864.2543275233</v>
      </c>
      <c r="H85" s="449">
        <f>(+'C) Costos Directos'!$H$537-'C) Costos Directos'!$D$476)/12</f>
        <v>1568864.2543275233</v>
      </c>
      <c r="I85" s="449">
        <f>(+'C) Costos Directos'!$H$537-'C) Costos Directos'!$D$476)/12</f>
        <v>1568864.2543275233</v>
      </c>
      <c r="J85" s="449">
        <f>(+'C) Costos Directos'!$H$537-'C) Costos Directos'!$D$476)/12</f>
        <v>1568864.2543275233</v>
      </c>
      <c r="K85" s="449">
        <f>(+'C) Costos Directos'!$H$537-'C) Costos Directos'!$D$476)/12</f>
        <v>1568864.2543275233</v>
      </c>
      <c r="L85" s="449">
        <f>(+'C) Costos Directos'!$H$537-'C) Costos Directos'!$D$476)/12</f>
        <v>1568864.2543275233</v>
      </c>
      <c r="M85" s="449">
        <f>(+'C) Costos Directos'!$H$537-'C) Costos Directos'!$D$476)/12</f>
        <v>1568864.2543275233</v>
      </c>
      <c r="N85" s="450">
        <f t="shared" si="12"/>
        <v>18826371.051930279</v>
      </c>
    </row>
    <row r="86" spans="1:14" x14ac:dyDescent="0.25">
      <c r="A86" s="451" t="s">
        <v>259</v>
      </c>
      <c r="B86" s="452">
        <f t="shared" ref="B86:M86" si="13">+B82-B83-B84-B85</f>
        <v>-1019121.514327524</v>
      </c>
      <c r="C86" s="452">
        <f t="shared" si="13"/>
        <v>-27501.514327523997</v>
      </c>
      <c r="D86" s="452">
        <f t="shared" si="13"/>
        <v>-27501.514327523997</v>
      </c>
      <c r="E86" s="452">
        <f t="shared" si="13"/>
        <v>-27501.514327523997</v>
      </c>
      <c r="F86" s="452">
        <f t="shared" si="13"/>
        <v>-27501.514327523997</v>
      </c>
      <c r="G86" s="452">
        <f t="shared" si="13"/>
        <v>-27501.514327523997</v>
      </c>
      <c r="H86" s="452">
        <f t="shared" si="13"/>
        <v>-27501.514327523997</v>
      </c>
      <c r="I86" s="452">
        <f t="shared" si="13"/>
        <v>-27501.514327523997</v>
      </c>
      <c r="J86" s="452">
        <f t="shared" si="13"/>
        <v>-526035.514327524</v>
      </c>
      <c r="K86" s="452">
        <f t="shared" si="13"/>
        <v>-27501.514327523997</v>
      </c>
      <c r="L86" s="452">
        <f t="shared" si="13"/>
        <v>-27501.514327523997</v>
      </c>
      <c r="M86" s="452">
        <f t="shared" si="13"/>
        <v>-1517655.514327524</v>
      </c>
      <c r="N86" s="452">
        <f>+N82-N83-N84-N85</f>
        <v>-3310326.1719302759</v>
      </c>
    </row>
  </sheetData>
  <sheetProtection algorithmName="SHA-512" hashValue="KVYqqvI2VeLxE3A1s3ZVsIP5L2Bx4Vt0hTKJKIu9Co9FMAMlUmuR2taIZYKk8PWMd3g3ECwwPX3REgr5QYDjmw==" saltValue="/PUBMGwxlpTwnBjAbimbzw==" spinCount="100000" sheet="1" objects="1" scenarios="1"/>
  <mergeCells count="1"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56"/>
  <sheetViews>
    <sheetView showGridLines="0" topLeftCell="A25" zoomScale="80" zoomScaleNormal="80" workbookViewId="0">
      <selection activeCell="F52" sqref="F52"/>
    </sheetView>
  </sheetViews>
  <sheetFormatPr baseColWidth="10" defaultColWidth="11.42578125" defaultRowHeight="12.75" x14ac:dyDescent="0.2"/>
  <sheetData>
    <row r="1" spans="2:11" x14ac:dyDescent="0.2">
      <c r="H1" s="37"/>
    </row>
    <row r="2" spans="2:11" x14ac:dyDescent="0.2">
      <c r="H2" s="37" t="s">
        <v>84</v>
      </c>
    </row>
    <row r="5" spans="2:11" x14ac:dyDescent="0.2">
      <c r="B5" s="1128" t="s">
        <v>177</v>
      </c>
      <c r="C5" s="1128"/>
      <c r="D5" s="1128"/>
      <c r="E5" s="1128"/>
      <c r="F5" s="1128"/>
    </row>
    <row r="7" spans="2:11" x14ac:dyDescent="0.2">
      <c r="C7" s="322" t="s">
        <v>162</v>
      </c>
      <c r="D7" s="322"/>
      <c r="E7" s="322"/>
      <c r="F7" s="322"/>
      <c r="G7" s="322"/>
      <c r="H7" s="322"/>
      <c r="I7" s="322"/>
      <c r="J7" s="322"/>
      <c r="K7" s="322"/>
    </row>
    <row r="9" spans="2:11" x14ac:dyDescent="0.2">
      <c r="C9" s="322" t="s">
        <v>163</v>
      </c>
      <c r="D9" s="322"/>
      <c r="E9" s="322"/>
      <c r="F9" s="322"/>
      <c r="G9" s="322"/>
      <c r="H9" s="322"/>
    </row>
    <row r="11" spans="2:11" x14ac:dyDescent="0.2">
      <c r="B11" s="1128" t="s">
        <v>178</v>
      </c>
      <c r="C11" s="1128"/>
      <c r="D11" s="1128"/>
      <c r="E11" s="1128"/>
      <c r="F11" s="1128"/>
    </row>
    <row r="13" spans="2:11" x14ac:dyDescent="0.2">
      <c r="C13" s="323" t="s">
        <v>164</v>
      </c>
      <c r="D13" s="323"/>
      <c r="E13" s="323"/>
      <c r="F13" s="323"/>
      <c r="G13" s="323"/>
      <c r="H13" s="323"/>
    </row>
    <row r="15" spans="2:11" x14ac:dyDescent="0.2">
      <c r="C15" s="323" t="s">
        <v>165</v>
      </c>
      <c r="D15" s="323"/>
      <c r="E15" s="323"/>
      <c r="F15" s="323"/>
      <c r="G15" s="323"/>
      <c r="H15" s="323"/>
    </row>
    <row r="19" spans="2:16" x14ac:dyDescent="0.2">
      <c r="B19" s="1128" t="s">
        <v>179</v>
      </c>
      <c r="C19" s="1128"/>
      <c r="D19" s="1128"/>
      <c r="E19" s="1128"/>
      <c r="F19" s="1128"/>
    </row>
    <row r="21" spans="2:16" x14ac:dyDescent="0.2">
      <c r="C21" s="323" t="s">
        <v>167</v>
      </c>
      <c r="D21" s="323"/>
      <c r="E21" s="323"/>
      <c r="F21" s="324"/>
      <c r="G21" s="324"/>
      <c r="H21" s="324"/>
    </row>
    <row r="22" spans="2:16" x14ac:dyDescent="0.2">
      <c r="C22" s="1129"/>
      <c r="D22" s="1129"/>
      <c r="E22" s="1129"/>
      <c r="F22" s="1129"/>
      <c r="G22" s="1129"/>
      <c r="H22" s="1129"/>
      <c r="I22" s="1129"/>
      <c r="J22" s="1129"/>
      <c r="K22" s="1129"/>
    </row>
    <row r="24" spans="2:16" x14ac:dyDescent="0.2">
      <c r="B24" s="1128" t="s">
        <v>180</v>
      </c>
      <c r="C24" s="1128"/>
      <c r="D24" s="1128"/>
      <c r="E24" s="1128"/>
      <c r="F24" s="1128"/>
    </row>
    <row r="26" spans="2:16" x14ac:dyDescent="0.2">
      <c r="C26" s="325" t="s">
        <v>168</v>
      </c>
      <c r="D26" s="325"/>
      <c r="E26" s="325"/>
      <c r="F26" s="325"/>
      <c r="G26" s="325"/>
      <c r="H26" s="325"/>
      <c r="I26" s="325"/>
      <c r="J26" s="325"/>
    </row>
    <row r="27" spans="2:16" ht="12.75" customHeight="1" x14ac:dyDescent="0.2">
      <c r="C27" s="1130" t="s">
        <v>169</v>
      </c>
      <c r="D27" s="1130"/>
      <c r="E27" s="1130"/>
      <c r="F27" s="1130"/>
      <c r="G27" s="1130"/>
      <c r="H27" s="1130"/>
      <c r="I27" s="1130"/>
      <c r="J27" s="1130"/>
      <c r="K27" s="1130"/>
      <c r="L27" s="1130"/>
      <c r="M27" s="1130"/>
    </row>
    <row r="28" spans="2:16" ht="12.75" customHeight="1" x14ac:dyDescent="0.2">
      <c r="C28" s="1130"/>
      <c r="D28" s="1130"/>
      <c r="E28" s="1130"/>
      <c r="F28" s="1130"/>
      <c r="G28" s="1130"/>
      <c r="H28" s="1130"/>
      <c r="I28" s="1130"/>
      <c r="J28" s="1130"/>
      <c r="K28" s="1130"/>
      <c r="L28" s="1130"/>
      <c r="M28" s="1130"/>
    </row>
    <row r="29" spans="2:16" ht="12.75" customHeight="1" x14ac:dyDescent="0.2">
      <c r="C29" s="325" t="s">
        <v>170</v>
      </c>
      <c r="D29" s="325"/>
      <c r="E29" s="325"/>
      <c r="F29" s="325"/>
      <c r="G29" s="325"/>
      <c r="H29" s="325"/>
      <c r="I29" s="325"/>
      <c r="J29" s="325"/>
      <c r="K29" s="325"/>
      <c r="L29" s="325"/>
      <c r="M29" s="325"/>
      <c r="N29" s="324"/>
    </row>
    <row r="30" spans="2:16" ht="12.75" customHeight="1" x14ac:dyDescent="0.2">
      <c r="C30" s="325"/>
      <c r="D30" s="325"/>
      <c r="E30" s="325"/>
      <c r="F30" s="325"/>
      <c r="G30" s="325"/>
      <c r="H30" s="325"/>
      <c r="I30" s="325"/>
      <c r="J30" s="325"/>
      <c r="K30" s="325"/>
      <c r="L30" s="325"/>
      <c r="M30" s="325"/>
      <c r="N30" s="324"/>
    </row>
    <row r="31" spans="2:16" ht="12.75" customHeight="1" x14ac:dyDescent="0.2">
      <c r="C31" s="329" t="s">
        <v>171</v>
      </c>
      <c r="D31" s="326"/>
      <c r="E31" s="326"/>
      <c r="F31" s="328"/>
      <c r="G31" s="326"/>
      <c r="H31" s="326"/>
      <c r="I31" s="326"/>
      <c r="J31" s="326"/>
      <c r="K31" s="326"/>
      <c r="L31" s="326"/>
      <c r="M31" s="326"/>
      <c r="N31" s="324"/>
      <c r="O31" s="324"/>
      <c r="P31" s="324"/>
    </row>
    <row r="32" spans="2:16" ht="12.75" customHeight="1" x14ac:dyDescent="0.2">
      <c r="C32" s="327"/>
      <c r="D32" s="327"/>
      <c r="E32" s="327"/>
      <c r="F32" s="327"/>
      <c r="G32" s="327"/>
      <c r="H32" s="327"/>
      <c r="I32" s="326"/>
      <c r="J32" s="326"/>
      <c r="K32" s="326"/>
      <c r="L32" s="326"/>
      <c r="M32" s="326"/>
      <c r="N32" s="324"/>
    </row>
    <row r="33" spans="2:19" ht="12.75" customHeight="1" x14ac:dyDescent="0.2">
      <c r="C33" s="1131" t="s">
        <v>172</v>
      </c>
      <c r="D33" s="1131"/>
      <c r="E33" s="1131"/>
      <c r="F33" s="1131"/>
      <c r="G33" s="1131"/>
      <c r="H33" s="1131"/>
      <c r="I33" s="1131"/>
      <c r="J33" s="1131"/>
      <c r="K33" s="1131"/>
      <c r="L33" s="1131"/>
      <c r="M33" s="1131"/>
      <c r="N33" s="324"/>
    </row>
    <row r="34" spans="2:19" ht="12.75" customHeight="1" x14ac:dyDescent="0.2">
      <c r="C34" s="267"/>
      <c r="D34" s="267"/>
      <c r="E34" s="267"/>
      <c r="F34" s="267"/>
      <c r="G34" s="267"/>
      <c r="H34" s="267"/>
      <c r="I34" s="325"/>
      <c r="J34" s="325"/>
      <c r="K34" s="325"/>
      <c r="L34" s="325"/>
      <c r="M34" s="325"/>
      <c r="N34" s="324"/>
    </row>
    <row r="35" spans="2:19" ht="12.75" customHeight="1" x14ac:dyDescent="0.2">
      <c r="C35" s="326" t="s">
        <v>173</v>
      </c>
      <c r="D35" s="326"/>
      <c r="E35" s="326"/>
      <c r="F35" s="326"/>
      <c r="G35" s="326"/>
      <c r="H35" s="326"/>
      <c r="I35" s="326"/>
      <c r="J35" s="326"/>
      <c r="K35" s="326"/>
      <c r="L35" s="326"/>
      <c r="M35" s="326"/>
      <c r="N35" s="324"/>
    </row>
    <row r="36" spans="2:19" ht="12.75" customHeight="1" x14ac:dyDescent="0.2">
      <c r="C36" s="327"/>
      <c r="D36" s="327"/>
      <c r="E36" s="327"/>
      <c r="F36" s="327"/>
      <c r="G36" s="327"/>
      <c r="H36" s="327"/>
      <c r="I36" s="326"/>
      <c r="J36" s="326"/>
      <c r="K36" s="326"/>
      <c r="L36" s="326"/>
      <c r="M36" s="326"/>
      <c r="N36" s="324"/>
    </row>
    <row r="37" spans="2:19" ht="12.75" customHeight="1" x14ac:dyDescent="0.2"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50"/>
    </row>
    <row r="38" spans="2:19" ht="12.75" customHeight="1" x14ac:dyDescent="0.2"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</row>
    <row r="39" spans="2:19" ht="12.75" customHeight="1" x14ac:dyDescent="0.2">
      <c r="B39" s="329" t="s">
        <v>181</v>
      </c>
      <c r="C39" s="325"/>
      <c r="D39" s="150"/>
      <c r="E39" s="150"/>
      <c r="F39" s="150"/>
      <c r="G39" s="150"/>
      <c r="H39" s="150"/>
      <c r="I39" s="150"/>
      <c r="J39" s="150"/>
      <c r="K39" s="150"/>
      <c r="L39" s="150"/>
      <c r="M39" s="150"/>
    </row>
    <row r="40" spans="2:19" x14ac:dyDescent="0.2">
      <c r="O40" s="1129"/>
      <c r="P40" s="1129"/>
      <c r="Q40" s="1129"/>
      <c r="R40" s="1129"/>
      <c r="S40" s="1129"/>
    </row>
    <row r="41" spans="2:19" x14ac:dyDescent="0.2">
      <c r="C41" s="1132" t="s">
        <v>174</v>
      </c>
      <c r="D41" s="1132"/>
      <c r="E41" s="1132"/>
      <c r="F41" s="1132"/>
    </row>
    <row r="42" spans="2:19" x14ac:dyDescent="0.2">
      <c r="C42" s="1129"/>
      <c r="D42" s="1129"/>
      <c r="E42" s="1129"/>
      <c r="F42" s="1129"/>
      <c r="G42" s="1129"/>
      <c r="H42" s="1129"/>
      <c r="I42" s="1129"/>
      <c r="J42" s="1129"/>
    </row>
    <row r="44" spans="2:19" x14ac:dyDescent="0.2">
      <c r="B44" s="1128" t="s">
        <v>182</v>
      </c>
      <c r="C44" s="1128"/>
      <c r="D44" s="1128"/>
      <c r="E44" s="1128"/>
      <c r="F44" s="1128"/>
    </row>
    <row r="46" spans="2:19" x14ac:dyDescent="0.2">
      <c r="C46" s="330" t="s">
        <v>175</v>
      </c>
      <c r="D46" s="330"/>
      <c r="E46" s="330"/>
      <c r="F46" s="330"/>
      <c r="G46" s="330"/>
      <c r="H46" s="330"/>
      <c r="I46" s="330"/>
      <c r="J46" s="330"/>
      <c r="K46" s="331"/>
      <c r="L46" s="331"/>
      <c r="M46" s="331"/>
    </row>
    <row r="50" spans="2:13" x14ac:dyDescent="0.2">
      <c r="B50" s="1128" t="s">
        <v>183</v>
      </c>
      <c r="C50" s="1128"/>
      <c r="D50" s="1128"/>
      <c r="E50" s="1128"/>
      <c r="F50" s="1128"/>
    </row>
    <row r="52" spans="2:13" x14ac:dyDescent="0.2">
      <c r="C52" s="325" t="s">
        <v>176</v>
      </c>
      <c r="D52" s="325"/>
      <c r="E52" s="325"/>
      <c r="F52" s="325"/>
      <c r="G52" s="324"/>
      <c r="H52" s="324"/>
      <c r="I52" s="324"/>
      <c r="J52" s="324"/>
      <c r="K52" s="324"/>
      <c r="L52" s="324"/>
      <c r="M52" s="324"/>
    </row>
    <row r="54" spans="2:13" x14ac:dyDescent="0.2">
      <c r="B54" s="324" t="s">
        <v>184</v>
      </c>
      <c r="C54" s="324"/>
    </row>
    <row r="56" spans="2:13" x14ac:dyDescent="0.2">
      <c r="B56" s="324" t="s">
        <v>265</v>
      </c>
    </row>
  </sheetData>
  <sheetProtection algorithmName="SHA-512" hashValue="LlQlNKKv14HEdk4KoN0OCcsWfsBckiZM7WhpObbUF0VZqbdXn5zgRQOJCnfoz6JugJRx/TQZZMSbnlk1qYx+zw==" saltValue="BzftyI+cFSbDH9pCC1dXGA==" spinCount="100000" sheet="1" objects="1" scenarios="1"/>
  <mergeCells count="12">
    <mergeCell ref="B11:F11"/>
    <mergeCell ref="O40:S40"/>
    <mergeCell ref="B19:F19"/>
    <mergeCell ref="B24:F24"/>
    <mergeCell ref="B5:F5"/>
    <mergeCell ref="C22:K22"/>
    <mergeCell ref="B50:F50"/>
    <mergeCell ref="C42:J42"/>
    <mergeCell ref="B44:F44"/>
    <mergeCell ref="C27:M28"/>
    <mergeCell ref="C33:M33"/>
    <mergeCell ref="C41:F41"/>
  </mergeCells>
  <hyperlinks>
    <hyperlink ref="B5:F5" location="'A) Resumen Ingresos y Egresos'!Área_de_impresión" display="A) Resumen Ingresos y Egresos" xr:uid="{00000000-0004-0000-0100-000000000000}"/>
    <hyperlink ref="B11:F11" location="'B) Reajuste Tarifas y Ocupación'!A1" display="B) Reajuste Tarifas y Ocupación" xr:uid="{00000000-0004-0000-0100-000001000000}"/>
    <hyperlink ref="C7:F7" location="'A) Resumen Ingresos y Egresos'!A6" display="TABLA 1: RESUMEN DE INGRESOS Y EGRESOS DE CENTROS DE BENEFICIOS" xr:uid="{00000000-0004-0000-0100-000002000000}"/>
    <hyperlink ref="C9:F9" location="'A) Resumen Ingresos y Egresos'!A22" display="TABLA 2: DETALLE DE INGRESOS POR PRESTACIÓN Y SEGMENTO" xr:uid="{00000000-0004-0000-0100-000003000000}"/>
    <hyperlink ref="C13:F13" location="'B) Reajuste Tarifas y Ocupación'!A8" display="TABLA 3: REAJUSTE DE TARIFAS POR PRESTACIÓN Y SEGMENTO" xr:uid="{00000000-0004-0000-0100-000004000000}"/>
    <hyperlink ref="C15:H15" location="'B) Reajuste Tarifas y Ocupación'!A32" display="TABLA 4: METAS DE OCUPACIÓN POR PRESTACIÓN Y SEGMENTO" xr:uid="{00000000-0004-0000-0100-000005000000}"/>
    <hyperlink ref="B19:F19" location="'C) Costos Directos'!Área_de_impresión" display="C) Costos Directos" xr:uid="{00000000-0004-0000-0100-000006000000}"/>
    <hyperlink ref="C21:E21" location="'C) Costos Directos'!Área_de_impresión" display="TABLA 5: COSTOS DIRECTOS DE CENTROS DE BENEFICIOS" xr:uid="{00000000-0004-0000-0100-000007000000}"/>
    <hyperlink ref="C21:H21" location="'C) Costos Directos'!Área_de_impresión" display="TABLA 5: COSTOS DIRECTOS DE CENTROS DE BENEFICIOS" xr:uid="{00000000-0004-0000-0100-000008000000}"/>
    <hyperlink ref="C21" location="'C) Costos Directos'!A8" display="TABLA 5: COSTOS DIRECTOS DE CENTROS DE BENEFICIOS" xr:uid="{00000000-0004-0000-0100-000009000000}"/>
    <hyperlink ref="B24:F24" location="'D) Costos Indirectos'!A1" display="D) Costos Indirectos" xr:uid="{00000000-0004-0000-0100-00000A000000}"/>
    <hyperlink ref="C26:J26" location="'D) Costos Indirectos'!A9" display="TABLA 6: REMUNERACIONES DEL PERSONAL LEY 18.712 ADMINISTRACION CENTRAL Y APOYO ADMINISTRATIVO ASISTENCIA EDUCACIONAL" xr:uid="{00000000-0004-0000-0100-00000B000000}"/>
    <hyperlink ref="C27:M28" location="'D) Costos Indirectos'!M9" display="TABLA 7: DISTRIBUCION COSTOS REMUNERACIONES ADMINISTRACION CENTRAL Y APOYO ADMINISTRATIVO A. EDUCACIONAL" xr:uid="{00000000-0004-0000-0100-00000C000000}"/>
    <hyperlink ref="C29:N29" location="'D) Costos Indirectos'!U9" display="TABLA 8: COSTOS DE OPERACION ADMINISTRACIÓN CENTRAL Y  APOYO ADMINISTRATIVO ASISTENCIA EDUCACIONAL" xr:uid="{00000000-0004-0000-0100-00000D000000}"/>
    <hyperlink ref="C31:M31" location="'D) Costos Indirectos'!Z9" display="TABLA 9: RESUMEN DISTRIBUCION COSTOS REMUNERACIONES ADMINISTRACION CENTRAL Y APOYO ADMINISTRATIVO A. EDUCACIONAL" xr:uid="{00000000-0004-0000-0100-00000E000000}"/>
    <hyperlink ref="C33:M33" location="'D) Costos Indirectos'!AG9" display="TABLA 10: RESUMEN DISTRIBUCION COSTOS OPERACIÓN ADMINISTRACION CENTRAL  Y APOYO ADMINISTRATIVO A. EDUCACIONAL" xr:uid="{00000000-0004-0000-0100-00000F000000}"/>
    <hyperlink ref="C35:N35" location="'D) Costos Indirectos'!AN9" display="'D) Costos Indirectos'!AN9" xr:uid="{00000000-0004-0000-0100-000010000000}"/>
    <hyperlink ref="B39:C39" location="'E) Resumen Tarifado '!A1" display="E) Resumen Tarifado" xr:uid="{00000000-0004-0000-0100-000011000000}"/>
    <hyperlink ref="B44:F44" location="'F) Remuneraciones'!A1" display="F) Remuneraciones" xr:uid="{00000000-0004-0000-0100-000012000000}"/>
    <hyperlink ref="B50:F50" location="'G) Comparación Mercado'!A1" display="G) Comparación Mercado" xr:uid="{00000000-0004-0000-0100-000013000000}"/>
    <hyperlink ref="B54:C54" location="'H) Detalle Datos'!A1" display="H) Detalle Gastos" xr:uid="{00000000-0004-0000-0100-000014000000}"/>
    <hyperlink ref="C41:F41" location="'E) Resumen Tarifado '!A6" display="TABLA 12: RESUMEN DE TARIFADO" xr:uid="{00000000-0004-0000-0100-000015000000}"/>
    <hyperlink ref="C46:M46" location="'F) Remuneraciones'!B7" display="TABLA 13: REMUNERACIONES DEL PERSONAL LEY 18.712 DE CENTROS DE BENEFICIOS" xr:uid="{00000000-0004-0000-0100-000016000000}"/>
    <hyperlink ref="C52:M52" location="'G) Comparación Mercado'!A12" display="TABLA 14: COMPARACIÓN TARIFAS CON PRECIOS DE MERCADO" xr:uid="{00000000-0004-0000-0100-000017000000}"/>
    <hyperlink ref="B56" location="'I) Proyección Mensual'!A1" display="I) Proyección Mensual" xr:uid="{00000000-0004-0000-0100-000018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A1:IM71"/>
  <sheetViews>
    <sheetView showGridLines="0" tabSelected="1" topLeftCell="A7" zoomScale="80" zoomScaleNormal="80" workbookViewId="0">
      <selection activeCell="P48" sqref="P48"/>
    </sheetView>
  </sheetViews>
  <sheetFormatPr baseColWidth="10" defaultColWidth="11.42578125" defaultRowHeight="12.75" x14ac:dyDescent="0.2"/>
  <cols>
    <col min="1" max="1" width="37.140625" style="2" customWidth="1"/>
    <col min="2" max="2" width="21.42578125" style="2" customWidth="1"/>
    <col min="3" max="3" width="20.85546875" style="2" bestFit="1" customWidth="1"/>
    <col min="4" max="4" width="19.140625" style="2" customWidth="1"/>
    <col min="5" max="6" width="18.85546875" style="2" customWidth="1"/>
    <col min="7" max="7" width="18" style="2" customWidth="1"/>
    <col min="8" max="8" width="18.140625" style="2" customWidth="1"/>
    <col min="9" max="9" width="20.85546875" style="2" bestFit="1" customWidth="1"/>
    <col min="10" max="10" width="18.85546875" style="2" bestFit="1" customWidth="1"/>
    <col min="11" max="11" width="18.85546875" style="2" customWidth="1"/>
    <col min="12" max="12" width="16.42578125" style="2" bestFit="1" customWidth="1"/>
    <col min="13" max="13" width="17.5703125" style="2" customWidth="1"/>
    <col min="14" max="14" width="17.140625" style="2" customWidth="1"/>
    <col min="15" max="15" width="18.42578125" style="2" customWidth="1"/>
    <col min="16" max="16" width="16" style="2" customWidth="1"/>
    <col min="17" max="17" width="19.85546875" style="2" customWidth="1"/>
    <col min="18" max="18" width="15.85546875" style="2" customWidth="1"/>
    <col min="19" max="16384" width="11.42578125" style="2"/>
  </cols>
  <sheetData>
    <row r="1" spans="1:247" s="4" customFormat="1" x14ac:dyDescent="0.2">
      <c r="A1" s="3"/>
      <c r="E1" s="37" t="s">
        <v>221</v>
      </c>
      <c r="F1" s="37"/>
      <c r="IL1" s="2"/>
      <c r="IM1" s="2"/>
    </row>
    <row r="2" spans="1:247" s="4" customFormat="1" x14ac:dyDescent="0.2">
      <c r="A2" s="5"/>
      <c r="E2" s="37" t="s">
        <v>214</v>
      </c>
      <c r="F2" s="37"/>
      <c r="IL2" s="2"/>
      <c r="IM2" s="2"/>
    </row>
    <row r="3" spans="1:247" s="4" customFormat="1" x14ac:dyDescent="0.2">
      <c r="A3" s="2"/>
      <c r="IL3" s="2"/>
      <c r="IM3" s="2"/>
    </row>
    <row r="4" spans="1:247" s="4" customFormat="1" ht="18.75" customHeight="1" x14ac:dyDescent="0.2">
      <c r="A4" s="2"/>
      <c r="B4" s="20"/>
      <c r="C4" s="1157" t="s">
        <v>0</v>
      </c>
      <c r="D4" s="1157"/>
      <c r="E4" s="1158" t="s">
        <v>158</v>
      </c>
      <c r="F4" s="1159"/>
      <c r="G4" s="1160"/>
      <c r="L4" s="1"/>
      <c r="IC4" s="2"/>
      <c r="ID4" s="2"/>
      <c r="IE4" s="2"/>
      <c r="IF4" s="2"/>
      <c r="IG4" s="2"/>
      <c r="IH4" s="2"/>
    </row>
    <row r="5" spans="1:247" s="4" customFormat="1" x14ac:dyDescent="0.2">
      <c r="A5" s="2"/>
      <c r="B5" s="2"/>
      <c r="C5" s="2"/>
      <c r="D5" s="2"/>
      <c r="E5" s="2"/>
      <c r="F5" s="2"/>
      <c r="G5" s="6"/>
      <c r="H5" s="6"/>
      <c r="L5" s="1"/>
      <c r="IC5" s="2"/>
      <c r="ID5" s="2"/>
      <c r="IE5" s="2"/>
      <c r="IF5" s="2"/>
      <c r="IG5" s="2"/>
      <c r="IH5" s="2"/>
    </row>
    <row r="6" spans="1:247" s="4" customFormat="1" ht="15.75" x14ac:dyDescent="0.2">
      <c r="A6" s="1166" t="s">
        <v>162</v>
      </c>
      <c r="B6" s="1166"/>
      <c r="C6" s="1166"/>
      <c r="D6" s="1166"/>
      <c r="E6" s="2"/>
      <c r="F6" s="2"/>
      <c r="G6" s="6"/>
      <c r="H6" s="6"/>
      <c r="L6" s="1"/>
      <c r="IC6" s="2"/>
      <c r="ID6" s="2"/>
      <c r="IE6" s="2"/>
      <c r="IF6" s="2"/>
      <c r="IG6" s="2"/>
      <c r="IH6" s="2"/>
    </row>
    <row r="7" spans="1:247" x14ac:dyDescent="0.2">
      <c r="B7" s="4"/>
      <c r="C7" s="4"/>
      <c r="E7" s="46"/>
      <c r="F7" s="4"/>
      <c r="G7" s="4"/>
      <c r="H7" s="4"/>
      <c r="I7" s="4"/>
      <c r="M7" s="54"/>
    </row>
    <row r="8" spans="1:247" ht="39" customHeight="1" x14ac:dyDescent="0.2">
      <c r="A8" s="7" t="s">
        <v>114</v>
      </c>
      <c r="B8" s="62" t="str">
        <f>+N24</f>
        <v>Ingreso por Matrícula</v>
      </c>
      <c r="C8" s="63" t="str">
        <f>+O24</f>
        <v>Ingreso por Mensualidad</v>
      </c>
      <c r="D8" s="64" t="s">
        <v>126</v>
      </c>
      <c r="E8" s="65" t="s">
        <v>83</v>
      </c>
      <c r="F8" s="39" t="s">
        <v>80</v>
      </c>
      <c r="G8" s="40" t="s">
        <v>81</v>
      </c>
      <c r="H8" s="41" t="s">
        <v>107</v>
      </c>
      <c r="I8" s="8" t="s">
        <v>113</v>
      </c>
      <c r="L8" s="66" t="s">
        <v>112</v>
      </c>
      <c r="N8" s="123"/>
    </row>
    <row r="9" spans="1:247" x14ac:dyDescent="0.2">
      <c r="A9" s="59" t="str">
        <f>+'B) Reajuste Tarifas y Ocupación'!A12</f>
        <v>Jardín Infantil Lobito Marino</v>
      </c>
      <c r="B9" s="67">
        <f>+N32</f>
        <v>22047300</v>
      </c>
      <c r="C9" s="74">
        <f>+O32</f>
        <v>220473000</v>
      </c>
      <c r="D9" s="76">
        <f>+P32</f>
        <v>2598000</v>
      </c>
      <c r="E9" s="69">
        <f>+B9+D9+C9</f>
        <v>245118300</v>
      </c>
      <c r="F9" s="42">
        <f>+'C) Costos Directos'!H75</f>
        <v>198956201.40599999</v>
      </c>
      <c r="G9" s="43">
        <f>+IFERROR('D) Costos Indirectos'!$AP$15*(F9/$F$17),0)</f>
        <v>23156016.273626745</v>
      </c>
      <c r="H9" s="45">
        <f>+F9+G9</f>
        <v>222112217.67962673</v>
      </c>
      <c r="I9" s="75">
        <f>E9-H9</f>
        <v>23006082.320373267</v>
      </c>
      <c r="J9" s="11"/>
      <c r="L9" s="88">
        <f>+IFERROR(G9/$G$17,0)</f>
        <v>0.20221009418450955</v>
      </c>
      <c r="N9" s="124"/>
    </row>
    <row r="10" spans="1:247" x14ac:dyDescent="0.2">
      <c r="A10" s="59" t="str">
        <f>+'B) Reajuste Tarifas y Ocupación'!A14</f>
        <v>Jardín Infantil Los Delfines</v>
      </c>
      <c r="B10" s="67">
        <f>+N39</f>
        <v>23338400</v>
      </c>
      <c r="C10" s="74">
        <f>+O39</f>
        <v>233384000</v>
      </c>
      <c r="D10" s="76">
        <f>+P39</f>
        <v>2598000</v>
      </c>
      <c r="E10" s="69">
        <f>+B10+D10+C10</f>
        <v>259320400</v>
      </c>
      <c r="F10" s="44">
        <f>+'C) Costos Directos'!H141</f>
        <v>211814407.71399999</v>
      </c>
      <c r="G10" s="43">
        <f>+IFERROR('D) Costos Indirectos'!$AP$15*(F10/$F$17),0)</f>
        <v>24652550.849646844</v>
      </c>
      <c r="H10" s="45">
        <f t="shared" ref="H10:H12" si="0">+F10+G10</f>
        <v>236466958.56364682</v>
      </c>
      <c r="I10" s="75">
        <f t="shared" ref="I10:I13" si="1">E10-H10</f>
        <v>22853441.436353177</v>
      </c>
      <c r="J10" s="11"/>
      <c r="L10" s="88">
        <f t="shared" ref="L10:L16" si="2">+IFERROR(G10/$G$17,0)</f>
        <v>0.21527859413681172</v>
      </c>
      <c r="N10" s="124"/>
      <c r="O10" s="342"/>
    </row>
    <row r="11" spans="1:247" x14ac:dyDescent="0.2">
      <c r="A11" s="59" t="str">
        <f>+'B) Reajuste Tarifas y Ocupación'!A16</f>
        <v>Jardín Infantil Pecesitos de Colores</v>
      </c>
      <c r="B11" s="67">
        <f>+N43</f>
        <v>923400</v>
      </c>
      <c r="C11" s="67">
        <f t="shared" ref="C11:D11" si="3">+O43</f>
        <v>9234000</v>
      </c>
      <c r="D11" s="67">
        <f t="shared" si="3"/>
        <v>0</v>
      </c>
      <c r="E11" s="69">
        <f t="shared" ref="E11:E13" si="4">+B11+D11+C11</f>
        <v>10157400</v>
      </c>
      <c r="F11" s="44">
        <f>+'C) Costos Directos'!H207</f>
        <v>14547394.199999999</v>
      </c>
      <c r="G11" s="43">
        <f>+IFERROR('D) Costos Indirectos'!$AP$15*(F11/$F$17),0)</f>
        <v>1693134.9435379021</v>
      </c>
      <c r="H11" s="45">
        <f t="shared" si="0"/>
        <v>16240529.143537901</v>
      </c>
      <c r="I11" s="75">
        <f t="shared" si="1"/>
        <v>-6083129.1435379013</v>
      </c>
      <c r="J11" s="11"/>
      <c r="L11" s="88">
        <f t="shared" si="2"/>
        <v>1.4785314207514196E-2</v>
      </c>
      <c r="N11" s="124"/>
      <c r="O11" s="342"/>
    </row>
    <row r="12" spans="1:247" x14ac:dyDescent="0.2">
      <c r="A12" s="59" t="str">
        <f>+'B) Reajuste Tarifas y Ocupación'!A17</f>
        <v>Jardín Infantil Caracolito de Mar</v>
      </c>
      <c r="B12" s="67">
        <f>+N50</f>
        <v>6596000</v>
      </c>
      <c r="C12" s="67">
        <f>+O50</f>
        <v>65960000</v>
      </c>
      <c r="D12" s="67">
        <f>+P50</f>
        <v>2078400</v>
      </c>
      <c r="E12" s="69">
        <f t="shared" si="4"/>
        <v>74634400</v>
      </c>
      <c r="F12" s="44">
        <f>+'C) Costos Directos'!H273</f>
        <v>22425500.785599999</v>
      </c>
      <c r="G12" s="43">
        <f>+IFERROR('D) Costos Indirectos'!$AP$15*(F12/$F$17),0)</f>
        <v>2610048.1285119802</v>
      </c>
      <c r="H12" s="45">
        <f t="shared" si="0"/>
        <v>25035548.914111979</v>
      </c>
      <c r="I12" s="75">
        <f t="shared" si="1"/>
        <v>49598851.085888021</v>
      </c>
      <c r="J12" s="11"/>
      <c r="L12" s="88">
        <f t="shared" si="2"/>
        <v>2.2792265804961308E-2</v>
      </c>
      <c r="N12" s="89"/>
      <c r="O12" s="342"/>
    </row>
    <row r="13" spans="1:247" x14ac:dyDescent="0.2">
      <c r="A13" s="59" t="s">
        <v>151</v>
      </c>
      <c r="B13" s="68">
        <f>+N53+N59</f>
        <v>0</v>
      </c>
      <c r="C13" s="68">
        <f>+O53+O59</f>
        <v>167076000</v>
      </c>
      <c r="D13" s="68">
        <f>+P53+P59</f>
        <v>0</v>
      </c>
      <c r="E13" s="69">
        <f t="shared" si="4"/>
        <v>167076000</v>
      </c>
      <c r="F13" s="44">
        <f>+'C) Costos Directos'!H339</f>
        <v>149493763.57840005</v>
      </c>
      <c r="G13" s="43">
        <f>+IFERROR('D) Costos Indirectos'!$AP$15*(F13/$F$17),0)</f>
        <v>17399206.447267573</v>
      </c>
      <c r="H13" s="45">
        <f>+F13+G13</f>
        <v>166892970.02566761</v>
      </c>
      <c r="I13" s="75">
        <f t="shared" si="1"/>
        <v>183029.97433239222</v>
      </c>
      <c r="J13" s="11"/>
      <c r="L13" s="88">
        <f t="shared" si="2"/>
        <v>0.15193870711020446</v>
      </c>
      <c r="N13" s="89"/>
      <c r="O13" s="342"/>
    </row>
    <row r="14" spans="1:247" x14ac:dyDescent="0.2">
      <c r="A14" s="59" t="s">
        <v>152</v>
      </c>
      <c r="B14" s="526"/>
      <c r="C14" s="527"/>
      <c r="D14" s="528"/>
      <c r="E14" s="529"/>
      <c r="F14" s="530"/>
      <c r="G14" s="531"/>
      <c r="H14" s="532"/>
      <c r="I14" s="533"/>
      <c r="J14" s="11"/>
      <c r="L14" s="88">
        <f t="shared" si="2"/>
        <v>0</v>
      </c>
      <c r="N14" s="89"/>
      <c r="O14" s="342"/>
    </row>
    <row r="15" spans="1:247" x14ac:dyDescent="0.2">
      <c r="A15" s="59" t="s">
        <v>153</v>
      </c>
      <c r="B15" s="118">
        <f>+N63+N69</f>
        <v>0</v>
      </c>
      <c r="C15" s="118">
        <f>+O63+O69</f>
        <v>334152000</v>
      </c>
      <c r="D15" s="118">
        <f t="shared" ref="D15" si="5">+P63+P69</f>
        <v>0</v>
      </c>
      <c r="E15" s="120">
        <f>+B15+D15+C15</f>
        <v>334152000</v>
      </c>
      <c r="F15" s="44">
        <f>+'C) Costos Directos'!H471</f>
        <v>302493962.49179727</v>
      </c>
      <c r="G15" s="43">
        <f>+IFERROR('D) Costos Indirectos'!$AP$15*(F15/$F$17),0)</f>
        <v>35206518.161452271</v>
      </c>
      <c r="H15" s="45">
        <f t="shared" ref="H15" si="6">+F15+G15</f>
        <v>337700480.65324956</v>
      </c>
      <c r="I15" s="75">
        <f t="shared" ref="I15" si="7">E15-H15</f>
        <v>-3548480.6532495618</v>
      </c>
      <c r="J15" s="11"/>
      <c r="L15" s="88">
        <f t="shared" si="2"/>
        <v>0.30744119667268222</v>
      </c>
      <c r="N15" s="89"/>
      <c r="O15" s="342"/>
    </row>
    <row r="16" spans="1:247" x14ac:dyDescent="0.2">
      <c r="A16" s="59" t="s">
        <v>154</v>
      </c>
      <c r="B16" s="118">
        <f>+N66</f>
        <v>0</v>
      </c>
      <c r="C16" s="118">
        <f>+O66</f>
        <v>80866800</v>
      </c>
      <c r="D16" s="118">
        <f t="shared" ref="D16" si="8">+P66</f>
        <v>0</v>
      </c>
      <c r="E16" s="119">
        <f>+B16+D16+C16</f>
        <v>80866800</v>
      </c>
      <c r="F16" s="44">
        <f>+'C) Costos Directos'!H537</f>
        <v>84177126.171930283</v>
      </c>
      <c r="G16" s="43">
        <f>+IFERROR('D) Costos Indirectos'!$AP$15*(F16/$F$17),0)</f>
        <v>9797165.8572566938</v>
      </c>
      <c r="H16" s="121">
        <f t="shared" ref="H16" si="9">+F16+G16</f>
        <v>93974292.029186979</v>
      </c>
      <c r="I16" s="122">
        <f t="shared" ref="I16" si="10">E16-H16</f>
        <v>-13107492.029186979</v>
      </c>
      <c r="J16" s="11"/>
      <c r="L16" s="88">
        <f t="shared" si="2"/>
        <v>8.5553827883316461E-2</v>
      </c>
      <c r="N16" s="89"/>
      <c r="O16" s="342"/>
    </row>
    <row r="17" spans="1:247" s="4" customFormat="1" ht="15" x14ac:dyDescent="0.2">
      <c r="A17" s="9" t="s">
        <v>1</v>
      </c>
      <c r="B17" s="79">
        <f t="shared" ref="B17:F17" si="11">SUM(B9:B16)</f>
        <v>52905100</v>
      </c>
      <c r="C17" s="79">
        <f t="shared" si="11"/>
        <v>1111145800</v>
      </c>
      <c r="D17" s="79">
        <f t="shared" si="11"/>
        <v>7274400</v>
      </c>
      <c r="E17" s="80">
        <f t="shared" si="11"/>
        <v>1171325300</v>
      </c>
      <c r="F17" s="79">
        <f t="shared" si="11"/>
        <v>983908356.34772754</v>
      </c>
      <c r="G17" s="79">
        <f>SUM(G9:G16)</f>
        <v>114514640.66130002</v>
      </c>
      <c r="H17" s="79">
        <f>SUM(H9:H16)</f>
        <v>1098422997.0090275</v>
      </c>
      <c r="I17" s="79">
        <f>SUM(I9:I16)</f>
        <v>72902302.990972415</v>
      </c>
      <c r="J17" s="343"/>
      <c r="L17" s="90">
        <f>SUM(L9:L16)</f>
        <v>0.99999999999999989</v>
      </c>
      <c r="N17" s="54"/>
      <c r="O17" s="342"/>
      <c r="IB17" s="2"/>
      <c r="IC17" s="2"/>
      <c r="ID17" s="2"/>
      <c r="IE17" s="2"/>
      <c r="IF17" s="2"/>
      <c r="IG17" s="2"/>
      <c r="IH17" s="2"/>
    </row>
    <row r="18" spans="1:247" s="4" customFormat="1" ht="15.75" customHeight="1" x14ac:dyDescent="0.2">
      <c r="A18" s="10"/>
      <c r="B18" s="10"/>
      <c r="C18" s="11"/>
      <c r="D18" s="11"/>
      <c r="F18" s="11"/>
      <c r="G18" s="11"/>
      <c r="H18" s="11"/>
      <c r="I18" s="11"/>
      <c r="J18" s="11"/>
      <c r="K18" s="11"/>
      <c r="L18" s="11"/>
      <c r="M18" s="11"/>
      <c r="N18" s="11"/>
      <c r="IB18" s="2"/>
      <c r="IC18" s="2"/>
      <c r="ID18" s="2"/>
      <c r="IE18" s="2"/>
      <c r="IF18" s="2"/>
      <c r="IG18" s="2"/>
      <c r="IH18" s="2"/>
    </row>
    <row r="19" spans="1:247" s="4" customFormat="1" ht="15.75" customHeight="1" x14ac:dyDescent="0.2">
      <c r="A19" s="10"/>
      <c r="B19" s="10"/>
      <c r="C19" s="10"/>
      <c r="D19" s="11"/>
      <c r="F19" s="11"/>
      <c r="G19" s="11"/>
      <c r="H19" s="11"/>
      <c r="I19" s="11"/>
      <c r="J19" s="11"/>
      <c r="K19" s="11"/>
      <c r="L19" s="11"/>
      <c r="M19" s="11"/>
      <c r="N19" s="11"/>
      <c r="O19" s="343"/>
      <c r="IB19" s="2"/>
      <c r="IC19" s="2"/>
      <c r="ID19" s="2"/>
      <c r="IE19" s="2"/>
      <c r="IF19" s="2"/>
      <c r="IG19" s="2"/>
      <c r="IH19" s="2"/>
    </row>
    <row r="20" spans="1:247" s="4" customFormat="1" ht="15.75" customHeight="1" x14ac:dyDescent="0.2">
      <c r="A20" s="10"/>
      <c r="B20" s="10"/>
      <c r="C20" s="10"/>
      <c r="D20" s="11"/>
      <c r="F20" s="11"/>
      <c r="G20" s="11"/>
      <c r="H20" s="11"/>
      <c r="I20" s="11"/>
      <c r="J20" s="11"/>
      <c r="K20" s="11"/>
      <c r="L20" s="11"/>
      <c r="M20" s="11"/>
      <c r="N20" s="11"/>
      <c r="IB20" s="2"/>
      <c r="IC20" s="2"/>
      <c r="ID20" s="2"/>
      <c r="IE20" s="2"/>
      <c r="IF20" s="2"/>
      <c r="IG20" s="2"/>
      <c r="IH20" s="2"/>
    </row>
    <row r="21" spans="1:247" s="4" customFormat="1" ht="15.75" customHeight="1" x14ac:dyDescent="0.2">
      <c r="A21" s="10"/>
      <c r="B21" s="10"/>
      <c r="C21" s="10"/>
      <c r="D21" s="11"/>
      <c r="F21" s="11"/>
      <c r="G21" s="11"/>
      <c r="H21" s="11"/>
      <c r="I21" s="11"/>
      <c r="J21" s="11"/>
      <c r="K21" s="11"/>
      <c r="L21" s="11"/>
      <c r="M21" s="11"/>
      <c r="N21" s="11"/>
      <c r="IB21" s="2"/>
      <c r="IC21" s="2"/>
      <c r="ID21" s="2"/>
      <c r="IE21" s="2"/>
      <c r="IF21" s="2"/>
      <c r="IG21" s="2"/>
      <c r="IH21" s="2"/>
    </row>
    <row r="22" spans="1:247" s="4" customFormat="1" ht="15.75" customHeight="1" x14ac:dyDescent="0.2">
      <c r="A22" s="1166" t="s">
        <v>163</v>
      </c>
      <c r="B22" s="1166"/>
      <c r="C22" s="1166"/>
      <c r="D22" s="1166"/>
      <c r="F22" s="11"/>
      <c r="G22" s="11"/>
      <c r="H22" s="11"/>
      <c r="I22" s="11"/>
      <c r="J22" s="11"/>
      <c r="K22" s="11"/>
      <c r="L22" s="11"/>
      <c r="M22" s="11"/>
      <c r="N22" s="11"/>
      <c r="IB22" s="2"/>
      <c r="IC22" s="2"/>
      <c r="ID22" s="2"/>
      <c r="IE22" s="2"/>
      <c r="IF22" s="2"/>
      <c r="IG22" s="2"/>
      <c r="IH22" s="2"/>
    </row>
    <row r="23" spans="1:247" s="4" customFormat="1" ht="13.5" thickBot="1" x14ac:dyDescent="0.25">
      <c r="I23" s="12"/>
      <c r="J23" s="12"/>
      <c r="K23" s="12"/>
      <c r="L23" s="1"/>
      <c r="M23" s="1"/>
      <c r="O23" s="13"/>
      <c r="P23" s="13"/>
      <c r="IL23" s="2"/>
      <c r="IM23" s="2"/>
    </row>
    <row r="24" spans="1:247" s="14" customFormat="1" ht="15.75" customHeight="1" x14ac:dyDescent="0.2">
      <c r="A24" s="1167" t="s">
        <v>114</v>
      </c>
      <c r="B24" s="1169" t="s">
        <v>5</v>
      </c>
      <c r="C24" s="1161" t="s">
        <v>2</v>
      </c>
      <c r="D24" s="1163" t="s">
        <v>274</v>
      </c>
      <c r="E24" s="1164"/>
      <c r="F24" s="1164"/>
      <c r="G24" s="1164"/>
      <c r="H24" s="1165"/>
      <c r="I24" s="1171" t="s">
        <v>275</v>
      </c>
      <c r="J24" s="1172"/>
      <c r="K24" s="1172"/>
      <c r="L24" s="1172"/>
      <c r="M24" s="1173"/>
      <c r="N24" s="1155" t="s">
        <v>89</v>
      </c>
      <c r="O24" s="1144" t="s">
        <v>90</v>
      </c>
      <c r="P24" s="1175" t="s">
        <v>126</v>
      </c>
      <c r="Q24" s="1146" t="s">
        <v>106</v>
      </c>
    </row>
    <row r="25" spans="1:247" s="14" customFormat="1" ht="39" thickBot="1" x14ac:dyDescent="0.25">
      <c r="A25" s="1168"/>
      <c r="B25" s="1170"/>
      <c r="C25" s="1162"/>
      <c r="D25" s="405" t="s">
        <v>86</v>
      </c>
      <c r="E25" s="404" t="s">
        <v>142</v>
      </c>
      <c r="F25" s="404" t="s">
        <v>143</v>
      </c>
      <c r="G25" s="404" t="s">
        <v>87</v>
      </c>
      <c r="H25" s="406" t="s">
        <v>88</v>
      </c>
      <c r="I25" s="405" t="s">
        <v>86</v>
      </c>
      <c r="J25" s="404" t="s">
        <v>142</v>
      </c>
      <c r="K25" s="404" t="s">
        <v>143</v>
      </c>
      <c r="L25" s="404" t="s">
        <v>87</v>
      </c>
      <c r="M25" s="406" t="s">
        <v>88</v>
      </c>
      <c r="N25" s="1156"/>
      <c r="O25" s="1145"/>
      <c r="P25" s="1176"/>
      <c r="Q25" s="1147"/>
    </row>
    <row r="26" spans="1:247" ht="12.75" customHeight="1" x14ac:dyDescent="0.2">
      <c r="A26" s="1153" t="str">
        <f>+'B) Reajuste Tarifas y Ocupación'!A12</f>
        <v>Jardín Infantil Lobito Marino</v>
      </c>
      <c r="B26" s="1154" t="str">
        <f>+'B) Reajuste Tarifas y Ocupación'!B12</f>
        <v>Media jornada</v>
      </c>
      <c r="C26" s="415" t="s">
        <v>273</v>
      </c>
      <c r="D26" s="419">
        <f t="shared" ref="D26:F27" si="12">+I26</f>
        <v>118900</v>
      </c>
      <c r="E26" s="410">
        <f t="shared" si="12"/>
        <v>160500</v>
      </c>
      <c r="F26" s="410">
        <f t="shared" si="12"/>
        <v>166400</v>
      </c>
      <c r="G26" s="410">
        <f t="shared" ref="G26:H27" si="13">+L26</f>
        <v>159300</v>
      </c>
      <c r="H26" s="411">
        <f t="shared" si="13"/>
        <v>234400</v>
      </c>
      <c r="I26" s="419">
        <f>+'B) Reajuste Tarifas y Ocupación'!M12</f>
        <v>118900</v>
      </c>
      <c r="J26" s="410">
        <f>+'B) Reajuste Tarifas y Ocupación'!N12</f>
        <v>160500</v>
      </c>
      <c r="K26" s="410">
        <f>+'B) Reajuste Tarifas y Ocupación'!O12</f>
        <v>166400</v>
      </c>
      <c r="L26" s="410">
        <f>+'B) Reajuste Tarifas y Ocupación'!P12</f>
        <v>159300</v>
      </c>
      <c r="M26" s="426">
        <f>+'B) Reajuste Tarifas y Ocupación'!Q12</f>
        <v>234400</v>
      </c>
      <c r="N26" s="435"/>
      <c r="O26" s="383"/>
      <c r="P26" s="436">
        <f>+'B) Reajuste Tarifas y Ocupación'!C12</f>
        <v>106100</v>
      </c>
      <c r="Q26" s="1148"/>
    </row>
    <row r="27" spans="1:247" x14ac:dyDescent="0.2">
      <c r="A27" s="1150"/>
      <c r="B27" s="1133"/>
      <c r="C27" s="416" t="s">
        <v>7</v>
      </c>
      <c r="D27" s="420">
        <f t="shared" si="12"/>
        <v>20</v>
      </c>
      <c r="E27" s="408">
        <f t="shared" si="12"/>
        <v>0</v>
      </c>
      <c r="F27" s="408">
        <f t="shared" si="12"/>
        <v>0</v>
      </c>
      <c r="G27" s="408">
        <f t="shared" si="13"/>
        <v>0</v>
      </c>
      <c r="H27" s="412">
        <f t="shared" si="13"/>
        <v>0</v>
      </c>
      <c r="I27" s="420">
        <f>+'B) Reajuste Tarifas y Ocupación'!C36</f>
        <v>20</v>
      </c>
      <c r="J27" s="408">
        <f>+'B) Reajuste Tarifas y Ocupación'!D36</f>
        <v>0</v>
      </c>
      <c r="K27" s="408">
        <f>+'B) Reajuste Tarifas y Ocupación'!E36</f>
        <v>0</v>
      </c>
      <c r="L27" s="408">
        <f>+'B) Reajuste Tarifas y Ocupación'!F36</f>
        <v>0</v>
      </c>
      <c r="M27" s="427">
        <f>+'B) Reajuste Tarifas y Ocupación'!G36</f>
        <v>0</v>
      </c>
      <c r="N27" s="437"/>
      <c r="O27" s="386"/>
      <c r="P27" s="434">
        <v>0</v>
      </c>
      <c r="Q27" s="1149"/>
    </row>
    <row r="28" spans="1:247" x14ac:dyDescent="0.2">
      <c r="A28" s="1150"/>
      <c r="B28" s="1133"/>
      <c r="C28" s="417" t="s">
        <v>9</v>
      </c>
      <c r="D28" s="421">
        <f>D27*D26</f>
        <v>2378000</v>
      </c>
      <c r="E28" s="390">
        <f>E27*E26</f>
        <v>0</v>
      </c>
      <c r="F28" s="390">
        <f t="shared" ref="F28" si="14">F27*F26</f>
        <v>0</v>
      </c>
      <c r="G28" s="390">
        <f t="shared" ref="G28:H28" si="15">G27*G26</f>
        <v>0</v>
      </c>
      <c r="H28" s="413">
        <f t="shared" si="15"/>
        <v>0</v>
      </c>
      <c r="I28" s="421">
        <f>I27*I26*10</f>
        <v>23780000</v>
      </c>
      <c r="J28" s="390">
        <f t="shared" ref="J28:M28" si="16">J27*J26*10</f>
        <v>0</v>
      </c>
      <c r="K28" s="390">
        <f t="shared" ref="K28" si="17">K27*K26*10</f>
        <v>0</v>
      </c>
      <c r="L28" s="390">
        <f t="shared" si="16"/>
        <v>0</v>
      </c>
      <c r="M28" s="428">
        <f t="shared" si="16"/>
        <v>0</v>
      </c>
      <c r="N28" s="438">
        <f>SUM(D28:H28)</f>
        <v>2378000</v>
      </c>
      <c r="O28" s="389">
        <f>SUM(I28:M28)</f>
        <v>23780000</v>
      </c>
      <c r="P28" s="390">
        <f>P27*P26</f>
        <v>0</v>
      </c>
      <c r="Q28" s="391">
        <f>N28+O28+P28</f>
        <v>26158000</v>
      </c>
    </row>
    <row r="29" spans="1:247" x14ac:dyDescent="0.2">
      <c r="A29" s="1150"/>
      <c r="B29" s="1133" t="str">
        <f>+'B) Reajuste Tarifas y Ocupación'!B13</f>
        <v>Jornada completa</v>
      </c>
      <c r="C29" s="416" t="s">
        <v>273</v>
      </c>
      <c r="D29" s="422">
        <f t="shared" ref="D29:F30" si="18">+I29</f>
        <v>194000</v>
      </c>
      <c r="E29" s="407">
        <f t="shared" si="18"/>
        <v>261900</v>
      </c>
      <c r="F29" s="407">
        <f t="shared" si="18"/>
        <v>271600</v>
      </c>
      <c r="G29" s="407">
        <f t="shared" ref="G29:H30" si="19">+L29</f>
        <v>327500</v>
      </c>
      <c r="H29" s="423">
        <f t="shared" si="19"/>
        <v>488400</v>
      </c>
      <c r="I29" s="425">
        <f>+'B) Reajuste Tarifas y Ocupación'!M13</f>
        <v>194000</v>
      </c>
      <c r="J29" s="409">
        <f>+'B) Reajuste Tarifas y Ocupación'!N13</f>
        <v>261900</v>
      </c>
      <c r="K29" s="409">
        <f>+'B) Reajuste Tarifas y Ocupación'!O13</f>
        <v>271600</v>
      </c>
      <c r="L29" s="409">
        <f>+'B) Reajuste Tarifas y Ocupación'!P13</f>
        <v>327500</v>
      </c>
      <c r="M29" s="429">
        <f>+'B) Reajuste Tarifas y Ocupación'!Q13</f>
        <v>488400</v>
      </c>
      <c r="N29" s="437"/>
      <c r="O29" s="386"/>
      <c r="P29" s="433">
        <f>+'B) Reajuste Tarifas y Ocupación'!C13</f>
        <v>173200</v>
      </c>
      <c r="Q29" s="1149"/>
    </row>
    <row r="30" spans="1:247" x14ac:dyDescent="0.2">
      <c r="A30" s="1150"/>
      <c r="B30" s="1133"/>
      <c r="C30" s="416" t="s">
        <v>7</v>
      </c>
      <c r="D30" s="420">
        <f t="shared" si="18"/>
        <v>97</v>
      </c>
      <c r="E30" s="408">
        <f t="shared" si="18"/>
        <v>2</v>
      </c>
      <c r="F30" s="408">
        <f t="shared" si="18"/>
        <v>0</v>
      </c>
      <c r="G30" s="408">
        <f t="shared" si="19"/>
        <v>1</v>
      </c>
      <c r="H30" s="412">
        <f t="shared" si="19"/>
        <v>0</v>
      </c>
      <c r="I30" s="420">
        <f>+'B) Reajuste Tarifas y Ocupación'!C37</f>
        <v>97</v>
      </c>
      <c r="J30" s="408">
        <f>+'B) Reajuste Tarifas y Ocupación'!D37</f>
        <v>2</v>
      </c>
      <c r="K30" s="408">
        <f>+'B) Reajuste Tarifas y Ocupación'!E37</f>
        <v>0</v>
      </c>
      <c r="L30" s="408">
        <f>+'B) Reajuste Tarifas y Ocupación'!F37</f>
        <v>1</v>
      </c>
      <c r="M30" s="427">
        <f>+'B) Reajuste Tarifas y Ocupación'!G37</f>
        <v>0</v>
      </c>
      <c r="N30" s="437"/>
      <c r="O30" s="386"/>
      <c r="P30" s="434">
        <v>15</v>
      </c>
      <c r="Q30" s="1149"/>
    </row>
    <row r="31" spans="1:247" x14ac:dyDescent="0.2">
      <c r="A31" s="1150"/>
      <c r="B31" s="1133"/>
      <c r="C31" s="417" t="s">
        <v>9</v>
      </c>
      <c r="D31" s="421">
        <f t="shared" ref="D31:H31" si="20">D30*D29</f>
        <v>18818000</v>
      </c>
      <c r="E31" s="390">
        <f t="shared" si="20"/>
        <v>523800</v>
      </c>
      <c r="F31" s="390">
        <f t="shared" ref="F31" si="21">F30*F29</f>
        <v>0</v>
      </c>
      <c r="G31" s="390">
        <f t="shared" si="20"/>
        <v>327500</v>
      </c>
      <c r="H31" s="413">
        <f t="shared" si="20"/>
        <v>0</v>
      </c>
      <c r="I31" s="421">
        <f t="shared" ref="I31:M31" si="22">I30*I29*10</f>
        <v>188180000</v>
      </c>
      <c r="J31" s="390">
        <f t="shared" si="22"/>
        <v>5238000</v>
      </c>
      <c r="K31" s="390">
        <f t="shared" ref="K31" si="23">K30*K29*10</f>
        <v>0</v>
      </c>
      <c r="L31" s="390">
        <f t="shared" si="22"/>
        <v>3275000</v>
      </c>
      <c r="M31" s="428">
        <f t="shared" si="22"/>
        <v>0</v>
      </c>
      <c r="N31" s="438">
        <f>SUM(D31:H31)</f>
        <v>19669300</v>
      </c>
      <c r="O31" s="389">
        <f>SUM(I31:M31)</f>
        <v>196693000</v>
      </c>
      <c r="P31" s="390">
        <f>P30*P29</f>
        <v>2598000</v>
      </c>
      <c r="Q31" s="391">
        <f>N31+O31+P31</f>
        <v>218960300</v>
      </c>
    </row>
    <row r="32" spans="1:247" ht="15.75" thickBot="1" x14ac:dyDescent="0.25">
      <c r="A32" s="1150"/>
      <c r="B32" s="1151" t="s">
        <v>10</v>
      </c>
      <c r="C32" s="1152"/>
      <c r="D32" s="543">
        <f>+D28+D31</f>
        <v>21196000</v>
      </c>
      <c r="E32" s="544">
        <f t="shared" ref="E32:G32" si="24">+E28+E31</f>
        <v>523800</v>
      </c>
      <c r="F32" s="544">
        <f t="shared" si="24"/>
        <v>0</v>
      </c>
      <c r="G32" s="544">
        <f t="shared" si="24"/>
        <v>327500</v>
      </c>
      <c r="H32" s="545">
        <f>+H28+H31</f>
        <v>0</v>
      </c>
      <c r="I32" s="543">
        <f t="shared" ref="I32:L32" si="25">+I28+I31</f>
        <v>211960000</v>
      </c>
      <c r="J32" s="544">
        <f t="shared" si="25"/>
        <v>5238000</v>
      </c>
      <c r="K32" s="544">
        <f t="shared" si="25"/>
        <v>0</v>
      </c>
      <c r="L32" s="544">
        <f t="shared" si="25"/>
        <v>3275000</v>
      </c>
      <c r="M32" s="555">
        <f>+M28+M31</f>
        <v>0</v>
      </c>
      <c r="N32" s="543">
        <f t="shared" ref="N32:Q32" si="26">+N28+N31</f>
        <v>22047300</v>
      </c>
      <c r="O32" s="544">
        <f t="shared" si="26"/>
        <v>220473000</v>
      </c>
      <c r="P32" s="544">
        <f t="shared" si="26"/>
        <v>2598000</v>
      </c>
      <c r="Q32" s="545">
        <f t="shared" si="26"/>
        <v>245118300</v>
      </c>
    </row>
    <row r="33" spans="1:17" x14ac:dyDescent="0.2">
      <c r="A33" s="1150" t="str">
        <f>+'B) Reajuste Tarifas y Ocupación'!A14</f>
        <v>Jardín Infantil Los Delfines</v>
      </c>
      <c r="B33" s="1133" t="str">
        <f>+'B) Reajuste Tarifas y Ocupación'!B14</f>
        <v>Media jornada</v>
      </c>
      <c r="C33" s="416" t="s">
        <v>273</v>
      </c>
      <c r="D33" s="546">
        <f>+I33</f>
        <v>118900</v>
      </c>
      <c r="E33" s="547">
        <f>+J33</f>
        <v>160500</v>
      </c>
      <c r="F33" s="547">
        <f t="shared" ref="F33:F34" si="27">+K33</f>
        <v>166400</v>
      </c>
      <c r="G33" s="547">
        <f t="shared" ref="G33:H34" si="28">+L33</f>
        <v>159300</v>
      </c>
      <c r="H33" s="548">
        <f t="shared" si="28"/>
        <v>234400</v>
      </c>
      <c r="I33" s="549">
        <f>+'B) Reajuste Tarifas y Ocupación'!M14</f>
        <v>118900</v>
      </c>
      <c r="J33" s="550">
        <f>+'B) Reajuste Tarifas y Ocupación'!N14</f>
        <v>160500</v>
      </c>
      <c r="K33" s="550">
        <f>+'B) Reajuste Tarifas y Ocupación'!O14</f>
        <v>166400</v>
      </c>
      <c r="L33" s="550">
        <f>+'B) Reajuste Tarifas y Ocupación'!P14</f>
        <v>159300</v>
      </c>
      <c r="M33" s="551">
        <f>+'B) Reajuste Tarifas y Ocupación'!Q14</f>
        <v>234400</v>
      </c>
      <c r="N33" s="552"/>
      <c r="O33" s="553"/>
      <c r="P33" s="554">
        <f>+'B) Reajuste Tarifas y Ocupación'!C14</f>
        <v>106100</v>
      </c>
      <c r="Q33" s="1174"/>
    </row>
    <row r="34" spans="1:17" x14ac:dyDescent="0.2">
      <c r="A34" s="1150"/>
      <c r="B34" s="1133"/>
      <c r="C34" s="416" t="s">
        <v>7</v>
      </c>
      <c r="D34" s="420">
        <f>+I34</f>
        <v>1</v>
      </c>
      <c r="E34" s="408">
        <f>+J34</f>
        <v>0</v>
      </c>
      <c r="F34" s="408">
        <f t="shared" si="27"/>
        <v>0</v>
      </c>
      <c r="G34" s="408">
        <f t="shared" si="28"/>
        <v>0</v>
      </c>
      <c r="H34" s="412">
        <f t="shared" si="28"/>
        <v>0</v>
      </c>
      <c r="I34" s="420">
        <f>+'B) Reajuste Tarifas y Ocupación'!C38</f>
        <v>1</v>
      </c>
      <c r="J34" s="408">
        <f>+'B) Reajuste Tarifas y Ocupación'!D38</f>
        <v>0</v>
      </c>
      <c r="K34" s="408">
        <f>+'B) Reajuste Tarifas y Ocupación'!E38</f>
        <v>0</v>
      </c>
      <c r="L34" s="408">
        <f>+'B) Reajuste Tarifas y Ocupación'!F38</f>
        <v>0</v>
      </c>
      <c r="M34" s="427">
        <f>+'B) Reajuste Tarifas y Ocupación'!G38</f>
        <v>0</v>
      </c>
      <c r="N34" s="437"/>
      <c r="O34" s="386"/>
      <c r="P34" s="434">
        <v>0</v>
      </c>
      <c r="Q34" s="1149"/>
    </row>
    <row r="35" spans="1:17" x14ac:dyDescent="0.2">
      <c r="A35" s="1150"/>
      <c r="B35" s="1133"/>
      <c r="C35" s="417" t="s">
        <v>9</v>
      </c>
      <c r="D35" s="421">
        <f t="shared" ref="D35:H35" si="29">D34*D33</f>
        <v>118900</v>
      </c>
      <c r="E35" s="390">
        <f t="shared" si="29"/>
        <v>0</v>
      </c>
      <c r="F35" s="390">
        <f>F34*F33</f>
        <v>0</v>
      </c>
      <c r="G35" s="390">
        <f t="shared" si="29"/>
        <v>0</v>
      </c>
      <c r="H35" s="413">
        <f t="shared" si="29"/>
        <v>0</v>
      </c>
      <c r="I35" s="421">
        <f t="shared" ref="I35" si="30">I34*I33*10</f>
        <v>1189000</v>
      </c>
      <c r="J35" s="390">
        <f t="shared" ref="J35:K35" si="31">J34*J33*10</f>
        <v>0</v>
      </c>
      <c r="K35" s="390">
        <f t="shared" si="31"/>
        <v>0</v>
      </c>
      <c r="L35" s="390">
        <f t="shared" ref="L35" si="32">L34*L33*10</f>
        <v>0</v>
      </c>
      <c r="M35" s="428">
        <f t="shared" ref="M35" si="33">M34*M33*10</f>
        <v>0</v>
      </c>
      <c r="N35" s="438">
        <f>SUM(D35:H35)</f>
        <v>118900</v>
      </c>
      <c r="O35" s="389">
        <f>SUM(I35:M35)</f>
        <v>1189000</v>
      </c>
      <c r="P35" s="390">
        <f>P34*P33</f>
        <v>0</v>
      </c>
      <c r="Q35" s="391">
        <f>N35+O35+P35</f>
        <v>1307900</v>
      </c>
    </row>
    <row r="36" spans="1:17" x14ac:dyDescent="0.2">
      <c r="A36" s="1150"/>
      <c r="B36" s="1133" t="str">
        <f>+'B) Reajuste Tarifas y Ocupación'!B13</f>
        <v>Jornada completa</v>
      </c>
      <c r="C36" s="416" t="s">
        <v>273</v>
      </c>
      <c r="D36" s="422">
        <f>+I36</f>
        <v>194000</v>
      </c>
      <c r="E36" s="407">
        <f>+J36</f>
        <v>261900</v>
      </c>
      <c r="F36" s="407">
        <f t="shared" ref="F36:F37" si="34">+K36</f>
        <v>271600</v>
      </c>
      <c r="G36" s="407">
        <f t="shared" ref="G36:H37" si="35">+L36</f>
        <v>327500</v>
      </c>
      <c r="H36" s="423">
        <f t="shared" si="35"/>
        <v>488400</v>
      </c>
      <c r="I36" s="425">
        <f>+'B) Reajuste Tarifas y Ocupación'!M15</f>
        <v>194000</v>
      </c>
      <c r="J36" s="409">
        <f>+'B) Reajuste Tarifas y Ocupación'!N15</f>
        <v>261900</v>
      </c>
      <c r="K36" s="409">
        <f>+'B) Reajuste Tarifas y Ocupación'!O15</f>
        <v>271600</v>
      </c>
      <c r="L36" s="409">
        <f>+'B) Reajuste Tarifas y Ocupación'!P15</f>
        <v>327500</v>
      </c>
      <c r="M36" s="429">
        <f>+'B) Reajuste Tarifas y Ocupación'!Q15</f>
        <v>488400</v>
      </c>
      <c r="N36" s="437"/>
      <c r="O36" s="386"/>
      <c r="P36" s="433">
        <f>+'B) Reajuste Tarifas y Ocupación'!C15</f>
        <v>173200</v>
      </c>
      <c r="Q36" s="1149"/>
    </row>
    <row r="37" spans="1:17" x14ac:dyDescent="0.2">
      <c r="A37" s="1150"/>
      <c r="B37" s="1133"/>
      <c r="C37" s="416" t="s">
        <v>7</v>
      </c>
      <c r="D37" s="420">
        <f>+I37</f>
        <v>118</v>
      </c>
      <c r="E37" s="408">
        <f>+J37</f>
        <v>0</v>
      </c>
      <c r="F37" s="408">
        <f t="shared" si="34"/>
        <v>0</v>
      </c>
      <c r="G37" s="408">
        <f t="shared" si="35"/>
        <v>1</v>
      </c>
      <c r="H37" s="412">
        <f t="shared" si="35"/>
        <v>0</v>
      </c>
      <c r="I37" s="420">
        <f>+'B) Reajuste Tarifas y Ocupación'!C39</f>
        <v>118</v>
      </c>
      <c r="J37" s="408">
        <f>+'B) Reajuste Tarifas y Ocupación'!D39</f>
        <v>0</v>
      </c>
      <c r="K37" s="408">
        <f>+'B) Reajuste Tarifas y Ocupación'!E39</f>
        <v>0</v>
      </c>
      <c r="L37" s="408">
        <f>+'B) Reajuste Tarifas y Ocupación'!F39</f>
        <v>1</v>
      </c>
      <c r="M37" s="427">
        <f>+'B) Reajuste Tarifas y Ocupación'!G39</f>
        <v>0</v>
      </c>
      <c r="N37" s="437"/>
      <c r="O37" s="386"/>
      <c r="P37" s="434">
        <v>15</v>
      </c>
      <c r="Q37" s="1149"/>
    </row>
    <row r="38" spans="1:17" x14ac:dyDescent="0.2">
      <c r="A38" s="1150"/>
      <c r="B38" s="1133"/>
      <c r="C38" s="417" t="s">
        <v>9</v>
      </c>
      <c r="D38" s="421">
        <f t="shared" ref="D38:H38" si="36">D37*D36</f>
        <v>22892000</v>
      </c>
      <c r="E38" s="390">
        <f t="shared" si="36"/>
        <v>0</v>
      </c>
      <c r="F38" s="390">
        <f t="shared" si="36"/>
        <v>0</v>
      </c>
      <c r="G38" s="390">
        <f t="shared" si="36"/>
        <v>327500</v>
      </c>
      <c r="H38" s="413">
        <f t="shared" si="36"/>
        <v>0</v>
      </c>
      <c r="I38" s="421">
        <f t="shared" ref="I38" si="37">I37*I36*10</f>
        <v>228920000</v>
      </c>
      <c r="J38" s="390">
        <f t="shared" ref="J38:K38" si="38">J37*J36*10</f>
        <v>0</v>
      </c>
      <c r="K38" s="390">
        <f t="shared" si="38"/>
        <v>0</v>
      </c>
      <c r="L38" s="390">
        <f t="shared" ref="L38" si="39">L37*L36*10</f>
        <v>3275000</v>
      </c>
      <c r="M38" s="428">
        <f t="shared" ref="M38" si="40">M37*M36*10</f>
        <v>0</v>
      </c>
      <c r="N38" s="438">
        <f>SUM(D38:H38)</f>
        <v>23219500</v>
      </c>
      <c r="O38" s="389">
        <f>SUM(I38:M38)</f>
        <v>232195000</v>
      </c>
      <c r="P38" s="390">
        <f>P37*P36</f>
        <v>2598000</v>
      </c>
      <c r="Q38" s="391">
        <f>N38+O38+P38</f>
        <v>258012500</v>
      </c>
    </row>
    <row r="39" spans="1:17" ht="15.75" thickBot="1" x14ac:dyDescent="0.25">
      <c r="A39" s="1150"/>
      <c r="B39" s="1151" t="s">
        <v>10</v>
      </c>
      <c r="C39" s="1152"/>
      <c r="D39" s="424">
        <f>+D35+D38</f>
        <v>23010900</v>
      </c>
      <c r="E39" s="395">
        <f t="shared" ref="E39:F39" si="41">+E35+E38</f>
        <v>0</v>
      </c>
      <c r="F39" s="395">
        <f t="shared" si="41"/>
        <v>0</v>
      </c>
      <c r="G39" s="395">
        <f t="shared" ref="G39" si="42">+G35+G38</f>
        <v>327500</v>
      </c>
      <c r="H39" s="414">
        <f>+H35+H38</f>
        <v>0</v>
      </c>
      <c r="I39" s="664">
        <f t="shared" ref="I39" si="43">+I35+I38</f>
        <v>230109000</v>
      </c>
      <c r="J39" s="665">
        <f t="shared" ref="J39:K39" si="44">+J35+J38</f>
        <v>0</v>
      </c>
      <c r="K39" s="665">
        <f t="shared" si="44"/>
        <v>0</v>
      </c>
      <c r="L39" s="665">
        <f t="shared" ref="L39" si="45">+L35+L38</f>
        <v>3275000</v>
      </c>
      <c r="M39" s="666">
        <f>+M35+M38</f>
        <v>0</v>
      </c>
      <c r="N39" s="424">
        <f t="shared" ref="N39" si="46">+N35+N38</f>
        <v>23338400</v>
      </c>
      <c r="O39" s="395">
        <f t="shared" ref="O39" si="47">+O35+O38</f>
        <v>233384000</v>
      </c>
      <c r="P39" s="395">
        <f>+P35+P38</f>
        <v>2598000</v>
      </c>
      <c r="Q39" s="414">
        <f t="shared" ref="Q39" si="48">+Q35+Q38</f>
        <v>259320400</v>
      </c>
    </row>
    <row r="40" spans="1:17" x14ac:dyDescent="0.2">
      <c r="A40" s="1150" t="str">
        <f>+'B) Reajuste Tarifas y Ocupación'!A16</f>
        <v>Jardín Infantil Pecesitos de Colores</v>
      </c>
      <c r="B40" s="1133" t="str">
        <f>+'B) Reajuste Tarifas y Ocupación'!B16</f>
        <v>Media jornada</v>
      </c>
      <c r="C40" s="416" t="s">
        <v>273</v>
      </c>
      <c r="D40" s="419">
        <f t="shared" ref="D40:D41" si="49">+I40</f>
        <v>51300</v>
      </c>
      <c r="E40" s="410">
        <f t="shared" ref="E40:E41" si="50">+J40</f>
        <v>69300</v>
      </c>
      <c r="F40" s="410">
        <f t="shared" ref="F40:F41" si="51">+K40</f>
        <v>71900</v>
      </c>
      <c r="G40" s="410">
        <f t="shared" ref="G40:G41" si="52">+L40</f>
        <v>64300</v>
      </c>
      <c r="H40" s="657">
        <f t="shared" ref="H40:H41" si="53">+M40</f>
        <v>77000</v>
      </c>
      <c r="I40" s="669">
        <f>+'B) Reajuste Tarifas y Ocupación'!M16</f>
        <v>51300</v>
      </c>
      <c r="J40" s="670">
        <f>+'B) Reajuste Tarifas y Ocupación'!N16</f>
        <v>69300</v>
      </c>
      <c r="K40" s="670">
        <f>+'B) Reajuste Tarifas y Ocupación'!O16</f>
        <v>71900</v>
      </c>
      <c r="L40" s="670">
        <f>+'B) Reajuste Tarifas y Ocupación'!P16</f>
        <v>64300</v>
      </c>
      <c r="M40" s="671">
        <f>+'B) Reajuste Tarifas y Ocupación'!Q16</f>
        <v>77000</v>
      </c>
      <c r="N40" s="382"/>
      <c r="O40" s="383"/>
      <c r="P40" s="436">
        <f>+'B) Reajuste Tarifas y Ocupación'!C16</f>
        <v>45800</v>
      </c>
      <c r="Q40" s="1148"/>
    </row>
    <row r="41" spans="1:17" x14ac:dyDescent="0.2">
      <c r="A41" s="1150"/>
      <c r="B41" s="1133"/>
      <c r="C41" s="416" t="s">
        <v>7</v>
      </c>
      <c r="D41" s="420">
        <f t="shared" si="49"/>
        <v>18</v>
      </c>
      <c r="E41" s="408">
        <f t="shared" si="50"/>
        <v>0</v>
      </c>
      <c r="F41" s="408">
        <f t="shared" si="51"/>
        <v>0</v>
      </c>
      <c r="G41" s="408">
        <f t="shared" si="52"/>
        <v>0</v>
      </c>
      <c r="H41" s="658">
        <f t="shared" si="53"/>
        <v>0</v>
      </c>
      <c r="I41" s="672">
        <f>+'B) Reajuste Tarifas y Ocupación'!C40</f>
        <v>18</v>
      </c>
      <c r="J41" s="667">
        <f>+'B) Reajuste Tarifas y Ocupación'!D40</f>
        <v>0</v>
      </c>
      <c r="K41" s="667">
        <f>+'B) Reajuste Tarifas y Ocupación'!E40</f>
        <v>0</v>
      </c>
      <c r="L41" s="667">
        <f>+'B) Reajuste Tarifas y Ocupación'!F40</f>
        <v>0</v>
      </c>
      <c r="M41" s="673">
        <f>+'B) Reajuste Tarifas y Ocupación'!G40</f>
        <v>0</v>
      </c>
      <c r="N41" s="661"/>
      <c r="O41" s="386"/>
      <c r="P41" s="434">
        <v>0</v>
      </c>
      <c r="Q41" s="1149"/>
    </row>
    <row r="42" spans="1:17" x14ac:dyDescent="0.2">
      <c r="A42" s="1150"/>
      <c r="B42" s="1133"/>
      <c r="C42" s="417" t="s">
        <v>9</v>
      </c>
      <c r="D42" s="421">
        <f>D41*D40</f>
        <v>923400</v>
      </c>
      <c r="E42" s="390">
        <f>E41*E40</f>
        <v>0</v>
      </c>
      <c r="F42" s="390">
        <f t="shared" ref="F42:H42" si="54">F41*F40</f>
        <v>0</v>
      </c>
      <c r="G42" s="390">
        <f t="shared" si="54"/>
        <v>0</v>
      </c>
      <c r="H42" s="659">
        <f t="shared" si="54"/>
        <v>0</v>
      </c>
      <c r="I42" s="674">
        <f>I41*I40*10</f>
        <v>9234000</v>
      </c>
      <c r="J42" s="668">
        <f t="shared" ref="J42:M42" si="55">J41*J40*10</f>
        <v>0</v>
      </c>
      <c r="K42" s="668">
        <f t="shared" si="55"/>
        <v>0</v>
      </c>
      <c r="L42" s="668">
        <f t="shared" si="55"/>
        <v>0</v>
      </c>
      <c r="M42" s="675">
        <f t="shared" si="55"/>
        <v>0</v>
      </c>
      <c r="N42" s="662">
        <f>SUM(D42:H42)</f>
        <v>923400</v>
      </c>
      <c r="O42" s="389">
        <f>SUM(I42:M42)</f>
        <v>9234000</v>
      </c>
      <c r="P42" s="390">
        <f>P41*P40</f>
        <v>0</v>
      </c>
      <c r="Q42" s="391">
        <f>N42+O42+P42</f>
        <v>10157400</v>
      </c>
    </row>
    <row r="43" spans="1:17" ht="15.75" customHeight="1" thickBot="1" x14ac:dyDescent="0.25">
      <c r="A43" s="1150"/>
      <c r="B43" s="1151" t="s">
        <v>10</v>
      </c>
      <c r="C43" s="1152"/>
      <c r="D43" s="424">
        <f>+D42</f>
        <v>923400</v>
      </c>
      <c r="E43" s="395">
        <f t="shared" ref="E43:H43" si="56">+E42</f>
        <v>0</v>
      </c>
      <c r="F43" s="395">
        <f t="shared" si="56"/>
        <v>0</v>
      </c>
      <c r="G43" s="395">
        <f t="shared" si="56"/>
        <v>0</v>
      </c>
      <c r="H43" s="660">
        <f t="shared" si="56"/>
        <v>0</v>
      </c>
      <c r="I43" s="664">
        <f>+I42</f>
        <v>9234000</v>
      </c>
      <c r="J43" s="665">
        <f t="shared" ref="J43" si="57">+J42</f>
        <v>0</v>
      </c>
      <c r="K43" s="665">
        <f t="shared" ref="K43" si="58">+K42</f>
        <v>0</v>
      </c>
      <c r="L43" s="665">
        <f t="shared" ref="L43" si="59">+L42</f>
        <v>0</v>
      </c>
      <c r="M43" s="678">
        <f t="shared" ref="M43" si="60">+M42</f>
        <v>0</v>
      </c>
      <c r="N43" s="663">
        <f>+N42</f>
        <v>923400</v>
      </c>
      <c r="O43" s="395">
        <f>+O42</f>
        <v>9234000</v>
      </c>
      <c r="P43" s="395">
        <f>+P42</f>
        <v>0</v>
      </c>
      <c r="Q43" s="414">
        <f>+Q42</f>
        <v>10157400</v>
      </c>
    </row>
    <row r="44" spans="1:17" x14ac:dyDescent="0.2">
      <c r="A44" s="1150" t="str">
        <f>+'B) Reajuste Tarifas y Ocupación'!A17</f>
        <v>Jardín Infantil Caracolito de Mar</v>
      </c>
      <c r="B44" s="1133" t="str">
        <f>+'B) Reajuste Tarifas y Ocupación'!B17</f>
        <v>Media jornada</v>
      </c>
      <c r="C44" s="416" t="s">
        <v>273</v>
      </c>
      <c r="D44" s="419">
        <f t="shared" ref="D44:D45" si="61">+I44</f>
        <v>118900</v>
      </c>
      <c r="E44" s="410">
        <f t="shared" ref="E44:E45" si="62">+J44</f>
        <v>160500</v>
      </c>
      <c r="F44" s="410">
        <f t="shared" ref="F44:F45" si="63">+K44</f>
        <v>166400</v>
      </c>
      <c r="G44" s="410">
        <f t="shared" ref="G44:G45" si="64">+L44</f>
        <v>159300</v>
      </c>
      <c r="H44" s="657">
        <f t="shared" ref="H44:H45" si="65">+M44</f>
        <v>234400</v>
      </c>
      <c r="I44" s="669">
        <f>+'B) Reajuste Tarifas y Ocupación'!M17</f>
        <v>118900</v>
      </c>
      <c r="J44" s="670">
        <f>+'B) Reajuste Tarifas y Ocupación'!N17</f>
        <v>160500</v>
      </c>
      <c r="K44" s="670">
        <f>+'B) Reajuste Tarifas y Ocupación'!O17</f>
        <v>166400</v>
      </c>
      <c r="L44" s="670">
        <f>+'B) Reajuste Tarifas y Ocupación'!P17</f>
        <v>159300</v>
      </c>
      <c r="M44" s="671">
        <f>+'B) Reajuste Tarifas y Ocupación'!Q17</f>
        <v>234400</v>
      </c>
      <c r="N44" s="382"/>
      <c r="O44" s="383"/>
      <c r="P44" s="436">
        <f>+'B) Reajuste Tarifas y Ocupación'!C17</f>
        <v>106100</v>
      </c>
      <c r="Q44" s="1148"/>
    </row>
    <row r="45" spans="1:17" x14ac:dyDescent="0.2">
      <c r="A45" s="1150"/>
      <c r="B45" s="1133"/>
      <c r="C45" s="416" t="s">
        <v>7</v>
      </c>
      <c r="D45" s="420">
        <f t="shared" si="61"/>
        <v>0</v>
      </c>
      <c r="E45" s="408">
        <f t="shared" si="62"/>
        <v>0</v>
      </c>
      <c r="F45" s="408">
        <f t="shared" si="63"/>
        <v>0</v>
      </c>
      <c r="G45" s="408">
        <f t="shared" si="64"/>
        <v>0</v>
      </c>
      <c r="H45" s="658">
        <f t="shared" si="65"/>
        <v>0</v>
      </c>
      <c r="I45" s="672">
        <f>+'B) Reajuste Tarifas y Ocupación'!C41</f>
        <v>0</v>
      </c>
      <c r="J45" s="667">
        <f>+'B) Reajuste Tarifas y Ocupación'!D41</f>
        <v>0</v>
      </c>
      <c r="K45" s="667">
        <f>+'B) Reajuste Tarifas y Ocupación'!E41</f>
        <v>0</v>
      </c>
      <c r="L45" s="667">
        <f>+'B) Reajuste Tarifas y Ocupación'!F41</f>
        <v>0</v>
      </c>
      <c r="M45" s="673">
        <f>+'B) Reajuste Tarifas y Ocupación'!G41</f>
        <v>0</v>
      </c>
      <c r="N45" s="661"/>
      <c r="O45" s="386"/>
      <c r="P45" s="434">
        <v>0</v>
      </c>
      <c r="Q45" s="1149"/>
    </row>
    <row r="46" spans="1:17" x14ac:dyDescent="0.2">
      <c r="A46" s="1150"/>
      <c r="B46" s="1133"/>
      <c r="C46" s="417" t="s">
        <v>9</v>
      </c>
      <c r="D46" s="421">
        <f>D45*D44</f>
        <v>0</v>
      </c>
      <c r="E46" s="390">
        <f>E45*E44</f>
        <v>0</v>
      </c>
      <c r="F46" s="390">
        <f t="shared" ref="F46:H46" si="66">F45*F44</f>
        <v>0</v>
      </c>
      <c r="G46" s="390">
        <f t="shared" si="66"/>
        <v>0</v>
      </c>
      <c r="H46" s="659">
        <f t="shared" si="66"/>
        <v>0</v>
      </c>
      <c r="I46" s="674">
        <f>I45*I44*10</f>
        <v>0</v>
      </c>
      <c r="J46" s="668">
        <f t="shared" ref="J46:M46" si="67">J45*J44*10</f>
        <v>0</v>
      </c>
      <c r="K46" s="668">
        <f t="shared" si="67"/>
        <v>0</v>
      </c>
      <c r="L46" s="668">
        <f t="shared" si="67"/>
        <v>0</v>
      </c>
      <c r="M46" s="675">
        <f t="shared" si="67"/>
        <v>0</v>
      </c>
      <c r="N46" s="662">
        <f>SUM(D46:H46)</f>
        <v>0</v>
      </c>
      <c r="O46" s="389">
        <f>SUM(I46:M46)</f>
        <v>0</v>
      </c>
      <c r="P46" s="390">
        <f>P45*P44</f>
        <v>0</v>
      </c>
      <c r="Q46" s="391">
        <f>N46+O46+P46</f>
        <v>0</v>
      </c>
    </row>
    <row r="47" spans="1:17" x14ac:dyDescent="0.2">
      <c r="A47" s="1150"/>
      <c r="B47" s="1133" t="str">
        <f>+'B) Reajuste Tarifas y Ocupación'!B18</f>
        <v>Jornada completa</v>
      </c>
      <c r="C47" s="416" t="s">
        <v>273</v>
      </c>
      <c r="D47" s="422">
        <f t="shared" ref="D47:D48" si="68">+I47</f>
        <v>194000</v>
      </c>
      <c r="E47" s="407">
        <f t="shared" ref="E47:E48" si="69">+J47</f>
        <v>261900</v>
      </c>
      <c r="F47" s="407">
        <f t="shared" ref="F47:F48" si="70">+K47</f>
        <v>271600</v>
      </c>
      <c r="G47" s="407">
        <f t="shared" ref="G47:G48" si="71">+L47</f>
        <v>327500</v>
      </c>
      <c r="H47" s="676">
        <f t="shared" ref="H47:H48" si="72">+M47</f>
        <v>488400</v>
      </c>
      <c r="I47" s="546">
        <f>+'B) Reajuste Tarifas y Ocupación'!M18</f>
        <v>194000</v>
      </c>
      <c r="J47" s="547">
        <f>+'B) Reajuste Tarifas y Ocupación'!N18</f>
        <v>261900</v>
      </c>
      <c r="K47" s="547">
        <f>+'B) Reajuste Tarifas y Ocupación'!O18</f>
        <v>271600</v>
      </c>
      <c r="L47" s="547">
        <f>+'B) Reajuste Tarifas y Ocupación'!P18</f>
        <v>327500</v>
      </c>
      <c r="M47" s="548">
        <f>+'B) Reajuste Tarifas y Ocupación'!Q18</f>
        <v>488400</v>
      </c>
      <c r="N47" s="661"/>
      <c r="O47" s="386"/>
      <c r="P47" s="433">
        <f>+'B) Reajuste Tarifas y Ocupación'!C18</f>
        <v>173200</v>
      </c>
      <c r="Q47" s="1149"/>
    </row>
    <row r="48" spans="1:17" x14ac:dyDescent="0.2">
      <c r="A48" s="1150"/>
      <c r="B48" s="1133"/>
      <c r="C48" s="416" t="s">
        <v>7</v>
      </c>
      <c r="D48" s="420">
        <f t="shared" si="68"/>
        <v>34</v>
      </c>
      <c r="E48" s="408">
        <f t="shared" si="69"/>
        <v>0</v>
      </c>
      <c r="F48" s="408">
        <f t="shared" si="70"/>
        <v>0</v>
      </c>
      <c r="G48" s="408">
        <f t="shared" si="71"/>
        <v>0</v>
      </c>
      <c r="H48" s="658">
        <f t="shared" si="72"/>
        <v>0</v>
      </c>
      <c r="I48" s="672">
        <f>+'B) Reajuste Tarifas y Ocupación'!C42</f>
        <v>34</v>
      </c>
      <c r="J48" s="667">
        <f>+'B) Reajuste Tarifas y Ocupación'!D42</f>
        <v>0</v>
      </c>
      <c r="K48" s="667">
        <f>+'B) Reajuste Tarifas y Ocupación'!E42</f>
        <v>0</v>
      </c>
      <c r="L48" s="667">
        <f>+'B) Reajuste Tarifas y Ocupación'!F42</f>
        <v>0</v>
      </c>
      <c r="M48" s="673">
        <f>+'B) Reajuste Tarifas y Ocupación'!G42</f>
        <v>0</v>
      </c>
      <c r="N48" s="661"/>
      <c r="O48" s="386"/>
      <c r="P48" s="434">
        <v>12</v>
      </c>
      <c r="Q48" s="1149"/>
    </row>
    <row r="49" spans="1:17" x14ac:dyDescent="0.2">
      <c r="A49" s="1150"/>
      <c r="B49" s="1133"/>
      <c r="C49" s="417" t="s">
        <v>9</v>
      </c>
      <c r="D49" s="421">
        <f t="shared" ref="D49:H49" si="73">D48*D47</f>
        <v>6596000</v>
      </c>
      <c r="E49" s="390">
        <f t="shared" si="73"/>
        <v>0</v>
      </c>
      <c r="F49" s="390">
        <f t="shared" si="73"/>
        <v>0</v>
      </c>
      <c r="G49" s="390">
        <f t="shared" si="73"/>
        <v>0</v>
      </c>
      <c r="H49" s="659">
        <f t="shared" si="73"/>
        <v>0</v>
      </c>
      <c r="I49" s="674">
        <f t="shared" ref="I49:M49" si="74">I48*I47*10</f>
        <v>65960000</v>
      </c>
      <c r="J49" s="668">
        <f t="shared" si="74"/>
        <v>0</v>
      </c>
      <c r="K49" s="668">
        <f t="shared" si="74"/>
        <v>0</v>
      </c>
      <c r="L49" s="668">
        <f t="shared" si="74"/>
        <v>0</v>
      </c>
      <c r="M49" s="675">
        <f t="shared" si="74"/>
        <v>0</v>
      </c>
      <c r="N49" s="662">
        <f>SUM(D49:H49)</f>
        <v>6596000</v>
      </c>
      <c r="O49" s="389">
        <f>SUM(I49:M49)</f>
        <v>65960000</v>
      </c>
      <c r="P49" s="390">
        <f>P48*P47</f>
        <v>2078400</v>
      </c>
      <c r="Q49" s="391">
        <f>N49+O49+P49</f>
        <v>74634400</v>
      </c>
    </row>
    <row r="50" spans="1:17" ht="15.75" thickBot="1" x14ac:dyDescent="0.25">
      <c r="A50" s="1178"/>
      <c r="B50" s="1179" t="s">
        <v>10</v>
      </c>
      <c r="C50" s="1180"/>
      <c r="D50" s="543">
        <f>+D46+D49</f>
        <v>6596000</v>
      </c>
      <c r="E50" s="544">
        <f t="shared" ref="E50:G50" si="75">+E46+E49</f>
        <v>0</v>
      </c>
      <c r="F50" s="544">
        <f t="shared" si="75"/>
        <v>0</v>
      </c>
      <c r="G50" s="544">
        <f t="shared" si="75"/>
        <v>0</v>
      </c>
      <c r="H50" s="555">
        <f>+H46+H49</f>
        <v>0</v>
      </c>
      <c r="I50" s="543">
        <f t="shared" ref="I50:L50" si="76">+I46+I49</f>
        <v>65960000</v>
      </c>
      <c r="J50" s="544">
        <f t="shared" si="76"/>
        <v>0</v>
      </c>
      <c r="K50" s="544">
        <f t="shared" si="76"/>
        <v>0</v>
      </c>
      <c r="L50" s="544">
        <f t="shared" si="76"/>
        <v>0</v>
      </c>
      <c r="M50" s="545">
        <f>+M46+M49</f>
        <v>0</v>
      </c>
      <c r="N50" s="677">
        <f>+N46+N49</f>
        <v>6596000</v>
      </c>
      <c r="O50" s="544">
        <f t="shared" ref="O50:Q50" si="77">+O46+O49</f>
        <v>65960000</v>
      </c>
      <c r="P50" s="544">
        <f>+P46+P49</f>
        <v>2078400</v>
      </c>
      <c r="Q50" s="545">
        <f t="shared" si="77"/>
        <v>74634400</v>
      </c>
    </row>
    <row r="51" spans="1:17" x14ac:dyDescent="0.2">
      <c r="A51" s="1138" t="str">
        <f>+'B) Reajuste Tarifas y Ocupación'!A22</f>
        <v>Sala Cuna Caracolito de Mar</v>
      </c>
      <c r="B51" s="1134" t="str">
        <f>+'B) Reajuste Tarifas y Ocupación'!B22</f>
        <v>Diurna</v>
      </c>
      <c r="C51" s="418" t="s">
        <v>273</v>
      </c>
      <c r="D51" s="679"/>
      <c r="E51" s="680">
        <f t="shared" ref="E51:H52" si="78">+J51</f>
        <v>537000</v>
      </c>
      <c r="F51" s="680">
        <f t="shared" si="78"/>
        <v>556900</v>
      </c>
      <c r="G51" s="680">
        <f t="shared" si="78"/>
        <v>497200</v>
      </c>
      <c r="H51" s="681">
        <f>+M51</f>
        <v>596600</v>
      </c>
      <c r="I51" s="682">
        <f>+'B) Reajuste Tarifas y Ocupación'!M22</f>
        <v>397800</v>
      </c>
      <c r="J51" s="680">
        <f>+'B) Reajuste Tarifas y Ocupación'!N22</f>
        <v>537000</v>
      </c>
      <c r="K51" s="680">
        <f>+'B) Reajuste Tarifas y Ocupación'!O22</f>
        <v>556900</v>
      </c>
      <c r="L51" s="680">
        <f>+'B) Reajuste Tarifas y Ocupación'!P22</f>
        <v>497200</v>
      </c>
      <c r="M51" s="681">
        <f>+'B) Reajuste Tarifas y Ocupación'!Q22</f>
        <v>596600</v>
      </c>
      <c r="N51" s="430"/>
      <c r="O51" s="431"/>
      <c r="P51" s="432"/>
      <c r="Q51" s="1177"/>
    </row>
    <row r="52" spans="1:17" x14ac:dyDescent="0.2">
      <c r="A52" s="1139"/>
      <c r="B52" s="1133"/>
      <c r="C52" s="416" t="s">
        <v>7</v>
      </c>
      <c r="D52" s="683"/>
      <c r="E52" s="408">
        <f t="shared" si="78"/>
        <v>0</v>
      </c>
      <c r="F52" s="408">
        <f t="shared" si="78"/>
        <v>0</v>
      </c>
      <c r="G52" s="408">
        <f t="shared" si="78"/>
        <v>0</v>
      </c>
      <c r="H52" s="412">
        <f t="shared" si="78"/>
        <v>0</v>
      </c>
      <c r="I52" s="420">
        <f>+'B) Reajuste Tarifas y Ocupación'!C46</f>
        <v>35</v>
      </c>
      <c r="J52" s="408">
        <f>+'B) Reajuste Tarifas y Ocupación'!D46</f>
        <v>0</v>
      </c>
      <c r="K52" s="408">
        <f>+'B) Reajuste Tarifas y Ocupación'!E46</f>
        <v>0</v>
      </c>
      <c r="L52" s="408">
        <f>+'B) Reajuste Tarifas y Ocupación'!F46</f>
        <v>0</v>
      </c>
      <c r="M52" s="412">
        <f>+'B) Reajuste Tarifas y Ocupación'!G46</f>
        <v>0</v>
      </c>
      <c r="N52" s="385"/>
      <c r="O52" s="386"/>
      <c r="P52" s="387"/>
      <c r="Q52" s="1149"/>
    </row>
    <row r="53" spans="1:17" x14ac:dyDescent="0.2">
      <c r="A53" s="1139"/>
      <c r="B53" s="1133"/>
      <c r="C53" s="417" t="s">
        <v>9</v>
      </c>
      <c r="D53" s="421">
        <f>D52*D51</f>
        <v>0</v>
      </c>
      <c r="E53" s="390">
        <f>E52*E51</f>
        <v>0</v>
      </c>
      <c r="F53" s="390">
        <f t="shared" ref="F53:H53" si="79">F52*F51</f>
        <v>0</v>
      </c>
      <c r="G53" s="390">
        <f t="shared" si="79"/>
        <v>0</v>
      </c>
      <c r="H53" s="413">
        <f t="shared" si="79"/>
        <v>0</v>
      </c>
      <c r="I53" s="421">
        <f>I52*I51*12</f>
        <v>167076000</v>
      </c>
      <c r="J53" s="390">
        <f t="shared" ref="J53:M53" si="80">J52*J51*12</f>
        <v>0</v>
      </c>
      <c r="K53" s="390">
        <f t="shared" si="80"/>
        <v>0</v>
      </c>
      <c r="L53" s="390">
        <f t="shared" si="80"/>
        <v>0</v>
      </c>
      <c r="M53" s="413">
        <f t="shared" si="80"/>
        <v>0</v>
      </c>
      <c r="N53" s="388">
        <f>SUM(D53:H53)</f>
        <v>0</v>
      </c>
      <c r="O53" s="389">
        <f>SUM(I53:M53)</f>
        <v>167076000</v>
      </c>
      <c r="P53" s="534">
        <f>P52*P51</f>
        <v>0</v>
      </c>
      <c r="Q53" s="391">
        <f>N53+O53+P53</f>
        <v>167076000</v>
      </c>
    </row>
    <row r="54" spans="1:17" x14ac:dyDescent="0.2">
      <c r="A54" s="1139"/>
      <c r="B54" s="1133" t="str">
        <f>+'B) Reajuste Tarifas y Ocupación'!B23</f>
        <v>Nocturna</v>
      </c>
      <c r="C54" s="416" t="s">
        <v>273</v>
      </c>
      <c r="D54" s="683"/>
      <c r="E54" s="684"/>
      <c r="F54" s="684"/>
      <c r="G54" s="684"/>
      <c r="H54" s="685"/>
      <c r="I54" s="683"/>
      <c r="J54" s="686"/>
      <c r="K54" s="686"/>
      <c r="L54" s="686"/>
      <c r="M54" s="687"/>
      <c r="N54" s="385"/>
      <c r="O54" s="386"/>
      <c r="P54" s="392"/>
      <c r="Q54" s="1149"/>
    </row>
    <row r="55" spans="1:17" x14ac:dyDescent="0.2">
      <c r="A55" s="1139"/>
      <c r="B55" s="1133"/>
      <c r="C55" s="416" t="s">
        <v>7</v>
      </c>
      <c r="D55" s="683"/>
      <c r="E55" s="688"/>
      <c r="F55" s="688"/>
      <c r="G55" s="688"/>
      <c r="H55" s="689"/>
      <c r="I55" s="690"/>
      <c r="J55" s="691"/>
      <c r="K55" s="691"/>
      <c r="L55" s="691"/>
      <c r="M55" s="692"/>
      <c r="N55" s="385"/>
      <c r="O55" s="386"/>
      <c r="P55" s="387"/>
      <c r="Q55" s="1149"/>
    </row>
    <row r="56" spans="1:17" x14ac:dyDescent="0.2">
      <c r="A56" s="1139"/>
      <c r="B56" s="1133"/>
      <c r="C56" s="417" t="s">
        <v>9</v>
      </c>
      <c r="D56" s="421">
        <f>D55*D54</f>
        <v>0</v>
      </c>
      <c r="E56" s="390">
        <f>E55*E54</f>
        <v>0</v>
      </c>
      <c r="F56" s="390">
        <f t="shared" ref="F56:H56" si="81">F55*F54</f>
        <v>0</v>
      </c>
      <c r="G56" s="390">
        <f t="shared" si="81"/>
        <v>0</v>
      </c>
      <c r="H56" s="413">
        <f t="shared" si="81"/>
        <v>0</v>
      </c>
      <c r="I56" s="421">
        <f>I55*I54*12</f>
        <v>0</v>
      </c>
      <c r="J56" s="390">
        <f t="shared" ref="J56:M56" si="82">J55*J54*12</f>
        <v>0</v>
      </c>
      <c r="K56" s="390">
        <f t="shared" si="82"/>
        <v>0</v>
      </c>
      <c r="L56" s="390">
        <f t="shared" si="82"/>
        <v>0</v>
      </c>
      <c r="M56" s="413">
        <f t="shared" si="82"/>
        <v>0</v>
      </c>
      <c r="N56" s="388">
        <f>SUM(D56:H56)</f>
        <v>0</v>
      </c>
      <c r="O56" s="389">
        <f>SUM(I56:M56)</f>
        <v>0</v>
      </c>
      <c r="P56" s="390">
        <f>P55*P54</f>
        <v>0</v>
      </c>
      <c r="Q56" s="391">
        <f>N56+O56+P56</f>
        <v>0</v>
      </c>
    </row>
    <row r="57" spans="1:17" x14ac:dyDescent="0.2">
      <c r="A57" s="1139"/>
      <c r="B57" s="1133" t="str">
        <f>+'B) Reajuste Tarifas y Ocupación'!B24</f>
        <v>Media Jornada</v>
      </c>
      <c r="C57" s="416" t="s">
        <v>273</v>
      </c>
      <c r="D57" s="683"/>
      <c r="E57" s="407">
        <f t="shared" ref="E57:H58" si="83">+J57</f>
        <v>322600</v>
      </c>
      <c r="F57" s="407">
        <f t="shared" si="83"/>
        <v>334500</v>
      </c>
      <c r="G57" s="407">
        <f t="shared" si="83"/>
        <v>358100</v>
      </c>
      <c r="H57" s="423">
        <f>+M57</f>
        <v>477400</v>
      </c>
      <c r="I57" s="422">
        <f>+'B) Reajuste Tarifas y Ocupación'!M24</f>
        <v>238900</v>
      </c>
      <c r="J57" s="407">
        <f>+'B) Reajuste Tarifas y Ocupación'!N24</f>
        <v>322600</v>
      </c>
      <c r="K57" s="407">
        <f>+'B) Reajuste Tarifas y Ocupación'!O24</f>
        <v>334500</v>
      </c>
      <c r="L57" s="407">
        <f>+'B) Reajuste Tarifas y Ocupación'!P24</f>
        <v>358100</v>
      </c>
      <c r="M57" s="423">
        <f>+'B) Reajuste Tarifas y Ocupación'!Q24</f>
        <v>477400</v>
      </c>
      <c r="N57" s="385"/>
      <c r="O57" s="386"/>
      <c r="P57" s="392"/>
      <c r="Q57" s="1149"/>
    </row>
    <row r="58" spans="1:17" x14ac:dyDescent="0.2">
      <c r="A58" s="1139"/>
      <c r="B58" s="1133"/>
      <c r="C58" s="416" t="s">
        <v>7</v>
      </c>
      <c r="D58" s="683"/>
      <c r="E58" s="408">
        <f t="shared" si="83"/>
        <v>0</v>
      </c>
      <c r="F58" s="408">
        <f t="shared" si="83"/>
        <v>0</v>
      </c>
      <c r="G58" s="408">
        <f t="shared" si="83"/>
        <v>0</v>
      </c>
      <c r="H58" s="412">
        <f t="shared" si="83"/>
        <v>0</v>
      </c>
      <c r="I58" s="420">
        <f>+'B) Reajuste Tarifas y Ocupación'!C48</f>
        <v>0</v>
      </c>
      <c r="J58" s="408">
        <f>+'B) Reajuste Tarifas y Ocupación'!D48</f>
        <v>0</v>
      </c>
      <c r="K58" s="408">
        <f>+'B) Reajuste Tarifas y Ocupación'!E48</f>
        <v>0</v>
      </c>
      <c r="L58" s="408">
        <f>+'B) Reajuste Tarifas y Ocupación'!F48</f>
        <v>0</v>
      </c>
      <c r="M58" s="412">
        <f>+'B) Reajuste Tarifas y Ocupación'!G48</f>
        <v>0</v>
      </c>
      <c r="N58" s="385"/>
      <c r="O58" s="386"/>
      <c r="P58" s="387"/>
      <c r="Q58" s="1149"/>
    </row>
    <row r="59" spans="1:17" x14ac:dyDescent="0.2">
      <c r="A59" s="1139"/>
      <c r="B59" s="1133"/>
      <c r="C59" s="417" t="s">
        <v>9</v>
      </c>
      <c r="D59" s="421">
        <f>D58*D57</f>
        <v>0</v>
      </c>
      <c r="E59" s="390">
        <f>E58*E57</f>
        <v>0</v>
      </c>
      <c r="F59" s="390">
        <f t="shared" ref="F59:H59" si="84">F58*F57</f>
        <v>0</v>
      </c>
      <c r="G59" s="390">
        <f t="shared" si="84"/>
        <v>0</v>
      </c>
      <c r="H59" s="413">
        <f t="shared" si="84"/>
        <v>0</v>
      </c>
      <c r="I59" s="421">
        <f>I58*I57*12</f>
        <v>0</v>
      </c>
      <c r="J59" s="390">
        <f t="shared" ref="J59:M59" si="85">J58*J57*12</f>
        <v>0</v>
      </c>
      <c r="K59" s="390">
        <f t="shared" si="85"/>
        <v>0</v>
      </c>
      <c r="L59" s="390">
        <f t="shared" si="85"/>
        <v>0</v>
      </c>
      <c r="M59" s="413">
        <f t="shared" si="85"/>
        <v>0</v>
      </c>
      <c r="N59" s="388">
        <f>SUM(D59:H59)</f>
        <v>0</v>
      </c>
      <c r="O59" s="389">
        <f>SUM(I59:M59)</f>
        <v>0</v>
      </c>
      <c r="P59" s="534">
        <f t="shared" ref="P59" si="86">P58*P57</f>
        <v>0</v>
      </c>
      <c r="Q59" s="391">
        <f>N59+O59+P59</f>
        <v>0</v>
      </c>
    </row>
    <row r="60" spans="1:17" ht="15.75" thickBot="1" x14ac:dyDescent="0.25">
      <c r="A60" s="1140"/>
      <c r="B60" s="1179" t="s">
        <v>10</v>
      </c>
      <c r="C60" s="1180"/>
      <c r="D60" s="402">
        <f>SUM(D53,D56,D59)</f>
        <v>0</v>
      </c>
      <c r="E60" s="393">
        <f t="shared" ref="E60:Q60" si="87">SUM(E53,E56,E59)</f>
        <v>0</v>
      </c>
      <c r="F60" s="393">
        <f t="shared" si="87"/>
        <v>0</v>
      </c>
      <c r="G60" s="393">
        <f t="shared" si="87"/>
        <v>0</v>
      </c>
      <c r="H60" s="394">
        <f t="shared" si="87"/>
        <v>0</v>
      </c>
      <c r="I60" s="402">
        <f t="shared" si="87"/>
        <v>167076000</v>
      </c>
      <c r="J60" s="393">
        <f t="shared" si="87"/>
        <v>0</v>
      </c>
      <c r="K60" s="393">
        <f t="shared" si="87"/>
        <v>0</v>
      </c>
      <c r="L60" s="393">
        <f t="shared" si="87"/>
        <v>0</v>
      </c>
      <c r="M60" s="394">
        <f t="shared" si="87"/>
        <v>0</v>
      </c>
      <c r="N60" s="399">
        <f t="shared" si="87"/>
        <v>0</v>
      </c>
      <c r="O60" s="396">
        <f t="shared" si="87"/>
        <v>167076000</v>
      </c>
      <c r="P60" s="535">
        <f t="shared" si="87"/>
        <v>0</v>
      </c>
      <c r="Q60" s="381">
        <f t="shared" si="87"/>
        <v>167076000</v>
      </c>
    </row>
    <row r="61" spans="1:17" ht="12.75" customHeight="1" x14ac:dyDescent="0.2">
      <c r="A61" s="1138" t="str">
        <f>+'B) Reajuste Tarifas y Ocupación'!A25</f>
        <v>Sala Cuna Mar Azul</v>
      </c>
      <c r="B61" s="1134" t="str">
        <f>+'B) Reajuste Tarifas y Ocupación'!B25</f>
        <v>Diurna</v>
      </c>
      <c r="C61" s="418" t="s">
        <v>273</v>
      </c>
      <c r="D61" s="679"/>
      <c r="E61" s="680">
        <f t="shared" ref="E61:E62" si="88">+J61</f>
        <v>537000</v>
      </c>
      <c r="F61" s="680">
        <f t="shared" ref="F61:F62" si="89">+K61</f>
        <v>556900</v>
      </c>
      <c r="G61" s="680">
        <f t="shared" ref="G61:G62" si="90">+L61</f>
        <v>497200</v>
      </c>
      <c r="H61" s="681">
        <f>+M61</f>
        <v>596600</v>
      </c>
      <c r="I61" s="682">
        <f>+'B) Reajuste Tarifas y Ocupación'!M25</f>
        <v>397800</v>
      </c>
      <c r="J61" s="680">
        <f>+'B) Reajuste Tarifas y Ocupación'!N25</f>
        <v>537000</v>
      </c>
      <c r="K61" s="680">
        <f>+'B) Reajuste Tarifas y Ocupación'!O25</f>
        <v>556900</v>
      </c>
      <c r="L61" s="680">
        <f>+'B) Reajuste Tarifas y Ocupación'!P25</f>
        <v>497200</v>
      </c>
      <c r="M61" s="681">
        <f>+'B) Reajuste Tarifas y Ocupación'!Q25</f>
        <v>596600</v>
      </c>
      <c r="N61" s="382"/>
      <c r="O61" s="383"/>
      <c r="P61" s="384"/>
      <c r="Q61" s="1148"/>
    </row>
    <row r="62" spans="1:17" x14ac:dyDescent="0.2">
      <c r="A62" s="1139"/>
      <c r="B62" s="1133"/>
      <c r="C62" s="416" t="s">
        <v>7</v>
      </c>
      <c r="D62" s="683"/>
      <c r="E62" s="408">
        <f t="shared" si="88"/>
        <v>0</v>
      </c>
      <c r="F62" s="408">
        <f t="shared" si="89"/>
        <v>0</v>
      </c>
      <c r="G62" s="408">
        <f t="shared" si="90"/>
        <v>0</v>
      </c>
      <c r="H62" s="412">
        <f t="shared" ref="H62" si="91">+M62</f>
        <v>0</v>
      </c>
      <c r="I62" s="420">
        <f>+'B) Reajuste Tarifas y Ocupación'!C49</f>
        <v>70</v>
      </c>
      <c r="J62" s="408">
        <f>+'B) Reajuste Tarifas y Ocupación'!D49</f>
        <v>0</v>
      </c>
      <c r="K62" s="408">
        <f>+'B) Reajuste Tarifas y Ocupación'!E49</f>
        <v>0</v>
      </c>
      <c r="L62" s="408">
        <f>+'B) Reajuste Tarifas y Ocupación'!F49</f>
        <v>0</v>
      </c>
      <c r="M62" s="412">
        <f>+'B) Reajuste Tarifas y Ocupación'!G49</f>
        <v>0</v>
      </c>
      <c r="N62" s="385"/>
      <c r="O62" s="386"/>
      <c r="P62" s="387"/>
      <c r="Q62" s="1149"/>
    </row>
    <row r="63" spans="1:17" x14ac:dyDescent="0.2">
      <c r="A63" s="1139"/>
      <c r="B63" s="1133"/>
      <c r="C63" s="417" t="s">
        <v>9</v>
      </c>
      <c r="D63" s="693">
        <f>D62*D61</f>
        <v>0</v>
      </c>
      <c r="E63" s="390">
        <f>E62*E61</f>
        <v>0</v>
      </c>
      <c r="F63" s="390">
        <f t="shared" ref="F63:H63" si="92">F62*F61</f>
        <v>0</v>
      </c>
      <c r="G63" s="390">
        <f t="shared" si="92"/>
        <v>0</v>
      </c>
      <c r="H63" s="413">
        <f t="shared" si="92"/>
        <v>0</v>
      </c>
      <c r="I63" s="421">
        <f>I62*I61*12</f>
        <v>334152000</v>
      </c>
      <c r="J63" s="390">
        <f t="shared" ref="J63:M63" si="93">J62*J61*12</f>
        <v>0</v>
      </c>
      <c r="K63" s="390">
        <f t="shared" si="93"/>
        <v>0</v>
      </c>
      <c r="L63" s="390">
        <f t="shared" si="93"/>
        <v>0</v>
      </c>
      <c r="M63" s="413">
        <f t="shared" si="93"/>
        <v>0</v>
      </c>
      <c r="N63" s="388">
        <f>SUM(D63:H63)</f>
        <v>0</v>
      </c>
      <c r="O63" s="389">
        <f>SUM(I63:M63)</f>
        <v>334152000</v>
      </c>
      <c r="P63" s="534">
        <f t="shared" ref="P63" si="94">P62*P61</f>
        <v>0</v>
      </c>
      <c r="Q63" s="391">
        <f>N63+O63+P63</f>
        <v>334152000</v>
      </c>
    </row>
    <row r="64" spans="1:17" x14ac:dyDescent="0.2">
      <c r="A64" s="1139"/>
      <c r="B64" s="1133" t="str">
        <f>+'B) Reajuste Tarifas y Ocupación'!B26</f>
        <v>Nocturna</v>
      </c>
      <c r="C64" s="416" t="s">
        <v>273</v>
      </c>
      <c r="D64" s="683"/>
      <c r="E64" s="686"/>
      <c r="F64" s="686"/>
      <c r="G64" s="686"/>
      <c r="H64" s="687"/>
      <c r="I64" s="422">
        <f>+'B) Reajuste Tarifas y Ocupación'!M26</f>
        <v>320900</v>
      </c>
      <c r="J64" s="686"/>
      <c r="K64" s="686"/>
      <c r="L64" s="686"/>
      <c r="M64" s="687"/>
      <c r="N64" s="385"/>
      <c r="O64" s="386"/>
      <c r="P64" s="392"/>
      <c r="Q64" s="1149"/>
    </row>
    <row r="65" spans="1:17" x14ac:dyDescent="0.2">
      <c r="A65" s="1139"/>
      <c r="B65" s="1133"/>
      <c r="C65" s="416" t="s">
        <v>7</v>
      </c>
      <c r="D65" s="683"/>
      <c r="E65" s="691"/>
      <c r="F65" s="691"/>
      <c r="G65" s="691"/>
      <c r="H65" s="692"/>
      <c r="I65" s="420">
        <f>+'B) Reajuste Tarifas y Ocupación'!C50</f>
        <v>21</v>
      </c>
      <c r="J65" s="691"/>
      <c r="K65" s="691"/>
      <c r="L65" s="691"/>
      <c r="M65" s="692"/>
      <c r="N65" s="385"/>
      <c r="O65" s="386"/>
      <c r="P65" s="387"/>
      <c r="Q65" s="1149"/>
    </row>
    <row r="66" spans="1:17" x14ac:dyDescent="0.2">
      <c r="A66" s="1139"/>
      <c r="B66" s="1133"/>
      <c r="C66" s="417" t="s">
        <v>9</v>
      </c>
      <c r="D66" s="693">
        <f>D65*D64</f>
        <v>0</v>
      </c>
      <c r="E66" s="390">
        <f>E65*E64</f>
        <v>0</v>
      </c>
      <c r="F66" s="390">
        <f t="shared" ref="F66:G66" si="95">F65*F64</f>
        <v>0</v>
      </c>
      <c r="G66" s="390">
        <f t="shared" si="95"/>
        <v>0</v>
      </c>
      <c r="H66" s="413">
        <f>H65*H64</f>
        <v>0</v>
      </c>
      <c r="I66" s="421">
        <f>I65*I64*12</f>
        <v>80866800</v>
      </c>
      <c r="J66" s="390">
        <f t="shared" ref="J66:M66" si="96">J65*J64*12</f>
        <v>0</v>
      </c>
      <c r="K66" s="390">
        <f t="shared" si="96"/>
        <v>0</v>
      </c>
      <c r="L66" s="390">
        <f t="shared" si="96"/>
        <v>0</v>
      </c>
      <c r="M66" s="413">
        <f t="shared" si="96"/>
        <v>0</v>
      </c>
      <c r="N66" s="536">
        <f>SUM(D66:H66)</f>
        <v>0</v>
      </c>
      <c r="O66" s="389">
        <f>SUM(I66:M66)</f>
        <v>80866800</v>
      </c>
      <c r="P66" s="534">
        <f t="shared" ref="P66" si="97">P65*P64</f>
        <v>0</v>
      </c>
      <c r="Q66" s="391">
        <f>N66+O66+P66</f>
        <v>80866800</v>
      </c>
    </row>
    <row r="67" spans="1:17" x14ac:dyDescent="0.2">
      <c r="A67" s="1139"/>
      <c r="B67" s="1133" t="str">
        <f>+'B) Reajuste Tarifas y Ocupación'!B27</f>
        <v>Media Jornada</v>
      </c>
      <c r="C67" s="416" t="s">
        <v>273</v>
      </c>
      <c r="D67" s="683"/>
      <c r="E67" s="407">
        <f t="shared" ref="E67:E68" si="98">+J67</f>
        <v>322600</v>
      </c>
      <c r="F67" s="407">
        <f t="shared" ref="F67:F68" si="99">+K67</f>
        <v>334500</v>
      </c>
      <c r="G67" s="407">
        <f t="shared" ref="G67:G68" si="100">+L67</f>
        <v>358100</v>
      </c>
      <c r="H67" s="423">
        <f>+M67</f>
        <v>477400</v>
      </c>
      <c r="I67" s="422">
        <f>+'B) Reajuste Tarifas y Ocupación'!M27</f>
        <v>238900</v>
      </c>
      <c r="J67" s="407">
        <f>+'B) Reajuste Tarifas y Ocupación'!N27</f>
        <v>322600</v>
      </c>
      <c r="K67" s="407">
        <f>+'B) Reajuste Tarifas y Ocupación'!O27</f>
        <v>334500</v>
      </c>
      <c r="L67" s="407">
        <f>+'B) Reajuste Tarifas y Ocupación'!P27</f>
        <v>358100</v>
      </c>
      <c r="M67" s="423">
        <f>+'B) Reajuste Tarifas y Ocupación'!Q27</f>
        <v>477400</v>
      </c>
      <c r="N67" s="385"/>
      <c r="O67" s="386"/>
      <c r="P67" s="392"/>
      <c r="Q67" s="1149"/>
    </row>
    <row r="68" spans="1:17" x14ac:dyDescent="0.2">
      <c r="A68" s="1139"/>
      <c r="B68" s="1133"/>
      <c r="C68" s="416" t="s">
        <v>7</v>
      </c>
      <c r="D68" s="683"/>
      <c r="E68" s="408">
        <f t="shared" si="98"/>
        <v>0</v>
      </c>
      <c r="F68" s="408">
        <f t="shared" si="99"/>
        <v>0</v>
      </c>
      <c r="G68" s="408">
        <f t="shared" si="100"/>
        <v>0</v>
      </c>
      <c r="H68" s="412">
        <f t="shared" ref="H68" si="101">+M68</f>
        <v>0</v>
      </c>
      <c r="I68" s="420">
        <f>+'B) Reajuste Tarifas y Ocupación'!C51</f>
        <v>0</v>
      </c>
      <c r="J68" s="408">
        <f>+'B) Reajuste Tarifas y Ocupación'!D51</f>
        <v>0</v>
      </c>
      <c r="K68" s="408">
        <f>+'B) Reajuste Tarifas y Ocupación'!E51</f>
        <v>0</v>
      </c>
      <c r="L68" s="408">
        <f>+'B) Reajuste Tarifas y Ocupación'!F51</f>
        <v>0</v>
      </c>
      <c r="M68" s="412">
        <f>+'B) Reajuste Tarifas y Ocupación'!G51</f>
        <v>0</v>
      </c>
      <c r="N68" s="385"/>
      <c r="O68" s="386"/>
      <c r="P68" s="387"/>
      <c r="Q68" s="1149"/>
    </row>
    <row r="69" spans="1:17" x14ac:dyDescent="0.2">
      <c r="A69" s="1139"/>
      <c r="B69" s="1133"/>
      <c r="C69" s="417" t="s">
        <v>9</v>
      </c>
      <c r="D69" s="693">
        <f>D68*D67</f>
        <v>0</v>
      </c>
      <c r="E69" s="390">
        <f>E68*E67</f>
        <v>0</v>
      </c>
      <c r="F69" s="390">
        <f t="shared" ref="F69:H69" si="102">F68*F67</f>
        <v>0</v>
      </c>
      <c r="G69" s="390">
        <f t="shared" si="102"/>
        <v>0</v>
      </c>
      <c r="H69" s="413">
        <f t="shared" si="102"/>
        <v>0</v>
      </c>
      <c r="I69" s="421">
        <f>I68*I67*12</f>
        <v>0</v>
      </c>
      <c r="J69" s="390">
        <f t="shared" ref="J69:M69" si="103">J68*J67*12</f>
        <v>0</v>
      </c>
      <c r="K69" s="390">
        <f t="shared" si="103"/>
        <v>0</v>
      </c>
      <c r="L69" s="390">
        <f t="shared" si="103"/>
        <v>0</v>
      </c>
      <c r="M69" s="413">
        <f t="shared" si="103"/>
        <v>0</v>
      </c>
      <c r="N69" s="388">
        <f>SUM(D69:H69)</f>
        <v>0</v>
      </c>
      <c r="O69" s="389">
        <f>SUM(I69:M69)</f>
        <v>0</v>
      </c>
      <c r="P69" s="534">
        <f t="shared" ref="P69" si="104">P68*P67</f>
        <v>0</v>
      </c>
      <c r="Q69" s="391">
        <f>N69+O69+P69</f>
        <v>0</v>
      </c>
    </row>
    <row r="70" spans="1:17" ht="15.75" thickBot="1" x14ac:dyDescent="0.25">
      <c r="A70" s="1141"/>
      <c r="B70" s="1142" t="s">
        <v>10</v>
      </c>
      <c r="C70" s="1143"/>
      <c r="D70" s="537">
        <f>SUM(D63,D66,D69)</f>
        <v>0</v>
      </c>
      <c r="E70" s="393">
        <f t="shared" ref="E70" si="105">SUM(E63,E66,E69)</f>
        <v>0</v>
      </c>
      <c r="F70" s="393">
        <f t="shared" ref="F70" si="106">SUM(F63,F66,F69)</f>
        <v>0</v>
      </c>
      <c r="G70" s="393">
        <f t="shared" ref="G70" si="107">SUM(G63,G66,G69)</f>
        <v>0</v>
      </c>
      <c r="H70" s="394">
        <f t="shared" ref="H70" si="108">SUM(H63,H66,H69)</f>
        <v>0</v>
      </c>
      <c r="I70" s="402">
        <f t="shared" ref="I70" si="109">SUM(I63,I66,I69)</f>
        <v>415018800</v>
      </c>
      <c r="J70" s="393">
        <f t="shared" ref="J70" si="110">SUM(J63,J66,J69)</f>
        <v>0</v>
      </c>
      <c r="K70" s="393">
        <f t="shared" ref="K70" si="111">SUM(K63,K66,K69)</f>
        <v>0</v>
      </c>
      <c r="L70" s="393">
        <f t="shared" ref="L70" si="112">SUM(L63,L66,L69)</f>
        <v>0</v>
      </c>
      <c r="M70" s="394">
        <f t="shared" ref="M70" si="113">SUM(M63,M66,M69)</f>
        <v>0</v>
      </c>
      <c r="N70" s="399">
        <f t="shared" ref="N70" si="114">SUM(N63,N66,N69)</f>
        <v>0</v>
      </c>
      <c r="O70" s="396">
        <f t="shared" ref="O70" si="115">SUM(O63,O66,O69)</f>
        <v>415018800</v>
      </c>
      <c r="P70" s="535">
        <f t="shared" ref="P70" si="116">SUM(P63,P66,P69)</f>
        <v>0</v>
      </c>
      <c r="Q70" s="381">
        <f t="shared" ref="Q70" si="117">SUM(Q63,Q66,Q69)</f>
        <v>415018800</v>
      </c>
    </row>
    <row r="71" spans="1:17" ht="15" customHeight="1" thickBot="1" x14ac:dyDescent="0.25">
      <c r="A71" s="1135" t="s">
        <v>8</v>
      </c>
      <c r="B71" s="1136"/>
      <c r="C71" s="1137"/>
      <c r="D71" s="401">
        <f>+D32+D39+D43+D50+D60+D70</f>
        <v>51726300</v>
      </c>
      <c r="E71" s="397">
        <f t="shared" ref="E71:Q71" si="118">+E32+E39+E43+E50+E60+E70</f>
        <v>523800</v>
      </c>
      <c r="F71" s="397">
        <f t="shared" si="118"/>
        <v>0</v>
      </c>
      <c r="G71" s="397">
        <f t="shared" si="118"/>
        <v>655000</v>
      </c>
      <c r="H71" s="400">
        <f t="shared" si="118"/>
        <v>0</v>
      </c>
      <c r="I71" s="403">
        <f t="shared" si="118"/>
        <v>1099357800</v>
      </c>
      <c r="J71" s="397">
        <f t="shared" si="118"/>
        <v>5238000</v>
      </c>
      <c r="K71" s="397">
        <f t="shared" si="118"/>
        <v>0</v>
      </c>
      <c r="L71" s="397">
        <f t="shared" si="118"/>
        <v>6550000</v>
      </c>
      <c r="M71" s="398">
        <f t="shared" si="118"/>
        <v>0</v>
      </c>
      <c r="N71" s="401">
        <f t="shared" si="118"/>
        <v>52905100</v>
      </c>
      <c r="O71" s="397">
        <f t="shared" si="118"/>
        <v>1111145800</v>
      </c>
      <c r="P71" s="397">
        <f t="shared" si="118"/>
        <v>7274400</v>
      </c>
      <c r="Q71" s="398">
        <f t="shared" si="118"/>
        <v>1171325300</v>
      </c>
    </row>
  </sheetData>
  <mergeCells count="52">
    <mergeCell ref="Q64:Q65"/>
    <mergeCell ref="Q67:Q68"/>
    <mergeCell ref="Q47:Q48"/>
    <mergeCell ref="P24:P25"/>
    <mergeCell ref="A40:A43"/>
    <mergeCell ref="Q57:Q58"/>
    <mergeCell ref="Q61:Q62"/>
    <mergeCell ref="Q44:Q45"/>
    <mergeCell ref="Q51:Q52"/>
    <mergeCell ref="Q54:Q55"/>
    <mergeCell ref="A44:A50"/>
    <mergeCell ref="B43:C43"/>
    <mergeCell ref="B50:C50"/>
    <mergeCell ref="B60:C60"/>
    <mergeCell ref="B54:B56"/>
    <mergeCell ref="B57:B59"/>
    <mergeCell ref="B40:B42"/>
    <mergeCell ref="B44:B46"/>
    <mergeCell ref="Q40:Q41"/>
    <mergeCell ref="C4:D4"/>
    <mergeCell ref="E4:G4"/>
    <mergeCell ref="C24:C25"/>
    <mergeCell ref="D24:H24"/>
    <mergeCell ref="B29:B31"/>
    <mergeCell ref="A6:D6"/>
    <mergeCell ref="A22:D22"/>
    <mergeCell ref="A24:A25"/>
    <mergeCell ref="B24:B25"/>
    <mergeCell ref="I24:M24"/>
    <mergeCell ref="Q33:Q34"/>
    <mergeCell ref="Q36:Q37"/>
    <mergeCell ref="B32:C32"/>
    <mergeCell ref="O24:O25"/>
    <mergeCell ref="Q24:Q25"/>
    <mergeCell ref="Q26:Q27"/>
    <mergeCell ref="Q29:Q30"/>
    <mergeCell ref="A33:A39"/>
    <mergeCell ref="B39:C39"/>
    <mergeCell ref="A26:A32"/>
    <mergeCell ref="B26:B28"/>
    <mergeCell ref="B33:B35"/>
    <mergeCell ref="B36:B38"/>
    <mergeCell ref="N24:N25"/>
    <mergeCell ref="B47:B49"/>
    <mergeCell ref="B61:B63"/>
    <mergeCell ref="B64:B66"/>
    <mergeCell ref="B51:B53"/>
    <mergeCell ref="A71:C71"/>
    <mergeCell ref="A51:A60"/>
    <mergeCell ref="A61:A70"/>
    <mergeCell ref="B67:B69"/>
    <mergeCell ref="B70:C70"/>
  </mergeCells>
  <conditionalFormatting sqref="B9:I17">
    <cfRule type="cellIs" dxfId="3" priority="2" stopIfTrue="1" operator="lessThan">
      <formula>0</formula>
    </cfRule>
  </conditionalFormatting>
  <conditionalFormatting sqref="J9:J16 C18:D18 F18:N22 D19:D21">
    <cfRule type="cellIs" dxfId="2" priority="9" stopIfTrue="1" operator="lessThan">
      <formula>0</formula>
    </cfRule>
  </conditionalFormatting>
  <pageMargins left="0.19652777777777777" right="0.19652777777777777" top="0.27500000000000002" bottom="0.19652777777777777" header="0.19652777777777777" footer="0.51180555555555551"/>
  <pageSetup firstPageNumber="0" fitToHeight="14" orientation="landscape" horizontalDpi="300" verticalDpi="300" r:id="rId1"/>
  <headerFooter alignWithMargins="0">
    <oddHeader>&amp;LSEPT - 2004&amp;CDIRECTIVA D.B.S.A.
ORDINARIA&amp;R02-BS/0307/02
Pag &amp;P de &amp;N</oddHeader>
  </headerFooter>
  <ignoredErrors>
    <ignoredError sqref="D27:H27 D26:H26 J26 D29:Q29 I28:Q28 J27:O27 I35:J35 P53:Q53 D60:J60 N58:O58 N62:O62 N61:O61 Q64 N67:O67 L26:Q26 D34:E34 D33:E33 L33:Q33 D36:E36 L36:Q36 L35:Q35 L34:O34 L38:Q38 N54:O54 N52:O52 N57:O57 N56:Q56 N55:O55 L60:Q60 N51:O51 N59:Q59 N63:Q63 N66:Q66 D70:Q70 N69:Q69 D37:E39 G37:J39 G34:J34 G33:J33 G36:J36 F33:F34 F36:F39 Q27 D32:Q32 D30:O30 Q30 E71:Q71 L37:O37 Q37 Q34 Q65 N68:O68 D31:O31 Q31 Q62 Q61 Q52 Q51 Q54 Q55 Q58 Q57 Q67 Q68 L39:O39 Q39" unlockedFormula="1"/>
    <ignoredError sqref="F28:H28 D35:E35 G35:H35" formula="1" unlockedFormula="1"/>
    <ignoredError sqref="D28:E28 F3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autoPageBreaks="0"/>
  </sheetPr>
  <dimension ref="A1:IV51"/>
  <sheetViews>
    <sheetView showGridLines="0" topLeftCell="A31" zoomScale="80" zoomScaleNormal="80" workbookViewId="0">
      <selection activeCell="D61" sqref="D61"/>
    </sheetView>
  </sheetViews>
  <sheetFormatPr baseColWidth="10" defaultColWidth="11.42578125" defaultRowHeight="12.75" x14ac:dyDescent="0.2"/>
  <cols>
    <col min="1" max="1" width="56.5703125" customWidth="1"/>
    <col min="2" max="2" width="33.85546875" customWidth="1"/>
    <col min="3" max="3" width="12.140625" customWidth="1"/>
    <col min="4" max="4" width="13.85546875" bestFit="1" customWidth="1"/>
    <col min="5" max="5" width="15.5703125" bestFit="1" customWidth="1"/>
    <col min="6" max="6" width="14.5703125" customWidth="1"/>
    <col min="7" max="7" width="14.85546875" customWidth="1"/>
    <col min="8" max="8" width="11.85546875" bestFit="1" customWidth="1"/>
    <col min="9" max="9" width="14.5703125" bestFit="1" customWidth="1"/>
    <col min="10" max="10" width="14.5703125" customWidth="1"/>
    <col min="11" max="12" width="11.85546875" customWidth="1"/>
    <col min="13" max="13" width="14" customWidth="1"/>
    <col min="14" max="15" width="14.5703125" customWidth="1"/>
    <col min="16" max="18" width="11.85546875" customWidth="1"/>
    <col min="19" max="19" width="32.85546875" customWidth="1"/>
    <col min="20" max="20" width="33" bestFit="1" customWidth="1"/>
    <col min="21" max="21" width="13.85546875" customWidth="1"/>
    <col min="22" max="22" width="14.5703125" bestFit="1" customWidth="1"/>
    <col min="23" max="23" width="14.5703125" customWidth="1"/>
    <col min="24" max="24" width="12.85546875" bestFit="1" customWidth="1"/>
  </cols>
  <sheetData>
    <row r="1" spans="1:256" s="4" customFormat="1" x14ac:dyDescent="0.2">
      <c r="A1" s="3"/>
      <c r="F1" s="37" t="s">
        <v>222</v>
      </c>
      <c r="S1" s="3"/>
      <c r="IU1" s="2"/>
      <c r="IV1" s="2"/>
    </row>
    <row r="2" spans="1:256" s="4" customFormat="1" x14ac:dyDescent="0.2">
      <c r="A2" s="5"/>
      <c r="F2" s="37" t="s">
        <v>215</v>
      </c>
      <c r="S2" s="5"/>
      <c r="IU2" s="2"/>
      <c r="IV2" s="2"/>
    </row>
    <row r="3" spans="1:256" s="4" customFormat="1" x14ac:dyDescent="0.2">
      <c r="A3" s="2"/>
      <c r="S3" s="2"/>
      <c r="IU3" s="2"/>
      <c r="IV3" s="2"/>
    </row>
    <row r="4" spans="1:256" s="4" customFormat="1" ht="13.5" thickBot="1" x14ac:dyDescent="0.25">
      <c r="A4" s="2"/>
      <c r="B4" s="20"/>
      <c r="S4" s="2"/>
      <c r="T4" s="20"/>
      <c r="IL4" s="2"/>
      <c r="IM4" s="2"/>
      <c r="IN4" s="2"/>
      <c r="IO4" s="2"/>
      <c r="IP4" s="2"/>
      <c r="IQ4" s="2"/>
    </row>
    <row r="5" spans="1:256" s="4" customFormat="1" ht="18" customHeight="1" thickBot="1" x14ac:dyDescent="0.25">
      <c r="A5" s="2"/>
      <c r="B5" s="20"/>
      <c r="C5" s="1157" t="s">
        <v>0</v>
      </c>
      <c r="D5" s="1184"/>
      <c r="E5" s="6"/>
      <c r="F5" s="1199" t="s">
        <v>260</v>
      </c>
      <c r="G5" s="1200"/>
      <c r="S5" s="2"/>
      <c r="T5" s="20"/>
      <c r="V5" s="1"/>
      <c r="W5" s="1"/>
      <c r="IL5" s="2"/>
      <c r="IM5" s="2"/>
      <c r="IN5" s="2"/>
      <c r="IO5" s="2"/>
      <c r="IP5" s="2"/>
      <c r="IQ5" s="2"/>
    </row>
    <row r="6" spans="1:256" s="4" customFormat="1" ht="18" customHeight="1" x14ac:dyDescent="0.2">
      <c r="A6" s="2"/>
      <c r="B6" s="20"/>
      <c r="C6" s="6"/>
      <c r="D6" s="6"/>
      <c r="E6" s="6"/>
      <c r="F6" s="37"/>
      <c r="G6" s="37"/>
      <c r="S6" s="2"/>
      <c r="T6" s="20"/>
      <c r="V6" s="1"/>
      <c r="W6" s="1"/>
      <c r="IL6" s="2"/>
      <c r="IM6" s="2"/>
      <c r="IN6" s="2"/>
      <c r="IO6" s="2"/>
      <c r="IP6" s="2"/>
      <c r="IQ6" s="2"/>
    </row>
    <row r="7" spans="1:256" s="4" customFormat="1" ht="18" customHeight="1" x14ac:dyDescent="0.2">
      <c r="A7" s="2"/>
      <c r="B7" s="20"/>
      <c r="C7" s="6"/>
      <c r="D7" s="6"/>
      <c r="E7" s="6"/>
      <c r="F7" s="37"/>
      <c r="G7" s="37"/>
      <c r="S7" s="2"/>
      <c r="T7" s="20"/>
      <c r="V7" s="56"/>
      <c r="W7" s="56"/>
      <c r="IL7" s="2"/>
      <c r="IM7" s="2"/>
      <c r="IN7" s="2"/>
      <c r="IO7" s="2"/>
      <c r="IP7" s="2"/>
      <c r="IQ7" s="2"/>
    </row>
    <row r="8" spans="1:256" s="4" customFormat="1" ht="15.75" x14ac:dyDescent="0.2">
      <c r="A8" s="1192" t="s">
        <v>164</v>
      </c>
      <c r="B8" s="1192"/>
      <c r="C8" s="1192"/>
      <c r="D8" s="1192"/>
      <c r="E8" s="126"/>
      <c r="F8" s="37"/>
      <c r="G8" s="37"/>
      <c r="IL8" s="2"/>
      <c r="IM8" s="2"/>
      <c r="IN8" s="2"/>
      <c r="IO8" s="2"/>
      <c r="IP8" s="2"/>
      <c r="IQ8" s="2"/>
    </row>
    <row r="9" spans="1:256" ht="13.5" customHeight="1" thickBot="1" x14ac:dyDescent="0.25"/>
    <row r="10" spans="1:256" ht="15.75" customHeight="1" x14ac:dyDescent="0.2">
      <c r="A10" s="1193" t="s">
        <v>140</v>
      </c>
      <c r="B10" s="1188" t="s">
        <v>5</v>
      </c>
      <c r="C10" s="1171" t="s">
        <v>268</v>
      </c>
      <c r="D10" s="1172"/>
      <c r="E10" s="1172"/>
      <c r="F10" s="1172"/>
      <c r="G10" s="1173"/>
      <c r="H10" s="1224" t="s">
        <v>108</v>
      </c>
      <c r="I10" s="1225"/>
      <c r="J10" s="1225"/>
      <c r="K10" s="1225"/>
      <c r="L10" s="1226"/>
      <c r="M10" s="1221" t="s">
        <v>276</v>
      </c>
      <c r="N10" s="1222"/>
      <c r="O10" s="1222"/>
      <c r="P10" s="1222"/>
      <c r="Q10" s="1223"/>
      <c r="R10" s="15"/>
    </row>
    <row r="11" spans="1:256" ht="70.5" customHeight="1" thickBot="1" x14ac:dyDescent="0.25">
      <c r="A11" s="1194"/>
      <c r="B11" s="1189"/>
      <c r="C11" s="405" t="s">
        <v>86</v>
      </c>
      <c r="D11" s="404" t="s">
        <v>142</v>
      </c>
      <c r="E11" s="404" t="s">
        <v>143</v>
      </c>
      <c r="F11" s="404" t="s">
        <v>87</v>
      </c>
      <c r="G11" s="406" t="s">
        <v>88</v>
      </c>
      <c r="H11" s="105" t="s">
        <v>86</v>
      </c>
      <c r="I11" s="106" t="s">
        <v>142</v>
      </c>
      <c r="J11" s="106" t="s">
        <v>143</v>
      </c>
      <c r="K11" s="107" t="s">
        <v>87</v>
      </c>
      <c r="L11" s="108" t="s">
        <v>88</v>
      </c>
      <c r="M11" s="101" t="s">
        <v>86</v>
      </c>
      <c r="N11" s="102" t="s">
        <v>142</v>
      </c>
      <c r="O11" s="102" t="s">
        <v>143</v>
      </c>
      <c r="P11" s="102" t="s">
        <v>87</v>
      </c>
      <c r="Q11" s="103" t="s">
        <v>88</v>
      </c>
      <c r="R11" s="15"/>
    </row>
    <row r="12" spans="1:256" ht="13.5" customHeight="1" x14ac:dyDescent="0.2">
      <c r="A12" s="1190" t="s">
        <v>145</v>
      </c>
      <c r="B12" s="470" t="s">
        <v>127</v>
      </c>
      <c r="C12" s="458">
        <v>106100</v>
      </c>
      <c r="D12" s="459">
        <v>143200</v>
      </c>
      <c r="E12" s="459">
        <v>148500</v>
      </c>
      <c r="F12" s="459">
        <v>142200</v>
      </c>
      <c r="G12" s="460">
        <v>209200</v>
      </c>
      <c r="H12" s="114">
        <v>0.12</v>
      </c>
      <c r="I12" s="100">
        <f>+H12</f>
        <v>0.12</v>
      </c>
      <c r="J12" s="100">
        <f>+H12</f>
        <v>0.12</v>
      </c>
      <c r="K12" s="100">
        <f>+H12</f>
        <v>0.12</v>
      </c>
      <c r="L12" s="247">
        <f>+H12</f>
        <v>0.12</v>
      </c>
      <c r="M12" s="104">
        <f t="shared" ref="M12:M18" si="0">CEILING(C12*(1+H12),100)</f>
        <v>118900</v>
      </c>
      <c r="N12" s="337">
        <f>+CEILING(C12*(1.35)*(1+I12),100)</f>
        <v>160500</v>
      </c>
      <c r="O12" s="337">
        <f>+CEILING(C12*(1.4)*(1+J12),100)</f>
        <v>166400</v>
      </c>
      <c r="P12" s="337">
        <f t="shared" ref="P12:Q18" si="1">+CEILING(F12*(1+K12),100)</f>
        <v>159300</v>
      </c>
      <c r="Q12" s="338">
        <f t="shared" si="1"/>
        <v>234400</v>
      </c>
      <c r="R12" s="81"/>
    </row>
    <row r="13" spans="1:256" ht="13.5" customHeight="1" thickBot="1" x14ac:dyDescent="0.25">
      <c r="A13" s="1191"/>
      <c r="B13" s="471" t="s">
        <v>128</v>
      </c>
      <c r="C13" s="467">
        <v>173200</v>
      </c>
      <c r="D13" s="468">
        <v>233800</v>
      </c>
      <c r="E13" s="468">
        <v>242500</v>
      </c>
      <c r="F13" s="468">
        <v>292400</v>
      </c>
      <c r="G13" s="469">
        <v>436000</v>
      </c>
      <c r="H13" s="115">
        <v>0.12</v>
      </c>
      <c r="I13" s="109">
        <f t="shared" ref="I13:I15" si="2">+H13</f>
        <v>0.12</v>
      </c>
      <c r="J13" s="109">
        <f t="shared" ref="J13:J15" si="3">+H13</f>
        <v>0.12</v>
      </c>
      <c r="K13" s="109">
        <f t="shared" ref="K13:K15" si="4">+H13</f>
        <v>0.12</v>
      </c>
      <c r="L13" s="248">
        <f t="shared" ref="L13:L15" si="5">+H13</f>
        <v>0.12</v>
      </c>
      <c r="M13" s="339">
        <f t="shared" si="0"/>
        <v>194000</v>
      </c>
      <c r="N13" s="340">
        <f t="shared" ref="N13:N16" si="6">+CEILING(C13*(1.35)*(1+I13),100)</f>
        <v>261900</v>
      </c>
      <c r="O13" s="340">
        <f t="shared" ref="O13:O16" si="7">+CEILING(C13*(1.4)*(1+J13),100)</f>
        <v>271600</v>
      </c>
      <c r="P13" s="340">
        <f t="shared" si="1"/>
        <v>327500</v>
      </c>
      <c r="Q13" s="341">
        <f t="shared" si="1"/>
        <v>488400</v>
      </c>
    </row>
    <row r="14" spans="1:256" ht="12.75" customHeight="1" x14ac:dyDescent="0.2">
      <c r="A14" s="1190" t="s">
        <v>146</v>
      </c>
      <c r="B14" s="470" t="s">
        <v>127</v>
      </c>
      <c r="C14" s="458">
        <v>106100</v>
      </c>
      <c r="D14" s="459">
        <v>143200</v>
      </c>
      <c r="E14" s="459">
        <v>148500</v>
      </c>
      <c r="F14" s="459">
        <v>142200</v>
      </c>
      <c r="G14" s="460">
        <v>209200</v>
      </c>
      <c r="H14" s="114">
        <v>0.12</v>
      </c>
      <c r="I14" s="100">
        <f t="shared" si="2"/>
        <v>0.12</v>
      </c>
      <c r="J14" s="100">
        <f t="shared" si="3"/>
        <v>0.12</v>
      </c>
      <c r="K14" s="100">
        <f t="shared" si="4"/>
        <v>0.12</v>
      </c>
      <c r="L14" s="247">
        <f t="shared" si="5"/>
        <v>0.12</v>
      </c>
      <c r="M14" s="475">
        <f t="shared" si="0"/>
        <v>118900</v>
      </c>
      <c r="N14" s="570">
        <f t="shared" si="6"/>
        <v>160500</v>
      </c>
      <c r="O14" s="570">
        <f t="shared" si="7"/>
        <v>166400</v>
      </c>
      <c r="P14" s="570">
        <f t="shared" si="1"/>
        <v>159300</v>
      </c>
      <c r="Q14" s="571">
        <f t="shared" si="1"/>
        <v>234400</v>
      </c>
      <c r="R14" s="82"/>
    </row>
    <row r="15" spans="1:256" ht="12.75" customHeight="1" thickBot="1" x14ac:dyDescent="0.25">
      <c r="A15" s="1191"/>
      <c r="B15" s="471" t="s">
        <v>128</v>
      </c>
      <c r="C15" s="558">
        <v>173200</v>
      </c>
      <c r="D15" s="559">
        <v>233800</v>
      </c>
      <c r="E15" s="559">
        <v>242500</v>
      </c>
      <c r="F15" s="559">
        <v>292400</v>
      </c>
      <c r="G15" s="560">
        <v>436000</v>
      </c>
      <c r="H15" s="561">
        <v>0.12</v>
      </c>
      <c r="I15" s="562">
        <f t="shared" si="2"/>
        <v>0.12</v>
      </c>
      <c r="J15" s="562">
        <f t="shared" si="3"/>
        <v>0.12</v>
      </c>
      <c r="K15" s="562">
        <f t="shared" si="4"/>
        <v>0.12</v>
      </c>
      <c r="L15" s="563">
        <f t="shared" si="5"/>
        <v>0.12</v>
      </c>
      <c r="M15" s="585">
        <f t="shared" si="0"/>
        <v>194000</v>
      </c>
      <c r="N15" s="572">
        <f t="shared" si="6"/>
        <v>261900</v>
      </c>
      <c r="O15" s="572">
        <f t="shared" si="7"/>
        <v>271600</v>
      </c>
      <c r="P15" s="572">
        <f t="shared" si="1"/>
        <v>327500</v>
      </c>
      <c r="Q15" s="573">
        <f t="shared" si="1"/>
        <v>488400</v>
      </c>
      <c r="R15" s="82"/>
    </row>
    <row r="16" spans="1:256" ht="27" customHeight="1" thickBot="1" x14ac:dyDescent="0.25">
      <c r="A16" s="246" t="s">
        <v>147</v>
      </c>
      <c r="B16" s="556" t="s">
        <v>127</v>
      </c>
      <c r="C16" s="564">
        <v>45800</v>
      </c>
      <c r="D16" s="565">
        <v>61800</v>
      </c>
      <c r="E16" s="565">
        <v>64100</v>
      </c>
      <c r="F16" s="565">
        <v>57400</v>
      </c>
      <c r="G16" s="565">
        <v>68700</v>
      </c>
      <c r="H16" s="582">
        <v>0.12</v>
      </c>
      <c r="I16" s="583">
        <f t="shared" ref="I16" si="8">+H16</f>
        <v>0.12</v>
      </c>
      <c r="J16" s="583">
        <f t="shared" ref="J16" si="9">+H16</f>
        <v>0.12</v>
      </c>
      <c r="K16" s="583">
        <f t="shared" ref="K16" si="10">+H16</f>
        <v>0.12</v>
      </c>
      <c r="L16" s="584">
        <f t="shared" ref="L16" si="11">+H16</f>
        <v>0.12</v>
      </c>
      <c r="M16" s="586">
        <f t="shared" si="0"/>
        <v>51300</v>
      </c>
      <c r="N16" s="566">
        <f t="shared" si="6"/>
        <v>69300</v>
      </c>
      <c r="O16" s="566">
        <f t="shared" si="7"/>
        <v>71900</v>
      </c>
      <c r="P16" s="566">
        <f t="shared" si="1"/>
        <v>64300</v>
      </c>
      <c r="Q16" s="567">
        <f t="shared" si="1"/>
        <v>77000</v>
      </c>
    </row>
    <row r="17" spans="1:18" ht="12.75" customHeight="1" x14ac:dyDescent="0.2">
      <c r="A17" s="1190" t="s">
        <v>148</v>
      </c>
      <c r="B17" s="465" t="s">
        <v>127</v>
      </c>
      <c r="C17" s="568">
        <v>106100</v>
      </c>
      <c r="D17" s="569">
        <v>143200</v>
      </c>
      <c r="E17" s="569">
        <v>148500</v>
      </c>
      <c r="F17" s="569">
        <v>142200</v>
      </c>
      <c r="G17" s="574">
        <v>209200</v>
      </c>
      <c r="H17" s="576">
        <v>0.12</v>
      </c>
      <c r="I17" s="577">
        <f t="shared" ref="I17" si="12">+H17</f>
        <v>0.12</v>
      </c>
      <c r="J17" s="577">
        <f t="shared" ref="J17" si="13">+H17</f>
        <v>0.12</v>
      </c>
      <c r="K17" s="577">
        <f t="shared" ref="K17" si="14">+H17</f>
        <v>0.12</v>
      </c>
      <c r="L17" s="578">
        <f t="shared" ref="L17" si="15">+H17</f>
        <v>0.12</v>
      </c>
      <c r="M17" s="587">
        <f t="shared" si="0"/>
        <v>118900</v>
      </c>
      <c r="N17" s="588">
        <f>+CEILING(C17*(1.35)*(1+I17),100)</f>
        <v>160500</v>
      </c>
      <c r="O17" s="588">
        <f>+CEILING(C17*(1.4)*(1+J17),100)</f>
        <v>166400</v>
      </c>
      <c r="P17" s="588">
        <f t="shared" si="1"/>
        <v>159300</v>
      </c>
      <c r="Q17" s="589">
        <f t="shared" si="1"/>
        <v>234400</v>
      </c>
    </row>
    <row r="18" spans="1:18" ht="12.75" customHeight="1" thickBot="1" x14ac:dyDescent="0.25">
      <c r="A18" s="1191"/>
      <c r="B18" s="557" t="s">
        <v>128</v>
      </c>
      <c r="C18" s="467">
        <v>173200</v>
      </c>
      <c r="D18" s="468">
        <v>233800</v>
      </c>
      <c r="E18" s="468">
        <v>242500</v>
      </c>
      <c r="F18" s="468">
        <v>292400</v>
      </c>
      <c r="G18" s="575">
        <v>436000</v>
      </c>
      <c r="H18" s="579">
        <v>0.12</v>
      </c>
      <c r="I18" s="580">
        <f t="shared" ref="I18" si="16">+H18</f>
        <v>0.12</v>
      </c>
      <c r="J18" s="580">
        <f t="shared" ref="J18" si="17">+H18</f>
        <v>0.12</v>
      </c>
      <c r="K18" s="580">
        <f t="shared" ref="K18" si="18">+H18</f>
        <v>0.12</v>
      </c>
      <c r="L18" s="581">
        <f t="shared" ref="L18" si="19">+H18</f>
        <v>0.12</v>
      </c>
      <c r="M18" s="585">
        <f t="shared" si="0"/>
        <v>194000</v>
      </c>
      <c r="N18" s="572">
        <f t="shared" ref="N18" si="20">+CEILING(C18*(1.35)*(1+I18),100)</f>
        <v>261900</v>
      </c>
      <c r="O18" s="572">
        <f t="shared" ref="O18" si="21">+CEILING(C18*(1.4)*(1+J18),100)</f>
        <v>271600</v>
      </c>
      <c r="P18" s="572">
        <f t="shared" si="1"/>
        <v>327500</v>
      </c>
      <c r="Q18" s="573">
        <f t="shared" si="1"/>
        <v>488400</v>
      </c>
    </row>
    <row r="19" spans="1:18" ht="12.75" customHeight="1" thickBot="1" x14ac:dyDescent="0.25"/>
    <row r="20" spans="1:18" ht="15.75" customHeight="1" x14ac:dyDescent="0.2">
      <c r="A20" s="1193" t="s">
        <v>141</v>
      </c>
      <c r="B20" s="1188" t="s">
        <v>5</v>
      </c>
      <c r="C20" s="1171" t="s">
        <v>268</v>
      </c>
      <c r="D20" s="1172"/>
      <c r="E20" s="1172"/>
      <c r="F20" s="1172"/>
      <c r="G20" s="1173"/>
      <c r="H20" s="1227" t="s">
        <v>108</v>
      </c>
      <c r="I20" s="1228"/>
      <c r="J20" s="1228"/>
      <c r="K20" s="1228"/>
      <c r="L20" s="1228"/>
      <c r="M20" s="1229" t="s">
        <v>276</v>
      </c>
      <c r="N20" s="1230"/>
      <c r="O20" s="1230"/>
      <c r="P20" s="1230"/>
      <c r="Q20" s="1231"/>
      <c r="R20" s="15"/>
    </row>
    <row r="21" spans="1:18" ht="74.25" customHeight="1" thickBot="1" x14ac:dyDescent="0.25">
      <c r="A21" s="1194"/>
      <c r="B21" s="1189"/>
      <c r="C21" s="405" t="s">
        <v>86</v>
      </c>
      <c r="D21" s="404" t="s">
        <v>142</v>
      </c>
      <c r="E21" s="404" t="s">
        <v>143</v>
      </c>
      <c r="F21" s="404" t="s">
        <v>87</v>
      </c>
      <c r="G21" s="406" t="s">
        <v>88</v>
      </c>
      <c r="H21" s="110" t="s">
        <v>86</v>
      </c>
      <c r="I21" s="112" t="s">
        <v>142</v>
      </c>
      <c r="J21" s="112" t="s">
        <v>143</v>
      </c>
      <c r="K21" s="111" t="s">
        <v>87</v>
      </c>
      <c r="L21" s="113" t="s">
        <v>88</v>
      </c>
      <c r="M21" s="472" t="s">
        <v>86</v>
      </c>
      <c r="N21" s="404" t="s">
        <v>142</v>
      </c>
      <c r="O21" s="404" t="s">
        <v>143</v>
      </c>
      <c r="P21" s="473" t="s">
        <v>87</v>
      </c>
      <c r="Q21" s="474" t="s">
        <v>88</v>
      </c>
      <c r="R21" s="15"/>
    </row>
    <row r="22" spans="1:18" x14ac:dyDescent="0.2">
      <c r="A22" s="1190" t="s">
        <v>149</v>
      </c>
      <c r="B22" s="465" t="s">
        <v>136</v>
      </c>
      <c r="C22" s="458">
        <v>368300</v>
      </c>
      <c r="D22" s="459">
        <v>497200</v>
      </c>
      <c r="E22" s="459">
        <v>515600</v>
      </c>
      <c r="F22" s="459">
        <v>460300</v>
      </c>
      <c r="G22" s="460">
        <v>552400</v>
      </c>
      <c r="H22" s="455">
        <v>0.08</v>
      </c>
      <c r="I22" s="100">
        <f>+H22</f>
        <v>0.08</v>
      </c>
      <c r="J22" s="100">
        <f>+H22</f>
        <v>0.08</v>
      </c>
      <c r="K22" s="100">
        <f>+H22</f>
        <v>0.08</v>
      </c>
      <c r="L22" s="247">
        <f>+H22</f>
        <v>0.08</v>
      </c>
      <c r="M22" s="475">
        <f>CEILING(C22*(1+H22),100)</f>
        <v>397800</v>
      </c>
      <c r="N22" s="337">
        <f>+CEILING(C22*(1.35)*(1+I22),100)</f>
        <v>537000</v>
      </c>
      <c r="O22" s="337">
        <f>+CEILING(C22*(1.4)*(1+J22),100)</f>
        <v>556900</v>
      </c>
      <c r="P22" s="337">
        <f>+CEILING(F22*(1+K22),100)</f>
        <v>497200</v>
      </c>
      <c r="Q22" s="338">
        <f>+CEILING(G22*(1+L22),100)</f>
        <v>596600</v>
      </c>
      <c r="R22" s="82"/>
    </row>
    <row r="23" spans="1:18" x14ac:dyDescent="0.2">
      <c r="A23" s="1201"/>
      <c r="B23" s="480" t="s">
        <v>150</v>
      </c>
      <c r="C23" s="694"/>
      <c r="D23" s="695"/>
      <c r="E23" s="695"/>
      <c r="F23" s="695"/>
      <c r="G23" s="696"/>
      <c r="H23" s="1218"/>
      <c r="I23" s="1219"/>
      <c r="J23" s="1219"/>
      <c r="K23" s="1219"/>
      <c r="L23" s="1220"/>
      <c r="M23" s="1215"/>
      <c r="N23" s="1216"/>
      <c r="O23" s="1216"/>
      <c r="P23" s="1216"/>
      <c r="Q23" s="1217"/>
      <c r="R23" s="82"/>
    </row>
    <row r="24" spans="1:18" ht="13.5" thickBot="1" x14ac:dyDescent="0.25">
      <c r="A24" s="1202"/>
      <c r="B24" s="466" t="s">
        <v>137</v>
      </c>
      <c r="C24" s="462">
        <v>221200</v>
      </c>
      <c r="D24" s="463">
        <v>298600</v>
      </c>
      <c r="E24" s="463">
        <v>309600</v>
      </c>
      <c r="F24" s="463">
        <v>331500</v>
      </c>
      <c r="G24" s="464">
        <v>442000</v>
      </c>
      <c r="H24" s="456">
        <v>0.08</v>
      </c>
      <c r="I24" s="290">
        <f t="shared" ref="I24:I27" si="22">+H24</f>
        <v>0.08</v>
      </c>
      <c r="J24" s="290">
        <f t="shared" ref="J24:J27" si="23">+H24</f>
        <v>0.08</v>
      </c>
      <c r="K24" s="290">
        <f t="shared" ref="K24:K27" si="24">+H24</f>
        <v>0.08</v>
      </c>
      <c r="L24" s="248">
        <f t="shared" ref="L24:L27" si="25">+H24</f>
        <v>0.08</v>
      </c>
      <c r="M24" s="339">
        <f>CEILING(C24*(1+H24),100)</f>
        <v>238900</v>
      </c>
      <c r="N24" s="340">
        <f>+CEILING(C24*(1.35)*(1+I24),100)</f>
        <v>322600</v>
      </c>
      <c r="O24" s="340">
        <f>+CEILING(C24*(1.4)*(1+J24),100)</f>
        <v>334500</v>
      </c>
      <c r="P24" s="340">
        <f>CEILING(F24*(1+K24),100)</f>
        <v>358100</v>
      </c>
      <c r="Q24" s="341">
        <f>CEILING(G24*(1+L24),100)</f>
        <v>477400</v>
      </c>
      <c r="R24" s="82"/>
    </row>
    <row r="25" spans="1:18" x14ac:dyDescent="0.2">
      <c r="A25" s="1208" t="s">
        <v>229</v>
      </c>
      <c r="B25" s="481" t="s">
        <v>136</v>
      </c>
      <c r="C25" s="484">
        <v>368300</v>
      </c>
      <c r="D25" s="485">
        <v>497200</v>
      </c>
      <c r="E25" s="485">
        <v>515600</v>
      </c>
      <c r="F25" s="485">
        <v>460300</v>
      </c>
      <c r="G25" s="486">
        <v>552400</v>
      </c>
      <c r="H25" s="482">
        <v>0.08</v>
      </c>
      <c r="I25" s="291">
        <f t="shared" si="22"/>
        <v>0.08</v>
      </c>
      <c r="J25" s="291">
        <f t="shared" si="23"/>
        <v>0.08</v>
      </c>
      <c r="K25" s="291">
        <f t="shared" si="24"/>
        <v>0.08</v>
      </c>
      <c r="L25" s="292">
        <f t="shared" si="25"/>
        <v>0.08</v>
      </c>
      <c r="M25" s="476">
        <f>CEILING(C25*(1+H25),100)</f>
        <v>397800</v>
      </c>
      <c r="N25" s="477">
        <f>+CEILING(C25*(1.35)*(1+I25),100)</f>
        <v>537000</v>
      </c>
      <c r="O25" s="477">
        <f>+CEILING(C25*(1.4)*(1+J25),100)</f>
        <v>556900</v>
      </c>
      <c r="P25" s="477">
        <f>+CEILING(F25*(1+K25),100)</f>
        <v>497200</v>
      </c>
      <c r="Q25" s="478">
        <f>+CEILING(G25*(1+L25),100)</f>
        <v>596600</v>
      </c>
    </row>
    <row r="26" spans="1:18" x14ac:dyDescent="0.2">
      <c r="A26" s="1209"/>
      <c r="B26" s="480" t="s">
        <v>150</v>
      </c>
      <c r="C26" s="439">
        <v>297100</v>
      </c>
      <c r="D26" s="457"/>
      <c r="E26" s="457"/>
      <c r="F26" s="457"/>
      <c r="G26" s="461"/>
      <c r="H26" s="483">
        <v>0.08</v>
      </c>
      <c r="I26" s="1235"/>
      <c r="J26" s="1236"/>
      <c r="K26" s="1236"/>
      <c r="L26" s="1237"/>
      <c r="M26" s="479">
        <f>CEILING(C26*(1+H26),100)</f>
        <v>320900</v>
      </c>
      <c r="N26" s="1232"/>
      <c r="O26" s="1233"/>
      <c r="P26" s="1233"/>
      <c r="Q26" s="1234"/>
    </row>
    <row r="27" spans="1:18" ht="13.5" thickBot="1" x14ac:dyDescent="0.25">
      <c r="A27" s="1191"/>
      <c r="B27" s="466" t="s">
        <v>137</v>
      </c>
      <c r="C27" s="462">
        <v>221200</v>
      </c>
      <c r="D27" s="463">
        <v>298600</v>
      </c>
      <c r="E27" s="463">
        <v>309600</v>
      </c>
      <c r="F27" s="463">
        <v>331500</v>
      </c>
      <c r="G27" s="464">
        <v>442000</v>
      </c>
      <c r="H27" s="456">
        <v>0.08</v>
      </c>
      <c r="I27" s="109">
        <f t="shared" si="22"/>
        <v>0.08</v>
      </c>
      <c r="J27" s="109">
        <f t="shared" si="23"/>
        <v>0.08</v>
      </c>
      <c r="K27" s="109">
        <f t="shared" si="24"/>
        <v>0.08</v>
      </c>
      <c r="L27" s="293">
        <f t="shared" si="25"/>
        <v>0.08</v>
      </c>
      <c r="M27" s="339">
        <f>CEILING(C27*(1+H27),100)</f>
        <v>238900</v>
      </c>
      <c r="N27" s="340">
        <f>+CEILING(C27*(1.35)*(1+I27),100)</f>
        <v>322600</v>
      </c>
      <c r="O27" s="340">
        <f>+CEILING(C27*(1.4)*(1+J27),100)</f>
        <v>334500</v>
      </c>
      <c r="P27" s="340">
        <f>CEILING(F27*(1+K27),100)</f>
        <v>358100</v>
      </c>
      <c r="Q27" s="341">
        <f>CEILING(G27*(1+L27),100)</f>
        <v>477400</v>
      </c>
    </row>
    <row r="31" spans="1:18" x14ac:dyDescent="0.2">
      <c r="D31" s="249"/>
    </row>
    <row r="32" spans="1:18" ht="15.75" x14ac:dyDescent="0.2">
      <c r="A32" s="1192" t="s">
        <v>165</v>
      </c>
      <c r="B32" s="1192"/>
      <c r="C32" s="1192"/>
      <c r="D32" s="1192"/>
      <c r="E32" s="1192"/>
      <c r="F32" s="1192"/>
      <c r="G32" s="4"/>
      <c r="H32" s="4"/>
    </row>
    <row r="33" spans="1:12" ht="13.5" thickBot="1" x14ac:dyDescent="0.25"/>
    <row r="34" spans="1:12" ht="16.5" thickBot="1" x14ac:dyDescent="0.25">
      <c r="A34" s="1197" t="s">
        <v>140</v>
      </c>
      <c r="B34" s="1195" t="s">
        <v>5</v>
      </c>
      <c r="C34" s="1185" t="s">
        <v>277</v>
      </c>
      <c r="D34" s="1186"/>
      <c r="E34" s="1186"/>
      <c r="F34" s="1186"/>
      <c r="G34" s="1186"/>
      <c r="H34" s="1187"/>
    </row>
    <row r="35" spans="1:12" ht="64.5" thickBot="1" x14ac:dyDescent="0.25">
      <c r="A35" s="1198"/>
      <c r="B35" s="1196"/>
      <c r="C35" s="499" t="s">
        <v>86</v>
      </c>
      <c r="D35" s="117" t="s">
        <v>142</v>
      </c>
      <c r="E35" s="117" t="s">
        <v>143</v>
      </c>
      <c r="F35" s="117" t="s">
        <v>87</v>
      </c>
      <c r="G35" s="487" t="s">
        <v>88</v>
      </c>
      <c r="H35" s="454" t="s">
        <v>135</v>
      </c>
    </row>
    <row r="36" spans="1:12" ht="20.100000000000001" customHeight="1" thickBot="1" x14ac:dyDescent="0.25">
      <c r="A36" s="1181" t="str">
        <f>+A12</f>
        <v>Jardín Infantil Lobito Marino</v>
      </c>
      <c r="B36" s="491" t="str">
        <f>+B12</f>
        <v>Media jornada</v>
      </c>
      <c r="C36" s="500">
        <v>20</v>
      </c>
      <c r="D36" s="244"/>
      <c r="E36" s="244"/>
      <c r="F36" s="244"/>
      <c r="G36" s="488"/>
      <c r="H36" s="504">
        <f>SUM(C36:G36)</f>
        <v>20</v>
      </c>
    </row>
    <row r="37" spans="1:12" ht="20.100000000000001" customHeight="1" thickBot="1" x14ac:dyDescent="0.25">
      <c r="A37" s="1183"/>
      <c r="B37" s="492" t="str">
        <f t="shared" ref="B37:B42" si="26">+B13</f>
        <v>Jornada completa</v>
      </c>
      <c r="C37" s="501">
        <v>97</v>
      </c>
      <c r="D37" s="245">
        <v>2</v>
      </c>
      <c r="E37" s="245"/>
      <c r="F37" s="245">
        <v>1</v>
      </c>
      <c r="G37" s="489"/>
      <c r="H37" s="506">
        <f t="shared" ref="H37:H46" si="27">SUM(C37:G37)</f>
        <v>100</v>
      </c>
      <c r="I37" s="509">
        <f>SUM(H36:H37)</f>
        <v>120</v>
      </c>
    </row>
    <row r="38" spans="1:12" ht="20.100000000000001" customHeight="1" thickBot="1" x14ac:dyDescent="0.25">
      <c r="A38" s="1181" t="str">
        <f>+A14</f>
        <v>Jardín Infantil Los Delfines</v>
      </c>
      <c r="B38" s="491" t="str">
        <f t="shared" si="26"/>
        <v>Media jornada</v>
      </c>
      <c r="C38" s="500">
        <v>1</v>
      </c>
      <c r="D38" s="244"/>
      <c r="E38" s="244"/>
      <c r="F38" s="244"/>
      <c r="G38" s="488"/>
      <c r="H38" s="504">
        <f t="shared" si="27"/>
        <v>1</v>
      </c>
      <c r="I38" s="510"/>
      <c r="L38" s="250"/>
    </row>
    <row r="39" spans="1:12" ht="20.100000000000001" customHeight="1" thickBot="1" x14ac:dyDescent="0.25">
      <c r="A39" s="1183"/>
      <c r="B39" s="492" t="str">
        <f t="shared" si="26"/>
        <v>Jornada completa</v>
      </c>
      <c r="C39" s="501">
        <v>118</v>
      </c>
      <c r="D39" s="245"/>
      <c r="E39" s="245"/>
      <c r="F39" s="245">
        <v>1</v>
      </c>
      <c r="G39" s="489"/>
      <c r="H39" s="506">
        <f t="shared" si="27"/>
        <v>119</v>
      </c>
      <c r="I39" s="509">
        <f>SUM(H38:H39)</f>
        <v>120</v>
      </c>
      <c r="J39" s="116"/>
      <c r="L39" s="250"/>
    </row>
    <row r="40" spans="1:12" ht="20.100000000000001" customHeight="1" thickBot="1" x14ac:dyDescent="0.25">
      <c r="A40" s="294" t="str">
        <f>+A16</f>
        <v>Jardín Infantil Pecesitos de Colores</v>
      </c>
      <c r="B40" s="493" t="str">
        <f t="shared" si="26"/>
        <v>Media jornada</v>
      </c>
      <c r="C40" s="501">
        <v>18</v>
      </c>
      <c r="D40" s="245"/>
      <c r="E40" s="245"/>
      <c r="F40" s="245"/>
      <c r="G40" s="489"/>
      <c r="H40" s="590">
        <f t="shared" si="27"/>
        <v>18</v>
      </c>
      <c r="I40" s="509">
        <f>SUM(H40)</f>
        <v>18</v>
      </c>
      <c r="J40" s="116"/>
    </row>
    <row r="41" spans="1:12" ht="20.100000000000001" customHeight="1" thickBot="1" x14ac:dyDescent="0.25">
      <c r="A41" s="1181" t="str">
        <f>+A17</f>
        <v>Jardín Infantil Caracolito de Mar</v>
      </c>
      <c r="B41" s="491" t="str">
        <f t="shared" si="26"/>
        <v>Media jornada</v>
      </c>
      <c r="C41" s="500">
        <v>0</v>
      </c>
      <c r="D41" s="244"/>
      <c r="E41" s="244"/>
      <c r="F41" s="244"/>
      <c r="G41" s="488"/>
      <c r="H41" s="591">
        <f t="shared" si="27"/>
        <v>0</v>
      </c>
      <c r="I41" s="510"/>
    </row>
    <row r="42" spans="1:12" ht="20.100000000000001" customHeight="1" thickBot="1" x14ac:dyDescent="0.25">
      <c r="A42" s="1183"/>
      <c r="B42" s="492" t="str">
        <f t="shared" si="26"/>
        <v>Jornada completa</v>
      </c>
      <c r="C42" s="501">
        <v>34</v>
      </c>
      <c r="D42" s="245"/>
      <c r="E42" s="245"/>
      <c r="F42" s="245"/>
      <c r="G42" s="489"/>
      <c r="H42" s="592">
        <f t="shared" si="27"/>
        <v>34</v>
      </c>
      <c r="I42" s="509">
        <f>SUM(H41:H42)</f>
        <v>34</v>
      </c>
    </row>
    <row r="43" spans="1:12" ht="13.5" thickBot="1" x14ac:dyDescent="0.25">
      <c r="I43" s="510"/>
    </row>
    <row r="44" spans="1:12" ht="16.5" thickBot="1" x14ac:dyDescent="0.25">
      <c r="A44" s="1203" t="s">
        <v>141</v>
      </c>
      <c r="B44" s="1213" t="s">
        <v>5</v>
      </c>
      <c r="C44" s="1185" t="s">
        <v>277</v>
      </c>
      <c r="D44" s="1186"/>
      <c r="E44" s="1186"/>
      <c r="F44" s="1186"/>
      <c r="G44" s="1186"/>
      <c r="H44" s="1187"/>
      <c r="I44" s="510"/>
    </row>
    <row r="45" spans="1:12" ht="64.5" thickBot="1" x14ac:dyDescent="0.25">
      <c r="A45" s="1204"/>
      <c r="B45" s="1214"/>
      <c r="C45" s="499" t="s">
        <v>86</v>
      </c>
      <c r="D45" s="117" t="s">
        <v>142</v>
      </c>
      <c r="E45" s="117" t="s">
        <v>143</v>
      </c>
      <c r="F45" s="117" t="s">
        <v>87</v>
      </c>
      <c r="G45" s="487" t="s">
        <v>88</v>
      </c>
      <c r="H45" s="454" t="s">
        <v>135</v>
      </c>
      <c r="I45" s="510"/>
    </row>
    <row r="46" spans="1:12" ht="20.100000000000001" customHeight="1" x14ac:dyDescent="0.2">
      <c r="A46" s="1205" t="str">
        <f>+A22</f>
        <v>Sala Cuna Caracolito de Mar</v>
      </c>
      <c r="B46" s="494" t="str">
        <f>+B22</f>
        <v>Diurna</v>
      </c>
      <c r="C46" s="500">
        <v>35</v>
      </c>
      <c r="D46" s="244"/>
      <c r="E46" s="244"/>
      <c r="F46" s="244"/>
      <c r="G46" s="488"/>
      <c r="H46" s="504">
        <f t="shared" si="27"/>
        <v>35</v>
      </c>
      <c r="I46" s="510"/>
    </row>
    <row r="47" spans="1:12" ht="20.100000000000001" customHeight="1" thickBot="1" x14ac:dyDescent="0.25">
      <c r="A47" s="1206"/>
      <c r="B47" s="495" t="str">
        <f>+B23</f>
        <v>Nocturna</v>
      </c>
      <c r="C47" s="1210"/>
      <c r="D47" s="1211"/>
      <c r="E47" s="1211"/>
      <c r="F47" s="1211"/>
      <c r="G47" s="1212"/>
      <c r="H47" s="505"/>
      <c r="I47" s="510"/>
    </row>
    <row r="48" spans="1:12" ht="20.100000000000001" customHeight="1" thickBot="1" x14ac:dyDescent="0.25">
      <c r="A48" s="1207"/>
      <c r="B48" s="496" t="str">
        <f>+B24</f>
        <v>Media Jornada</v>
      </c>
      <c r="C48" s="501"/>
      <c r="D48" s="245"/>
      <c r="E48" s="245"/>
      <c r="F48" s="245"/>
      <c r="G48" s="489"/>
      <c r="H48" s="506">
        <f>SUM(C48:G48)</f>
        <v>0</v>
      </c>
      <c r="I48" s="509">
        <f>+H46+H48</f>
        <v>35</v>
      </c>
    </row>
    <row r="49" spans="1:9" ht="20.100000000000001" customHeight="1" x14ac:dyDescent="0.2">
      <c r="A49" s="1181" t="str">
        <f>+A25</f>
        <v>Sala Cuna Mar Azul</v>
      </c>
      <c r="B49" s="497" t="str">
        <f>+B25</f>
        <v>Diurna</v>
      </c>
      <c r="C49" s="502">
        <v>70</v>
      </c>
      <c r="D49" s="503"/>
      <c r="E49" s="503"/>
      <c r="F49" s="503"/>
      <c r="G49" s="490"/>
      <c r="H49" s="507">
        <f t="shared" ref="H49" si="28">SUM(C49:G49)</f>
        <v>70</v>
      </c>
      <c r="I49" s="510"/>
    </row>
    <row r="50" spans="1:9" ht="20.100000000000001" customHeight="1" thickBot="1" x14ac:dyDescent="0.25">
      <c r="A50" s="1182"/>
      <c r="B50" s="498" t="str">
        <f>+B26</f>
        <v>Nocturna</v>
      </c>
      <c r="C50" s="540">
        <v>21</v>
      </c>
      <c r="D50" s="541"/>
      <c r="E50" s="541"/>
      <c r="F50" s="541"/>
      <c r="G50" s="542"/>
      <c r="H50" s="508">
        <f>SUM(C50:G50)</f>
        <v>21</v>
      </c>
      <c r="I50" s="510"/>
    </row>
    <row r="51" spans="1:9" ht="20.100000000000001" customHeight="1" thickBot="1" x14ac:dyDescent="0.25">
      <c r="A51" s="1183"/>
      <c r="B51" s="492" t="str">
        <f>+B27</f>
        <v>Media Jornada</v>
      </c>
      <c r="C51" s="501"/>
      <c r="D51" s="245"/>
      <c r="E51" s="245"/>
      <c r="F51" s="245"/>
      <c r="G51" s="489"/>
      <c r="H51" s="506">
        <f>SUM(C51:G51)</f>
        <v>0</v>
      </c>
      <c r="I51" s="509">
        <f>+H49+H51</f>
        <v>70</v>
      </c>
    </row>
  </sheetData>
  <mergeCells count="35">
    <mergeCell ref="M23:Q23"/>
    <mergeCell ref="H23:L23"/>
    <mergeCell ref="M10:Q10"/>
    <mergeCell ref="A32:F32"/>
    <mergeCell ref="H10:L10"/>
    <mergeCell ref="A20:A21"/>
    <mergeCell ref="B20:B21"/>
    <mergeCell ref="C20:G20"/>
    <mergeCell ref="H20:L20"/>
    <mergeCell ref="M20:Q20"/>
    <mergeCell ref="A12:A13"/>
    <mergeCell ref="N26:Q26"/>
    <mergeCell ref="I26:L26"/>
    <mergeCell ref="A46:A48"/>
    <mergeCell ref="A25:A27"/>
    <mergeCell ref="C47:G47"/>
    <mergeCell ref="B44:B45"/>
    <mergeCell ref="C44:H44"/>
    <mergeCell ref="A38:A39"/>
    <mergeCell ref="A49:A51"/>
    <mergeCell ref="C5:D5"/>
    <mergeCell ref="C34:H34"/>
    <mergeCell ref="B10:B11"/>
    <mergeCell ref="C10:G10"/>
    <mergeCell ref="A17:A18"/>
    <mergeCell ref="A14:A15"/>
    <mergeCell ref="A8:D8"/>
    <mergeCell ref="A10:A11"/>
    <mergeCell ref="B34:B35"/>
    <mergeCell ref="A34:A35"/>
    <mergeCell ref="A36:A37"/>
    <mergeCell ref="F5:G5"/>
    <mergeCell ref="A22:A24"/>
    <mergeCell ref="A41:A42"/>
    <mergeCell ref="A44:A45"/>
  </mergeCells>
  <pageMargins left="0.7" right="0.7" top="0.75" bottom="0.75" header="0.3" footer="0.3"/>
  <pageSetup paperSize="9" orientation="portrait" r:id="rId1"/>
  <ignoredErrors>
    <ignoredError sqref="K12:L15 I22:L22 I24:L25 I27:L27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  <pageSetUpPr fitToPage="1"/>
  </sheetPr>
  <dimension ref="A1:O555"/>
  <sheetViews>
    <sheetView showGridLines="0" topLeftCell="A271" zoomScale="86" zoomScaleNormal="86" workbookViewId="0">
      <selection activeCell="J28" sqref="J28"/>
    </sheetView>
  </sheetViews>
  <sheetFormatPr baseColWidth="10" defaultColWidth="11.42578125" defaultRowHeight="12.75" x14ac:dyDescent="0.2"/>
  <cols>
    <col min="1" max="1" width="30.140625" style="2" customWidth="1"/>
    <col min="2" max="2" width="21.140625" style="2" customWidth="1"/>
    <col min="3" max="3" width="57.42578125" style="2" bestFit="1" customWidth="1"/>
    <col min="4" max="4" width="17" style="2" customWidth="1"/>
    <col min="5" max="5" width="14.140625" style="2" customWidth="1"/>
    <col min="6" max="6" width="14.42578125" style="21" customWidth="1"/>
    <col min="7" max="7" width="14.140625" style="4" customWidth="1"/>
    <col min="8" max="8" width="23" style="4" customWidth="1"/>
    <col min="9" max="9" width="11.42578125" style="2"/>
    <col min="10" max="10" width="15.85546875" style="2" customWidth="1"/>
    <col min="11" max="11" width="93.5703125" style="2" bestFit="1" customWidth="1"/>
    <col min="12" max="12" width="14.42578125" style="2" customWidth="1"/>
    <col min="13" max="13" width="13.5703125" style="2" customWidth="1"/>
    <col min="14" max="14" width="13.85546875" style="2" customWidth="1"/>
    <col min="15" max="15" width="12.85546875" style="2" bestFit="1" customWidth="1"/>
    <col min="16" max="16384" width="11.42578125" style="2"/>
  </cols>
  <sheetData>
    <row r="1" spans="1:8" x14ac:dyDescent="0.2">
      <c r="C1" s="37"/>
      <c r="D1" s="37" t="s">
        <v>223</v>
      </c>
      <c r="E1" s="37"/>
      <c r="F1" s="37"/>
      <c r="G1" s="37"/>
      <c r="H1" s="37"/>
    </row>
    <row r="2" spans="1:8" x14ac:dyDescent="0.2">
      <c r="C2" s="37"/>
      <c r="D2" s="37" t="s">
        <v>228</v>
      </c>
      <c r="E2" s="37"/>
      <c r="F2" s="37"/>
      <c r="G2" s="37"/>
      <c r="H2" s="37"/>
    </row>
    <row r="3" spans="1:8" x14ac:dyDescent="0.2">
      <c r="C3" s="37"/>
      <c r="E3" s="37"/>
      <c r="F3" s="37"/>
      <c r="G3" s="37"/>
      <c r="H3" s="37"/>
    </row>
    <row r="4" spans="1:8" ht="19.5" customHeight="1" x14ac:dyDescent="0.2">
      <c r="C4" s="6" t="s">
        <v>0</v>
      </c>
      <c r="D4" s="1276" t="s">
        <v>166</v>
      </c>
      <c r="E4" s="1277"/>
      <c r="F4" s="37"/>
      <c r="G4" s="37"/>
      <c r="H4" s="37"/>
    </row>
    <row r="5" spans="1:8" x14ac:dyDescent="0.2">
      <c r="B5" s="37"/>
      <c r="C5" s="37"/>
      <c r="D5" s="37"/>
      <c r="E5" s="37"/>
      <c r="F5" s="37"/>
      <c r="G5" s="37"/>
      <c r="H5" s="37"/>
    </row>
    <row r="6" spans="1:8" x14ac:dyDescent="0.2">
      <c r="B6" s="37"/>
      <c r="C6" s="37"/>
      <c r="D6" s="37"/>
      <c r="E6" s="37"/>
      <c r="F6" s="37"/>
      <c r="G6" s="37"/>
      <c r="H6" s="37"/>
    </row>
    <row r="7" spans="1:8" x14ac:dyDescent="0.2">
      <c r="C7" s="4"/>
    </row>
    <row r="8" spans="1:8" ht="15.75" x14ac:dyDescent="0.2">
      <c r="A8" s="1192" t="s">
        <v>167</v>
      </c>
      <c r="B8" s="1192"/>
      <c r="C8" s="1192"/>
      <c r="D8" s="37"/>
      <c r="G8" s="2"/>
    </row>
    <row r="10" spans="1:8" ht="12.75" customHeight="1" x14ac:dyDescent="0.2">
      <c r="A10" s="1241" t="s">
        <v>114</v>
      </c>
      <c r="B10" s="1247" t="s">
        <v>76</v>
      </c>
      <c r="C10" s="1250" t="s">
        <v>77</v>
      </c>
      <c r="D10" s="1257" t="s">
        <v>78</v>
      </c>
      <c r="E10" s="1260" t="s">
        <v>79</v>
      </c>
      <c r="F10" s="1260"/>
      <c r="G10" s="1260"/>
      <c r="H10" s="1253" t="s">
        <v>283</v>
      </c>
    </row>
    <row r="11" spans="1:8" ht="25.5" x14ac:dyDescent="0.2">
      <c r="A11" s="1242"/>
      <c r="B11" s="1244"/>
      <c r="C11" s="1251"/>
      <c r="D11" s="1257"/>
      <c r="E11" s="992" t="s">
        <v>67</v>
      </c>
      <c r="F11" s="993" t="s">
        <v>68</v>
      </c>
      <c r="G11" s="991" t="s">
        <v>6</v>
      </c>
      <c r="H11" s="1254"/>
    </row>
    <row r="12" spans="1:8" ht="15.75" customHeight="1" x14ac:dyDescent="0.2">
      <c r="A12" s="1238" t="str">
        <f>+'[1]B) Reajuste Tarifas y Ocupación'!A12</f>
        <v>Jardín Infantil Lobito Marino</v>
      </c>
      <c r="B12" s="994"/>
      <c r="C12" s="995" t="s">
        <v>11</v>
      </c>
      <c r="D12" s="996">
        <f>SUM(D13,D18)</f>
        <v>143193895.176</v>
      </c>
      <c r="E12" s="997"/>
      <c r="F12" s="997"/>
      <c r="G12" s="998">
        <f>SUM(G13,G18)</f>
        <v>37456324.288000003</v>
      </c>
      <c r="H12" s="999">
        <f>SUM(H13,H18)</f>
        <v>180650219.46399999</v>
      </c>
    </row>
    <row r="13" spans="1:8" x14ac:dyDescent="0.2">
      <c r="A13" s="1239"/>
      <c r="B13" s="1037"/>
      <c r="C13" s="1000" t="s">
        <v>12</v>
      </c>
      <c r="D13" s="1001">
        <f>SUM(D14:D17)</f>
        <v>120564115.40000001</v>
      </c>
      <c r="E13" s="1002"/>
      <c r="F13" s="1002"/>
      <c r="G13" s="1003">
        <f>SUM(G14:G17)</f>
        <v>1042000</v>
      </c>
      <c r="H13" s="1038">
        <f>SUM(H14:H17)</f>
        <v>121606115.40000001</v>
      </c>
    </row>
    <row r="14" spans="1:8" x14ac:dyDescent="0.2">
      <c r="A14" s="1239"/>
      <c r="B14" s="1039">
        <v>53103040100000</v>
      </c>
      <c r="C14" s="1004" t="s">
        <v>95</v>
      </c>
      <c r="D14" s="1005">
        <f>'[1]F) Remuneraciones'!L11</f>
        <v>119485814.40000001</v>
      </c>
      <c r="E14" s="1006"/>
      <c r="F14" s="1007"/>
      <c r="G14" s="1008">
        <f>E14*F14</f>
        <v>0</v>
      </c>
      <c r="H14" s="1009">
        <f>D14+G14</f>
        <v>119485814.40000001</v>
      </c>
    </row>
    <row r="15" spans="1:8" x14ac:dyDescent="0.2">
      <c r="A15" s="1239"/>
      <c r="B15" s="1039">
        <v>53103050000000</v>
      </c>
      <c r="C15" s="1004" t="s">
        <v>238</v>
      </c>
      <c r="D15" s="988">
        <v>0</v>
      </c>
      <c r="E15" s="1010">
        <v>0</v>
      </c>
      <c r="F15" s="1011">
        <v>0</v>
      </c>
      <c r="G15" s="1008">
        <f>E15*F15</f>
        <v>0</v>
      </c>
      <c r="H15" s="1009">
        <f>D15+G15</f>
        <v>0</v>
      </c>
    </row>
    <row r="16" spans="1:8" x14ac:dyDescent="0.2">
      <c r="A16" s="1239"/>
      <c r="B16" s="376">
        <v>53103040400000</v>
      </c>
      <c r="C16" s="377" t="s">
        <v>187</v>
      </c>
      <c r="D16" s="988">
        <v>1078301</v>
      </c>
      <c r="E16" s="1010">
        <v>0</v>
      </c>
      <c r="F16" s="1011">
        <v>0</v>
      </c>
      <c r="G16" s="1008">
        <f>E16*F16</f>
        <v>0</v>
      </c>
      <c r="H16" s="1009">
        <f>D16+G16</f>
        <v>1078301</v>
      </c>
    </row>
    <row r="17" spans="1:8" x14ac:dyDescent="0.2">
      <c r="A17" s="1239"/>
      <c r="B17" s="1039">
        <v>53103080010000</v>
      </c>
      <c r="C17" s="1004" t="s">
        <v>188</v>
      </c>
      <c r="D17" s="988">
        <v>0</v>
      </c>
      <c r="E17" s="1010">
        <f>50000*1.042</f>
        <v>52100</v>
      </c>
      <c r="F17" s="1011">
        <f>4*5</f>
        <v>20</v>
      </c>
      <c r="G17" s="1008">
        <f>E17*F17</f>
        <v>1042000</v>
      </c>
      <c r="H17" s="1009">
        <f>D17+G17</f>
        <v>1042000</v>
      </c>
    </row>
    <row r="18" spans="1:8" x14ac:dyDescent="0.2">
      <c r="A18" s="1239"/>
      <c r="B18" s="1037"/>
      <c r="C18" s="1000" t="s">
        <v>16</v>
      </c>
      <c r="D18" s="1012">
        <f>SUM(D19:D38)</f>
        <v>22629779.776000001</v>
      </c>
      <c r="E18" s="1013"/>
      <c r="F18" s="1013"/>
      <c r="G18" s="1001">
        <f>SUM(G19:G38)</f>
        <v>36414324.288000003</v>
      </c>
      <c r="H18" s="1038">
        <f>SUM(H19:H38)</f>
        <v>59044104.063999996</v>
      </c>
    </row>
    <row r="19" spans="1:8" x14ac:dyDescent="0.2">
      <c r="A19" s="1239"/>
      <c r="B19" s="1039">
        <v>53201010100000</v>
      </c>
      <c r="C19" s="1014" t="s">
        <v>189</v>
      </c>
      <c r="D19" s="1015">
        <v>0</v>
      </c>
      <c r="E19" s="1010">
        <v>1989</v>
      </c>
      <c r="F19" s="1011">
        <f>13*20*11</f>
        <v>2860</v>
      </c>
      <c r="G19" s="1008">
        <f t="shared" ref="G19:G38" si="0">E19*F19</f>
        <v>5688540</v>
      </c>
      <c r="H19" s="1009">
        <f t="shared" ref="H19:H38" si="1">D19+G19</f>
        <v>5688540</v>
      </c>
    </row>
    <row r="20" spans="1:8" x14ac:dyDescent="0.2">
      <c r="A20" s="1239"/>
      <c r="B20" s="1039">
        <v>53201010100000</v>
      </c>
      <c r="C20" s="1014" t="s">
        <v>190</v>
      </c>
      <c r="D20" s="1015">
        <f>365*20*20*10</f>
        <v>1460000</v>
      </c>
      <c r="E20" s="1010">
        <f>1100*1.042</f>
        <v>1146.2</v>
      </c>
      <c r="F20" s="1011">
        <f>(100*20*10)+(15*20*1)</f>
        <v>20300</v>
      </c>
      <c r="G20" s="1008">
        <f t="shared" si="0"/>
        <v>23267860</v>
      </c>
      <c r="H20" s="1009">
        <f t="shared" si="1"/>
        <v>24727860</v>
      </c>
    </row>
    <row r="21" spans="1:8" x14ac:dyDescent="0.2">
      <c r="A21" s="1239"/>
      <c r="B21" s="1039">
        <v>53201010100000</v>
      </c>
      <c r="C21" s="1014" t="s">
        <v>191</v>
      </c>
      <c r="D21" s="1015">
        <v>0</v>
      </c>
      <c r="E21" s="1010">
        <v>1989</v>
      </c>
      <c r="F21" s="1016">
        <f>4*20*6</f>
        <v>480</v>
      </c>
      <c r="G21" s="1008">
        <f t="shared" si="0"/>
        <v>954720</v>
      </c>
      <c r="H21" s="1009">
        <f t="shared" si="1"/>
        <v>954720</v>
      </c>
    </row>
    <row r="22" spans="1:8" x14ac:dyDescent="0.2">
      <c r="A22" s="1239"/>
      <c r="B22" s="1039">
        <v>53202010100000</v>
      </c>
      <c r="C22" s="1004" t="s">
        <v>192</v>
      </c>
      <c r="D22" s="1017">
        <v>0</v>
      </c>
      <c r="E22" s="1017">
        <v>0</v>
      </c>
      <c r="F22" s="1018">
        <v>0</v>
      </c>
      <c r="G22" s="1008">
        <f t="shared" si="0"/>
        <v>0</v>
      </c>
      <c r="H22" s="1009">
        <f t="shared" si="1"/>
        <v>0</v>
      </c>
    </row>
    <row r="23" spans="1:8" x14ac:dyDescent="0.2">
      <c r="A23" s="1239"/>
      <c r="B23" s="1039">
        <v>53203010100000</v>
      </c>
      <c r="C23" s="1004" t="s">
        <v>19</v>
      </c>
      <c r="D23" s="1019">
        <v>0</v>
      </c>
      <c r="E23" s="1019">
        <v>0</v>
      </c>
      <c r="F23" s="1020">
        <v>0</v>
      </c>
      <c r="G23" s="1008">
        <f t="shared" si="0"/>
        <v>0</v>
      </c>
      <c r="H23" s="1009">
        <f t="shared" si="1"/>
        <v>0</v>
      </c>
    </row>
    <row r="24" spans="1:8" x14ac:dyDescent="0.2">
      <c r="A24" s="1239"/>
      <c r="B24" s="1039">
        <v>53203030000000</v>
      </c>
      <c r="C24" s="1004" t="s">
        <v>193</v>
      </c>
      <c r="D24" s="1019">
        <v>0</v>
      </c>
      <c r="E24" s="1019">
        <v>0</v>
      </c>
      <c r="F24" s="1020">
        <v>0</v>
      </c>
      <c r="G24" s="1008">
        <f t="shared" si="0"/>
        <v>0</v>
      </c>
      <c r="H24" s="1009">
        <f t="shared" si="1"/>
        <v>0</v>
      </c>
    </row>
    <row r="25" spans="1:8" x14ac:dyDescent="0.2">
      <c r="A25" s="1239"/>
      <c r="B25" s="1039">
        <v>53204030000000</v>
      </c>
      <c r="C25" s="1004" t="s">
        <v>230</v>
      </c>
      <c r="D25" s="1019">
        <v>0</v>
      </c>
      <c r="E25" s="1019">
        <f>23702*1.042</f>
        <v>24697.484</v>
      </c>
      <c r="F25" s="1020">
        <v>6</v>
      </c>
      <c r="G25" s="1008">
        <f t="shared" si="0"/>
        <v>148184.90400000001</v>
      </c>
      <c r="H25" s="1009">
        <f>D25+G25</f>
        <v>148184.90400000001</v>
      </c>
    </row>
    <row r="26" spans="1:8" x14ac:dyDescent="0.2">
      <c r="A26" s="1239"/>
      <c r="B26" s="1039">
        <v>53204100100001</v>
      </c>
      <c r="C26" s="1004" t="s">
        <v>22</v>
      </c>
      <c r="D26" s="1019">
        <f>'[1]H) Detalle Datos'!J82</f>
        <v>9111590</v>
      </c>
      <c r="E26" s="1019">
        <v>0</v>
      </c>
      <c r="F26" s="1020">
        <v>0</v>
      </c>
      <c r="G26" s="1008">
        <f t="shared" si="0"/>
        <v>0</v>
      </c>
      <c r="H26" s="1009">
        <f t="shared" si="1"/>
        <v>9111590</v>
      </c>
    </row>
    <row r="27" spans="1:8" x14ac:dyDescent="0.2">
      <c r="A27" s="1239"/>
      <c r="B27" s="1039">
        <v>53204130100000</v>
      </c>
      <c r="C27" s="1004" t="s">
        <v>195</v>
      </c>
      <c r="D27" s="1019">
        <f>'[1]H) Detalle Datos'!O101+'[1]H) Detalle Datos'!O205</f>
        <v>2054228</v>
      </c>
      <c r="E27" s="1019">
        <v>0</v>
      </c>
      <c r="F27" s="1020">
        <v>0</v>
      </c>
      <c r="G27" s="1008">
        <f t="shared" si="0"/>
        <v>0</v>
      </c>
      <c r="H27" s="1009">
        <f t="shared" si="1"/>
        <v>2054228</v>
      </c>
    </row>
    <row r="28" spans="1:8" x14ac:dyDescent="0.2">
      <c r="A28" s="1239"/>
      <c r="B28" s="1039">
        <v>53205010100000</v>
      </c>
      <c r="C28" s="1004" t="s">
        <v>24</v>
      </c>
      <c r="D28" s="1019">
        <f>3172371*1.6</f>
        <v>5075793.6000000006</v>
      </c>
      <c r="E28" s="1019">
        <v>0</v>
      </c>
      <c r="F28" s="1020">
        <v>0</v>
      </c>
      <c r="G28" s="1008">
        <f t="shared" si="0"/>
        <v>0</v>
      </c>
      <c r="H28" s="1009">
        <f t="shared" si="1"/>
        <v>5075793.6000000006</v>
      </c>
    </row>
    <row r="29" spans="1:8" x14ac:dyDescent="0.2">
      <c r="A29" s="1239"/>
      <c r="B29" s="1039">
        <v>53205020100000</v>
      </c>
      <c r="C29" s="1004" t="s">
        <v>25</v>
      </c>
      <c r="D29" s="1019">
        <f>2269252*1.042</f>
        <v>2364560.5840000003</v>
      </c>
      <c r="E29" s="1019">
        <v>0</v>
      </c>
      <c r="F29" s="1020">
        <v>0</v>
      </c>
      <c r="G29" s="1008">
        <f t="shared" si="0"/>
        <v>0</v>
      </c>
      <c r="H29" s="1009">
        <f t="shared" si="1"/>
        <v>2364560.5840000003</v>
      </c>
    </row>
    <row r="30" spans="1:8" x14ac:dyDescent="0.2">
      <c r="A30" s="1239"/>
      <c r="B30" s="1039">
        <v>53205030100000</v>
      </c>
      <c r="C30" s="1004" t="s">
        <v>26</v>
      </c>
      <c r="D30" s="1019">
        <f>2460276*1.042</f>
        <v>2563607.5920000002</v>
      </c>
      <c r="E30" s="1019">
        <v>0</v>
      </c>
      <c r="F30" s="1020">
        <v>0</v>
      </c>
      <c r="G30" s="1008">
        <f t="shared" si="0"/>
        <v>0</v>
      </c>
      <c r="H30" s="1009">
        <f t="shared" si="1"/>
        <v>2563607.5920000002</v>
      </c>
    </row>
    <row r="31" spans="1:8" x14ac:dyDescent="0.2">
      <c r="A31" s="1239"/>
      <c r="B31" s="1039">
        <v>53205050100000</v>
      </c>
      <c r="C31" s="1004" t="s">
        <v>27</v>
      </c>
      <c r="D31" s="1019">
        <v>0</v>
      </c>
      <c r="E31" s="1019">
        <v>0</v>
      </c>
      <c r="F31" s="1020">
        <v>0</v>
      </c>
      <c r="G31" s="1008">
        <f t="shared" si="0"/>
        <v>0</v>
      </c>
      <c r="H31" s="1009">
        <f t="shared" si="1"/>
        <v>0</v>
      </c>
    </row>
    <row r="32" spans="1:8" x14ac:dyDescent="0.2">
      <c r="A32" s="1239"/>
      <c r="B32" s="1039">
        <v>53205070100000</v>
      </c>
      <c r="C32" s="1004" t="s">
        <v>29</v>
      </c>
      <c r="D32" s="1019">
        <v>0</v>
      </c>
      <c r="E32" s="1019">
        <f>60984*1.042</f>
        <v>63545.328000000001</v>
      </c>
      <c r="F32" s="1020">
        <v>12</v>
      </c>
      <c r="G32" s="1008">
        <f t="shared" si="0"/>
        <v>762543.93599999999</v>
      </c>
      <c r="H32" s="1009">
        <f t="shared" si="1"/>
        <v>762543.93599999999</v>
      </c>
    </row>
    <row r="33" spans="1:8" x14ac:dyDescent="0.2">
      <c r="A33" s="1239"/>
      <c r="B33" s="1039">
        <v>53208010100000</v>
      </c>
      <c r="C33" s="1004" t="s">
        <v>30</v>
      </c>
      <c r="D33" s="1019">
        <v>0</v>
      </c>
      <c r="E33" s="1019">
        <f>975922*1.042</f>
        <v>1016910.724</v>
      </c>
      <c r="F33" s="1020">
        <v>2</v>
      </c>
      <c r="G33" s="1008">
        <f t="shared" si="0"/>
        <v>2033821.4480000001</v>
      </c>
      <c r="H33" s="1009">
        <f t="shared" si="1"/>
        <v>2033821.4480000001</v>
      </c>
    </row>
    <row r="34" spans="1:8" x14ac:dyDescent="0.2">
      <c r="A34" s="1239"/>
      <c r="B34" s="1039">
        <v>53208070100001</v>
      </c>
      <c r="C34" s="1004" t="s">
        <v>31</v>
      </c>
      <c r="D34" s="1021">
        <v>0</v>
      </c>
      <c r="E34" s="1021">
        <v>0</v>
      </c>
      <c r="F34" s="1018">
        <v>0</v>
      </c>
      <c r="G34" s="1008">
        <f t="shared" si="0"/>
        <v>0</v>
      </c>
      <c r="H34" s="1009">
        <f t="shared" si="1"/>
        <v>0</v>
      </c>
    </row>
    <row r="35" spans="1:8" x14ac:dyDescent="0.2">
      <c r="A35" s="1239"/>
      <c r="B35" s="1039">
        <v>53208100100001</v>
      </c>
      <c r="C35" s="1004" t="s">
        <v>196</v>
      </c>
      <c r="D35" s="1019">
        <v>0</v>
      </c>
      <c r="E35" s="1019">
        <v>0</v>
      </c>
      <c r="F35" s="1020">
        <v>0</v>
      </c>
      <c r="G35" s="1008">
        <f t="shared" si="0"/>
        <v>0</v>
      </c>
      <c r="H35" s="1009">
        <f t="shared" si="1"/>
        <v>0</v>
      </c>
    </row>
    <row r="36" spans="1:8" x14ac:dyDescent="0.2">
      <c r="A36" s="1239"/>
      <c r="B36" s="1039">
        <v>53211030000000</v>
      </c>
      <c r="C36" s="1004" t="s">
        <v>32</v>
      </c>
      <c r="D36" s="1019">
        <v>0</v>
      </c>
      <c r="E36" s="1019">
        <v>0</v>
      </c>
      <c r="F36" s="1020">
        <v>0</v>
      </c>
      <c r="G36" s="1008">
        <f t="shared" si="0"/>
        <v>0</v>
      </c>
      <c r="H36" s="1009">
        <f t="shared" si="1"/>
        <v>0</v>
      </c>
    </row>
    <row r="37" spans="1:8" x14ac:dyDescent="0.2">
      <c r="A37" s="1239"/>
      <c r="B37" s="1039">
        <v>53212020100000</v>
      </c>
      <c r="C37" s="1004" t="s">
        <v>197</v>
      </c>
      <c r="D37" s="1019">
        <v>0</v>
      </c>
      <c r="E37" s="1019">
        <v>395406</v>
      </c>
      <c r="F37" s="1020">
        <v>9</v>
      </c>
      <c r="G37" s="1008">
        <f t="shared" si="0"/>
        <v>3558654</v>
      </c>
      <c r="H37" s="1009">
        <f t="shared" si="1"/>
        <v>3558654</v>
      </c>
    </row>
    <row r="38" spans="1:8" x14ac:dyDescent="0.2">
      <c r="A38" s="1239"/>
      <c r="B38" s="1039">
        <v>53214020000000</v>
      </c>
      <c r="C38" s="1004" t="s">
        <v>198</v>
      </c>
      <c r="D38" s="1021">
        <v>0</v>
      </c>
      <c r="E38" s="1021">
        <v>0</v>
      </c>
      <c r="F38" s="1018">
        <v>0</v>
      </c>
      <c r="G38" s="1008">
        <f t="shared" si="0"/>
        <v>0</v>
      </c>
      <c r="H38" s="1009">
        <f t="shared" si="1"/>
        <v>0</v>
      </c>
    </row>
    <row r="39" spans="1:8" ht="15.75" customHeight="1" x14ac:dyDescent="0.2">
      <c r="A39" s="1239"/>
      <c r="B39" s="994"/>
      <c r="C39" s="995" t="s">
        <v>34</v>
      </c>
      <c r="D39" s="1022">
        <f>+D40+D45+D47+D56+D65+D73</f>
        <v>5479086.358</v>
      </c>
      <c r="E39" s="1023"/>
      <c r="F39" s="1023"/>
      <c r="G39" s="1022">
        <f>+G40+G45+G47+G56+G65+G73</f>
        <v>12826895.584000001</v>
      </c>
      <c r="H39" s="1022">
        <f>+H40+H45+H47+H56+H65+H73</f>
        <v>18305981.942000002</v>
      </c>
    </row>
    <row r="40" spans="1:8" x14ac:dyDescent="0.2">
      <c r="A40" s="1239"/>
      <c r="B40" s="1037"/>
      <c r="C40" s="1000" t="s">
        <v>35</v>
      </c>
      <c r="D40" s="1012">
        <f>SUM(D41:D44)</f>
        <v>330447.90000000002</v>
      </c>
      <c r="E40" s="1024"/>
      <c r="F40" s="1024"/>
      <c r="G40" s="1025">
        <f>SUM(G41:G44)</f>
        <v>1127109.76</v>
      </c>
      <c r="H40" s="1026">
        <f>SUM(H41:H44)</f>
        <v>1457557.6600000001</v>
      </c>
    </row>
    <row r="41" spans="1:8" x14ac:dyDescent="0.2">
      <c r="A41" s="1239"/>
      <c r="B41" s="1039">
        <v>53202020100000</v>
      </c>
      <c r="C41" s="1004" t="s">
        <v>199</v>
      </c>
      <c r="D41" s="988">
        <f>49990*1.042*5</f>
        <v>260447.90000000002</v>
      </c>
      <c r="E41" s="1010">
        <f>19990*1.042</f>
        <v>20829.580000000002</v>
      </c>
      <c r="F41" s="1016">
        <v>17</v>
      </c>
      <c r="G41" s="1008">
        <f>E41*F41</f>
        <v>354102.86000000004</v>
      </c>
      <c r="H41" s="1009">
        <f t="shared" ref="H41:H74" si="2">D41+G41</f>
        <v>614550.76</v>
      </c>
    </row>
    <row r="42" spans="1:8" x14ac:dyDescent="0.2">
      <c r="A42" s="1239"/>
      <c r="B42" s="1039">
        <v>53202030000000</v>
      </c>
      <c r="C42" s="1004" t="s">
        <v>200</v>
      </c>
      <c r="D42" s="988">
        <v>0</v>
      </c>
      <c r="E42" s="1010">
        <f>52090*1.042</f>
        <v>54277.78</v>
      </c>
      <c r="F42" s="1016">
        <v>5</v>
      </c>
      <c r="G42" s="1008">
        <f t="shared" ref="G42:G74" si="3">E42*F42</f>
        <v>271388.90000000002</v>
      </c>
      <c r="H42" s="1009">
        <f t="shared" si="2"/>
        <v>271388.90000000002</v>
      </c>
    </row>
    <row r="43" spans="1:8" x14ac:dyDescent="0.2">
      <c r="A43" s="1239"/>
      <c r="B43" s="1039">
        <v>53211020000000</v>
      </c>
      <c r="C43" s="1004" t="s">
        <v>41</v>
      </c>
      <c r="D43" s="1019">
        <f>'[1]H) Detalle Datos'!F14</f>
        <v>70000</v>
      </c>
      <c r="E43" s="1019">
        <f>'[1]H) Detalle Datos'!F27</f>
        <v>350000</v>
      </c>
      <c r="F43" s="1020">
        <v>1</v>
      </c>
      <c r="G43" s="1008">
        <f t="shared" si="3"/>
        <v>350000</v>
      </c>
      <c r="H43" s="1009">
        <f t="shared" si="2"/>
        <v>420000</v>
      </c>
    </row>
    <row r="44" spans="1:8" x14ac:dyDescent="0.2">
      <c r="A44" s="1239"/>
      <c r="B44" s="1039">
        <v>53101040600000</v>
      </c>
      <c r="C44" s="1004" t="s">
        <v>201</v>
      </c>
      <c r="D44" s="1019">
        <v>0</v>
      </c>
      <c r="E44" s="1019">
        <v>151618</v>
      </c>
      <c r="F44" s="1020">
        <v>1</v>
      </c>
      <c r="G44" s="1008">
        <f t="shared" si="3"/>
        <v>151618</v>
      </c>
      <c r="H44" s="1009">
        <f t="shared" si="2"/>
        <v>151618</v>
      </c>
    </row>
    <row r="45" spans="1:8" x14ac:dyDescent="0.2">
      <c r="A45" s="1239"/>
      <c r="B45" s="1037"/>
      <c r="C45" s="1000" t="s">
        <v>42</v>
      </c>
      <c r="D45" s="1012">
        <f>SUM(D46)</f>
        <v>0</v>
      </c>
      <c r="E45" s="1024"/>
      <c r="F45" s="1027"/>
      <c r="G45" s="1025">
        <f>SUM(G46:G46)</f>
        <v>466274.16000000003</v>
      </c>
      <c r="H45" s="1026">
        <f>SUM(H46:H46)</f>
        <v>466274.16000000003</v>
      </c>
    </row>
    <row r="46" spans="1:8" x14ac:dyDescent="0.2">
      <c r="A46" s="1239"/>
      <c r="B46" s="1042">
        <v>53205990000000</v>
      </c>
      <c r="C46" s="1004" t="s">
        <v>44</v>
      </c>
      <c r="D46" s="1019">
        <v>0</v>
      </c>
      <c r="E46" s="1019">
        <f>37290*1.042</f>
        <v>38856.18</v>
      </c>
      <c r="F46" s="1020">
        <v>12</v>
      </c>
      <c r="G46" s="1008">
        <f t="shared" si="3"/>
        <v>466274.16000000003</v>
      </c>
      <c r="H46" s="1009">
        <f t="shared" si="2"/>
        <v>466274.16000000003</v>
      </c>
    </row>
    <row r="47" spans="1:8" x14ac:dyDescent="0.2">
      <c r="A47" s="1239"/>
      <c r="B47" s="1037"/>
      <c r="C47" s="1000" t="s">
        <v>45</v>
      </c>
      <c r="D47" s="1012">
        <f>SUM(D48:D55)</f>
        <v>2660057.4580000001</v>
      </c>
      <c r="E47" s="1024"/>
      <c r="F47" s="1027"/>
      <c r="G47" s="1001">
        <f>SUM(G48:G55)</f>
        <v>6500474.8880000003</v>
      </c>
      <c r="H47" s="1038">
        <f>SUM(H48:H55)</f>
        <v>9160532.3460000008</v>
      </c>
    </row>
    <row r="48" spans="1:8" x14ac:dyDescent="0.2">
      <c r="A48" s="1239"/>
      <c r="B48" s="1039">
        <v>53204010000000</v>
      </c>
      <c r="C48" s="1004" t="s">
        <v>47</v>
      </c>
      <c r="D48" s="1019">
        <f>789249*1.042</f>
        <v>822397.45799999998</v>
      </c>
      <c r="E48" s="1019">
        <v>0</v>
      </c>
      <c r="F48" s="1020">
        <v>0</v>
      </c>
      <c r="G48" s="1008">
        <f t="shared" si="3"/>
        <v>0</v>
      </c>
      <c r="H48" s="1009">
        <f t="shared" si="2"/>
        <v>822397.45799999998</v>
      </c>
    </row>
    <row r="49" spans="1:8" x14ac:dyDescent="0.2">
      <c r="A49" s="1239"/>
      <c r="B49" s="1042">
        <v>53204040200000</v>
      </c>
      <c r="C49" s="1004" t="s">
        <v>231</v>
      </c>
      <c r="D49" s="1019">
        <v>0</v>
      </c>
      <c r="E49" s="1019">
        <f>21194*1.042</f>
        <v>22084.148000000001</v>
      </c>
      <c r="F49" s="1020">
        <v>6</v>
      </c>
      <c r="G49" s="1008">
        <f t="shared" si="3"/>
        <v>132504.88800000001</v>
      </c>
      <c r="H49" s="1009">
        <f t="shared" si="2"/>
        <v>132504.88800000001</v>
      </c>
    </row>
    <row r="50" spans="1:8" x14ac:dyDescent="0.2">
      <c r="A50" s="1239"/>
      <c r="B50" s="1039">
        <v>53204060000000</v>
      </c>
      <c r="C50" s="1004" t="s">
        <v>49</v>
      </c>
      <c r="D50" s="1019">
        <v>0</v>
      </c>
      <c r="E50" s="1019">
        <v>0</v>
      </c>
      <c r="F50" s="1020">
        <v>0</v>
      </c>
      <c r="G50" s="1008">
        <f t="shared" si="3"/>
        <v>0</v>
      </c>
      <c r="H50" s="1009">
        <f t="shared" si="2"/>
        <v>0</v>
      </c>
    </row>
    <row r="51" spans="1:8" x14ac:dyDescent="0.2">
      <c r="A51" s="1239"/>
      <c r="B51" s="1039">
        <v>53204070000000</v>
      </c>
      <c r="C51" s="1004" t="s">
        <v>50</v>
      </c>
      <c r="D51" s="1019">
        <v>0</v>
      </c>
      <c r="E51" s="1019">
        <f>265000*1.042</f>
        <v>276130</v>
      </c>
      <c r="F51" s="1020">
        <v>11</v>
      </c>
      <c r="G51" s="1008">
        <f t="shared" si="3"/>
        <v>3037430</v>
      </c>
      <c r="H51" s="1009">
        <f t="shared" si="2"/>
        <v>3037430</v>
      </c>
    </row>
    <row r="52" spans="1:8" x14ac:dyDescent="0.2">
      <c r="A52" s="1239"/>
      <c r="B52" s="1039">
        <v>53204080000000</v>
      </c>
      <c r="C52" s="1004" t="s">
        <v>51</v>
      </c>
      <c r="D52" s="1019">
        <f>'[1]H) Detalle Datos'!O232</f>
        <v>839370</v>
      </c>
      <c r="E52" s="1019">
        <v>0</v>
      </c>
      <c r="F52" s="1020">
        <v>0</v>
      </c>
      <c r="G52" s="1008">
        <f t="shared" si="3"/>
        <v>0</v>
      </c>
      <c r="H52" s="1009">
        <f t="shared" si="2"/>
        <v>839370</v>
      </c>
    </row>
    <row r="53" spans="1:8" x14ac:dyDescent="0.2">
      <c r="A53" s="1239"/>
      <c r="B53" s="1039">
        <v>53214010000000</v>
      </c>
      <c r="C53" s="1004" t="s">
        <v>52</v>
      </c>
      <c r="D53" s="1021"/>
      <c r="E53" s="1021">
        <f>'[1]H) Detalle Datos'!O121</f>
        <v>3017940</v>
      </c>
      <c r="F53" s="1018">
        <v>1</v>
      </c>
      <c r="G53" s="1008">
        <f t="shared" si="3"/>
        <v>3017940</v>
      </c>
      <c r="H53" s="1009">
        <f t="shared" si="2"/>
        <v>3017940</v>
      </c>
    </row>
    <row r="54" spans="1:8" x14ac:dyDescent="0.2">
      <c r="A54" s="1239"/>
      <c r="B54" s="1039">
        <v>53214040000000</v>
      </c>
      <c r="C54" s="1004" t="s">
        <v>202</v>
      </c>
      <c r="D54" s="1021">
        <v>0</v>
      </c>
      <c r="E54" s="1021">
        <f>50000*1.042</f>
        <v>52100</v>
      </c>
      <c r="F54" s="1018">
        <v>6</v>
      </c>
      <c r="G54" s="1008">
        <f t="shared" si="3"/>
        <v>312600</v>
      </c>
      <c r="H54" s="1009">
        <f t="shared" si="2"/>
        <v>312600</v>
      </c>
    </row>
    <row r="55" spans="1:8" x14ac:dyDescent="0.2">
      <c r="A55" s="1239"/>
      <c r="B55" s="376">
        <v>53204020100000</v>
      </c>
      <c r="C55" s="1004" t="s">
        <v>194</v>
      </c>
      <c r="D55" s="1019">
        <f>'[1]H) Detalle Datos'!O187</f>
        <v>998290</v>
      </c>
      <c r="E55" s="1019">
        <v>0</v>
      </c>
      <c r="F55" s="1020">
        <v>0</v>
      </c>
      <c r="G55" s="1008">
        <f t="shared" si="3"/>
        <v>0</v>
      </c>
      <c r="H55" s="1009">
        <f t="shared" si="2"/>
        <v>998290</v>
      </c>
    </row>
    <row r="56" spans="1:8" x14ac:dyDescent="0.2">
      <c r="A56" s="1239"/>
      <c r="B56" s="1037"/>
      <c r="C56" s="1000" t="s">
        <v>55</v>
      </c>
      <c r="D56" s="1012">
        <f>SUM(D57:D64)</f>
        <v>2188581</v>
      </c>
      <c r="E56" s="1024"/>
      <c r="F56" s="1027"/>
      <c r="G56" s="1001">
        <f>SUM(G57:G64)</f>
        <v>2205236.7760000001</v>
      </c>
      <c r="H56" s="1038">
        <f>SUM(H57:H64)</f>
        <v>4393817.7760000005</v>
      </c>
    </row>
    <row r="57" spans="1:8" x14ac:dyDescent="0.2">
      <c r="A57" s="1239"/>
      <c r="B57" s="1039">
        <v>53207010000000</v>
      </c>
      <c r="C57" s="1004" t="s">
        <v>56</v>
      </c>
      <c r="D57" s="1019">
        <v>0</v>
      </c>
      <c r="E57" s="1019">
        <v>0</v>
      </c>
      <c r="F57" s="1020">
        <v>0</v>
      </c>
      <c r="G57" s="1008">
        <f t="shared" si="3"/>
        <v>0</v>
      </c>
      <c r="H57" s="1009">
        <f t="shared" si="2"/>
        <v>0</v>
      </c>
    </row>
    <row r="58" spans="1:8" x14ac:dyDescent="0.2">
      <c r="A58" s="1239"/>
      <c r="B58" s="1039">
        <v>53207020000000</v>
      </c>
      <c r="C58" s="1004" t="s">
        <v>57</v>
      </c>
      <c r="D58" s="1019">
        <v>0</v>
      </c>
      <c r="E58" s="1019">
        <v>0</v>
      </c>
      <c r="F58" s="1020">
        <v>0</v>
      </c>
      <c r="G58" s="1008">
        <f t="shared" si="3"/>
        <v>0</v>
      </c>
      <c r="H58" s="1009">
        <f t="shared" si="2"/>
        <v>0</v>
      </c>
    </row>
    <row r="59" spans="1:8" x14ac:dyDescent="0.2">
      <c r="A59" s="1239"/>
      <c r="B59" s="1039">
        <v>53208020000000</v>
      </c>
      <c r="C59" s="1004" t="s">
        <v>185</v>
      </c>
      <c r="D59" s="1019">
        <v>0</v>
      </c>
      <c r="E59" s="1019">
        <v>0</v>
      </c>
      <c r="F59" s="1020">
        <v>0</v>
      </c>
      <c r="G59" s="1008">
        <f t="shared" si="3"/>
        <v>0</v>
      </c>
      <c r="H59" s="1009">
        <f t="shared" si="2"/>
        <v>0</v>
      </c>
    </row>
    <row r="60" spans="1:8" x14ac:dyDescent="0.2">
      <c r="A60" s="1239"/>
      <c r="B60" s="1039">
        <v>53208990000000</v>
      </c>
      <c r="C60" s="1004" t="s">
        <v>203</v>
      </c>
      <c r="D60" s="1019">
        <v>0</v>
      </c>
      <c r="E60" s="1019">
        <f>136957*1.042</f>
        <v>142709.19400000002</v>
      </c>
      <c r="F60" s="1020">
        <v>4</v>
      </c>
      <c r="G60" s="1008">
        <f t="shared" si="3"/>
        <v>570836.77600000007</v>
      </c>
      <c r="H60" s="1009">
        <f t="shared" si="2"/>
        <v>570836.77600000007</v>
      </c>
    </row>
    <row r="61" spans="1:8" x14ac:dyDescent="0.2">
      <c r="A61" s="1239"/>
      <c r="B61" s="376">
        <v>53210020300000</v>
      </c>
      <c r="C61" s="1004" t="s">
        <v>205</v>
      </c>
      <c r="D61" s="1028">
        <v>0</v>
      </c>
      <c r="E61" s="1029">
        <v>6326</v>
      </c>
      <c r="F61" s="1030">
        <f>+'[1]B) Reajuste Tarifas y Ocupación'!I37</f>
        <v>120</v>
      </c>
      <c r="G61" s="1008">
        <f t="shared" si="3"/>
        <v>759120</v>
      </c>
      <c r="H61" s="1009">
        <f t="shared" si="2"/>
        <v>759120</v>
      </c>
    </row>
    <row r="62" spans="1:8" x14ac:dyDescent="0.2">
      <c r="A62" s="1239"/>
      <c r="B62" s="1039">
        <v>53208990000000</v>
      </c>
      <c r="C62" s="1004" t="s">
        <v>206</v>
      </c>
      <c r="D62" s="1019">
        <v>0</v>
      </c>
      <c r="E62" s="1019">
        <v>0</v>
      </c>
      <c r="F62" s="1020">
        <v>0</v>
      </c>
      <c r="G62" s="1008">
        <f t="shared" si="3"/>
        <v>0</v>
      </c>
      <c r="H62" s="1009">
        <f t="shared" si="2"/>
        <v>0</v>
      </c>
    </row>
    <row r="63" spans="1:8" x14ac:dyDescent="0.2">
      <c r="A63" s="1239"/>
      <c r="B63" s="1039">
        <v>53209990000000</v>
      </c>
      <c r="C63" s="1004" t="s">
        <v>204</v>
      </c>
      <c r="D63" s="1019">
        <v>0</v>
      </c>
      <c r="E63" s="1019">
        <f>140000*1.042</f>
        <v>145880</v>
      </c>
      <c r="F63" s="1020">
        <v>6</v>
      </c>
      <c r="G63" s="1008">
        <f t="shared" si="3"/>
        <v>875280</v>
      </c>
      <c r="H63" s="1009">
        <f t="shared" si="2"/>
        <v>875280</v>
      </c>
    </row>
    <row r="64" spans="1:8" x14ac:dyDescent="0.2">
      <c r="A64" s="1239"/>
      <c r="B64" s="1039">
        <v>53210020100000</v>
      </c>
      <c r="C64" s="1004" t="s">
        <v>64</v>
      </c>
      <c r="D64" s="1031">
        <v>2188581</v>
      </c>
      <c r="E64" s="1019">
        <v>0</v>
      </c>
      <c r="F64" s="1020">
        <v>0</v>
      </c>
      <c r="G64" s="1008">
        <f t="shared" si="3"/>
        <v>0</v>
      </c>
      <c r="H64" s="1009">
        <f t="shared" si="2"/>
        <v>2188581</v>
      </c>
    </row>
    <row r="65" spans="1:10" x14ac:dyDescent="0.2">
      <c r="A65" s="1239"/>
      <c r="B65" s="1037"/>
      <c r="C65" s="1000" t="s">
        <v>65</v>
      </c>
      <c r="D65" s="1012">
        <f>SUM(D66:D72)</f>
        <v>300000</v>
      </c>
      <c r="E65" s="1024"/>
      <c r="F65" s="1027"/>
      <c r="G65" s="1001">
        <f>SUM(G66:G72)</f>
        <v>1087800</v>
      </c>
      <c r="H65" s="1038">
        <f>SUM(H66:H72)</f>
        <v>1387800</v>
      </c>
    </row>
    <row r="66" spans="1:10" x14ac:dyDescent="0.2">
      <c r="A66" s="1239"/>
      <c r="B66" s="1039">
        <v>53206030000000</v>
      </c>
      <c r="C66" s="1004" t="s">
        <v>99</v>
      </c>
      <c r="D66" s="1019">
        <v>0</v>
      </c>
      <c r="E66" s="1019">
        <v>0</v>
      </c>
      <c r="F66" s="1020">
        <v>0</v>
      </c>
      <c r="G66" s="1008">
        <f t="shared" si="3"/>
        <v>0</v>
      </c>
      <c r="H66" s="1009">
        <f t="shared" si="2"/>
        <v>0</v>
      </c>
    </row>
    <row r="67" spans="1:10" x14ac:dyDescent="0.2">
      <c r="A67" s="1239"/>
      <c r="B67" s="1039">
        <v>53206040000000</v>
      </c>
      <c r="C67" s="1004" t="s">
        <v>100</v>
      </c>
      <c r="D67" s="1019">
        <v>0</v>
      </c>
      <c r="E67" s="1019">
        <v>0</v>
      </c>
      <c r="F67" s="1020">
        <v>0</v>
      </c>
      <c r="G67" s="1008">
        <f t="shared" si="3"/>
        <v>0</v>
      </c>
      <c r="H67" s="1009">
        <f t="shared" si="2"/>
        <v>0</v>
      </c>
    </row>
    <row r="68" spans="1:10" x14ac:dyDescent="0.2">
      <c r="A68" s="1239"/>
      <c r="B68" s="1039">
        <v>53206060000000</v>
      </c>
      <c r="C68" s="1004" t="s">
        <v>207</v>
      </c>
      <c r="D68" s="1019">
        <v>300000</v>
      </c>
      <c r="E68" s="1019">
        <v>150000</v>
      </c>
      <c r="F68" s="1020">
        <v>1</v>
      </c>
      <c r="G68" s="1008">
        <f t="shared" si="3"/>
        <v>150000</v>
      </c>
      <c r="H68" s="1009">
        <f t="shared" si="2"/>
        <v>450000</v>
      </c>
    </row>
    <row r="69" spans="1:10" x14ac:dyDescent="0.2">
      <c r="A69" s="1239"/>
      <c r="B69" s="1039">
        <v>53206070000000</v>
      </c>
      <c r="C69" s="1004" t="s">
        <v>102</v>
      </c>
      <c r="D69" s="1019">
        <v>0</v>
      </c>
      <c r="E69" s="1019">
        <v>0</v>
      </c>
      <c r="F69" s="1020">
        <v>0</v>
      </c>
      <c r="G69" s="1008">
        <f t="shared" si="3"/>
        <v>0</v>
      </c>
      <c r="H69" s="1009">
        <f t="shared" si="2"/>
        <v>0</v>
      </c>
    </row>
    <row r="70" spans="1:10" x14ac:dyDescent="0.2">
      <c r="A70" s="1239"/>
      <c r="B70" s="1039">
        <v>53206990000000</v>
      </c>
      <c r="C70" s="1004" t="s">
        <v>208</v>
      </c>
      <c r="D70" s="1019">
        <v>0</v>
      </c>
      <c r="E70" s="1019">
        <v>0</v>
      </c>
      <c r="F70" s="1020">
        <v>0</v>
      </c>
      <c r="G70" s="1008">
        <f t="shared" si="3"/>
        <v>0</v>
      </c>
      <c r="H70" s="1009">
        <f t="shared" si="2"/>
        <v>0</v>
      </c>
    </row>
    <row r="71" spans="1:10" x14ac:dyDescent="0.2">
      <c r="A71" s="1239"/>
      <c r="B71" s="1039">
        <v>53208030000000</v>
      </c>
      <c r="C71" s="1004" t="s">
        <v>104</v>
      </c>
      <c r="D71" s="1019">
        <v>0</v>
      </c>
      <c r="E71" s="1019">
        <f>90000*1.042</f>
        <v>93780</v>
      </c>
      <c r="F71" s="1020">
        <v>10</v>
      </c>
      <c r="G71" s="1008">
        <f t="shared" si="3"/>
        <v>937800</v>
      </c>
      <c r="H71" s="1009">
        <f t="shared" si="2"/>
        <v>937800</v>
      </c>
    </row>
    <row r="72" spans="1:10" x14ac:dyDescent="0.2">
      <c r="A72" s="1239"/>
      <c r="B72" s="1039">
        <v>53206990000000</v>
      </c>
      <c r="C72" s="1004" t="s">
        <v>232</v>
      </c>
      <c r="D72" s="1019">
        <v>0</v>
      </c>
      <c r="E72" s="1019">
        <v>0</v>
      </c>
      <c r="F72" s="1020">
        <v>0</v>
      </c>
      <c r="G72" s="1008">
        <f t="shared" si="3"/>
        <v>0</v>
      </c>
      <c r="H72" s="1009">
        <f t="shared" si="2"/>
        <v>0</v>
      </c>
    </row>
    <row r="73" spans="1:10" x14ac:dyDescent="0.2">
      <c r="A73" s="1239"/>
      <c r="B73" s="1037"/>
      <c r="C73" s="1000" t="s">
        <v>66</v>
      </c>
      <c r="D73" s="1012">
        <f>SUM(D74)</f>
        <v>0</v>
      </c>
      <c r="E73" s="1024"/>
      <c r="F73" s="1024"/>
      <c r="G73" s="1001">
        <f>SUM(G74:G74)</f>
        <v>1440000</v>
      </c>
      <c r="H73" s="1038">
        <f>SUM(H74:H74)</f>
        <v>1440000</v>
      </c>
    </row>
    <row r="74" spans="1:10" x14ac:dyDescent="0.2">
      <c r="A74" s="1239"/>
      <c r="B74" s="378"/>
      <c r="C74" s="1043" t="s">
        <v>233</v>
      </c>
      <c r="D74" s="988">
        <v>0</v>
      </c>
      <c r="E74" s="988">
        <v>12000</v>
      </c>
      <c r="F74" s="1011">
        <v>120</v>
      </c>
      <c r="G74" s="1008">
        <f t="shared" si="3"/>
        <v>1440000</v>
      </c>
      <c r="H74" s="1044">
        <f t="shared" si="2"/>
        <v>1440000</v>
      </c>
      <c r="I74" s="1032" t="s">
        <v>234</v>
      </c>
      <c r="J74" s="1028">
        <f>+H72+H71+H70+H69+H68+H67+H66+H64+H63+H62+H61+H60+H59+H58+H57+H55+H52+H51+H50+H49+H48+H46+H44+H43+H37+H36+H35+H33+H32+H31+H30+H29+H28+H27+H26+H25+H24+H23</f>
        <v>40322486.346000001</v>
      </c>
    </row>
    <row r="75" spans="1:10" collapsed="1" x14ac:dyDescent="0.2">
      <c r="A75" s="1240"/>
      <c r="B75" s="1107"/>
      <c r="C75" s="1071" t="s">
        <v>105</v>
      </c>
      <c r="D75" s="1033">
        <f>SUM(D12,D39)</f>
        <v>148672981.53400001</v>
      </c>
      <c r="E75" s="1034"/>
      <c r="F75" s="1034"/>
      <c r="G75" s="1033">
        <f>SUM(G12,G39)</f>
        <v>50283219.872000001</v>
      </c>
      <c r="H75" s="1047">
        <f>SUM(H12,H39)</f>
        <v>198956201.40599999</v>
      </c>
      <c r="I75" s="1035" t="s">
        <v>235</v>
      </c>
      <c r="J75" s="1036">
        <f>+H75-J74</f>
        <v>158633715.06</v>
      </c>
    </row>
    <row r="76" spans="1:10" ht="12.75" customHeight="1" x14ac:dyDescent="0.2">
      <c r="A76" s="1241" t="s">
        <v>82</v>
      </c>
      <c r="B76" s="1243" t="s">
        <v>76</v>
      </c>
      <c r="C76" s="1245" t="s">
        <v>77</v>
      </c>
      <c r="D76" s="1284" t="s">
        <v>78</v>
      </c>
      <c r="E76" s="1263" t="s">
        <v>79</v>
      </c>
      <c r="F76" s="1264"/>
      <c r="G76" s="1265"/>
      <c r="H76" s="1266" t="s">
        <v>283</v>
      </c>
    </row>
    <row r="77" spans="1:10" ht="25.5" x14ac:dyDescent="0.2">
      <c r="A77" s="1242"/>
      <c r="B77" s="1244"/>
      <c r="C77" s="1246"/>
      <c r="D77" s="1285"/>
      <c r="E77" s="992" t="s">
        <v>67</v>
      </c>
      <c r="F77" s="993" t="s">
        <v>68</v>
      </c>
      <c r="G77" s="991" t="s">
        <v>6</v>
      </c>
      <c r="H77" s="1267"/>
    </row>
    <row r="78" spans="1:10" ht="15.75" customHeight="1" x14ac:dyDescent="0.2">
      <c r="A78" s="1238" t="str">
        <f>+'[1]B) Reajuste Tarifas y Ocupación'!A14</f>
        <v>Jardín Infantil Los Delfines</v>
      </c>
      <c r="B78" s="994"/>
      <c r="C78" s="995" t="s">
        <v>11</v>
      </c>
      <c r="D78" s="996">
        <f>SUM(D79,D84)</f>
        <v>150703952.11400002</v>
      </c>
      <c r="E78" s="997"/>
      <c r="F78" s="997"/>
      <c r="G78" s="998">
        <f>SUM(G79,G84)</f>
        <v>42130969.696000002</v>
      </c>
      <c r="H78" s="999">
        <f>SUM(H79,H84)</f>
        <v>192834921.81</v>
      </c>
    </row>
    <row r="79" spans="1:10" x14ac:dyDescent="0.2">
      <c r="A79" s="1239"/>
      <c r="B79" s="1037"/>
      <c r="C79" s="1000" t="s">
        <v>12</v>
      </c>
      <c r="D79" s="1001">
        <f>SUM(D80:D83)</f>
        <v>129640131.80000001</v>
      </c>
      <c r="E79" s="1002"/>
      <c r="F79" s="1002"/>
      <c r="G79" s="1003">
        <f>SUM(G80:G83)</f>
        <v>1042000</v>
      </c>
      <c r="H79" s="1038">
        <f>SUM(H80:H83)</f>
        <v>130682131.80000001</v>
      </c>
    </row>
    <row r="80" spans="1:10" x14ac:dyDescent="0.2">
      <c r="A80" s="1239"/>
      <c r="B80" s="1039">
        <v>53103040100000</v>
      </c>
      <c r="C80" s="1004" t="s">
        <v>95</v>
      </c>
      <c r="D80" s="1005">
        <f>'[1]F) Remuneraciones'!L32</f>
        <v>128447014.80000001</v>
      </c>
      <c r="E80" s="1006"/>
      <c r="F80" s="1007"/>
      <c r="G80" s="1008">
        <f>E80*F80</f>
        <v>0</v>
      </c>
      <c r="H80" s="1009">
        <f>D80+G80</f>
        <v>128447014.80000001</v>
      </c>
    </row>
    <row r="81" spans="1:8" x14ac:dyDescent="0.2">
      <c r="A81" s="1239"/>
      <c r="B81" s="1039">
        <v>53103050000000</v>
      </c>
      <c r="C81" s="1004" t="s">
        <v>186</v>
      </c>
      <c r="D81" s="988">
        <v>0</v>
      </c>
      <c r="E81" s="1010">
        <v>0</v>
      </c>
      <c r="F81" s="1011">
        <v>0</v>
      </c>
      <c r="G81" s="1008">
        <f>E81*F81</f>
        <v>0</v>
      </c>
      <c r="H81" s="1009">
        <f>D81+G81</f>
        <v>0</v>
      </c>
    </row>
    <row r="82" spans="1:8" x14ac:dyDescent="0.2">
      <c r="A82" s="1239"/>
      <c r="B82" s="376">
        <v>53103040400000</v>
      </c>
      <c r="C82" s="377" t="s">
        <v>187</v>
      </c>
      <c r="D82" s="988">
        <v>1193117</v>
      </c>
      <c r="E82" s="1010">
        <v>0</v>
      </c>
      <c r="F82" s="1011">
        <v>0</v>
      </c>
      <c r="G82" s="1008">
        <f>E82*F82</f>
        <v>0</v>
      </c>
      <c r="H82" s="1009">
        <f>D82+G82</f>
        <v>1193117</v>
      </c>
    </row>
    <row r="83" spans="1:8" x14ac:dyDescent="0.2">
      <c r="A83" s="1239"/>
      <c r="B83" s="1039">
        <v>53103080010000</v>
      </c>
      <c r="C83" s="1004" t="s">
        <v>188</v>
      </c>
      <c r="D83" s="988">
        <v>0</v>
      </c>
      <c r="E83" s="1010">
        <f>E17</f>
        <v>52100</v>
      </c>
      <c r="F83" s="1011">
        <f>4*5</f>
        <v>20</v>
      </c>
      <c r="G83" s="1008">
        <f>E83*F83</f>
        <v>1042000</v>
      </c>
      <c r="H83" s="1009">
        <f>D83+G83</f>
        <v>1042000</v>
      </c>
    </row>
    <row r="84" spans="1:8" x14ac:dyDescent="0.2">
      <c r="A84" s="1239"/>
      <c r="B84" s="1037"/>
      <c r="C84" s="1000" t="s">
        <v>16</v>
      </c>
      <c r="D84" s="1012">
        <f>SUM(D85:D104)</f>
        <v>21063820.313999999</v>
      </c>
      <c r="E84" s="1013"/>
      <c r="F84" s="1013"/>
      <c r="G84" s="1001">
        <f>SUM(G85:G104)</f>
        <v>41088969.696000002</v>
      </c>
      <c r="H84" s="1038">
        <f>SUM(H85:H104)</f>
        <v>62152790.010000005</v>
      </c>
    </row>
    <row r="85" spans="1:8" x14ac:dyDescent="0.2">
      <c r="A85" s="1239"/>
      <c r="B85" s="1039">
        <v>53201010100000</v>
      </c>
      <c r="C85" s="1014" t="s">
        <v>189</v>
      </c>
      <c r="D85" s="1015">
        <v>0</v>
      </c>
      <c r="E85" s="1010">
        <f>E19</f>
        <v>1989</v>
      </c>
      <c r="F85" s="1011">
        <f>13*20*11</f>
        <v>2860</v>
      </c>
      <c r="G85" s="1008">
        <f t="shared" ref="G85:G104" si="4">E85*F85</f>
        <v>5688540</v>
      </c>
      <c r="H85" s="1009">
        <f t="shared" ref="H85:H90" si="5">D85+G85</f>
        <v>5688540</v>
      </c>
    </row>
    <row r="86" spans="1:8" x14ac:dyDescent="0.2">
      <c r="A86" s="1239"/>
      <c r="B86" s="1039">
        <v>53201010100000</v>
      </c>
      <c r="C86" s="1014" t="s">
        <v>190</v>
      </c>
      <c r="D86" s="1015">
        <v>0</v>
      </c>
      <c r="E86" s="1010">
        <f>E20</f>
        <v>1146.2</v>
      </c>
      <c r="F86" s="1011">
        <f>(119*20*10)+(15*20*1)</f>
        <v>24100</v>
      </c>
      <c r="G86" s="1008">
        <f t="shared" si="4"/>
        <v>27623420</v>
      </c>
      <c r="H86" s="1009">
        <f t="shared" si="5"/>
        <v>27623420</v>
      </c>
    </row>
    <row r="87" spans="1:8" x14ac:dyDescent="0.2">
      <c r="A87" s="1239"/>
      <c r="B87" s="1039">
        <v>53201010100000</v>
      </c>
      <c r="C87" s="1014" t="s">
        <v>191</v>
      </c>
      <c r="D87" s="1015">
        <v>0</v>
      </c>
      <c r="E87" s="1010">
        <f>E21</f>
        <v>1989</v>
      </c>
      <c r="F87" s="1011">
        <f>F21</f>
        <v>480</v>
      </c>
      <c r="G87" s="1008">
        <f t="shared" si="4"/>
        <v>954720</v>
      </c>
      <c r="H87" s="1009">
        <f t="shared" si="5"/>
        <v>954720</v>
      </c>
    </row>
    <row r="88" spans="1:8" x14ac:dyDescent="0.2">
      <c r="A88" s="1239"/>
      <c r="B88" s="1039">
        <v>53202010100000</v>
      </c>
      <c r="C88" s="1004" t="s">
        <v>192</v>
      </c>
      <c r="D88" s="1017">
        <v>0</v>
      </c>
      <c r="E88" s="1017">
        <v>0</v>
      </c>
      <c r="F88" s="1040">
        <v>0</v>
      </c>
      <c r="G88" s="1008">
        <f t="shared" si="4"/>
        <v>0</v>
      </c>
      <c r="H88" s="1009">
        <f t="shared" si="5"/>
        <v>0</v>
      </c>
    </row>
    <row r="89" spans="1:8" x14ac:dyDescent="0.2">
      <c r="A89" s="1239"/>
      <c r="B89" s="1039">
        <v>53203010100000</v>
      </c>
      <c r="C89" s="1004" t="s">
        <v>19</v>
      </c>
      <c r="D89" s="1019">
        <v>0</v>
      </c>
      <c r="E89" s="1019">
        <v>0</v>
      </c>
      <c r="F89" s="1020">
        <v>0</v>
      </c>
      <c r="G89" s="1008">
        <f t="shared" si="4"/>
        <v>0</v>
      </c>
      <c r="H89" s="1009">
        <f t="shared" si="5"/>
        <v>0</v>
      </c>
    </row>
    <row r="90" spans="1:8" x14ac:dyDescent="0.2">
      <c r="A90" s="1239"/>
      <c r="B90" s="1039">
        <v>53203030000000</v>
      </c>
      <c r="C90" s="1004" t="s">
        <v>193</v>
      </c>
      <c r="D90" s="1019">
        <v>0</v>
      </c>
      <c r="E90" s="1019">
        <v>0</v>
      </c>
      <c r="F90" s="1020">
        <v>0</v>
      </c>
      <c r="G90" s="1008">
        <f t="shared" si="4"/>
        <v>0</v>
      </c>
      <c r="H90" s="1009">
        <f t="shared" si="5"/>
        <v>0</v>
      </c>
    </row>
    <row r="91" spans="1:8" x14ac:dyDescent="0.2">
      <c r="A91" s="1239"/>
      <c r="B91" s="1039">
        <v>53204030000000</v>
      </c>
      <c r="C91" s="1004" t="s">
        <v>230</v>
      </c>
      <c r="D91" s="1019">
        <v>0</v>
      </c>
      <c r="E91" s="1019">
        <f>E25</f>
        <v>24697.484</v>
      </c>
      <c r="F91" s="1020">
        <v>6</v>
      </c>
      <c r="G91" s="1008">
        <f t="shared" si="4"/>
        <v>148184.90400000001</v>
      </c>
      <c r="H91" s="1009">
        <f>D91+G91</f>
        <v>148184.90400000001</v>
      </c>
    </row>
    <row r="92" spans="1:8" x14ac:dyDescent="0.2">
      <c r="A92" s="1239"/>
      <c r="B92" s="1039">
        <v>53204100100001</v>
      </c>
      <c r="C92" s="1004" t="s">
        <v>22</v>
      </c>
      <c r="D92" s="1019">
        <f>'[1]H) Detalle Datos'!T74</f>
        <v>6333090</v>
      </c>
      <c r="E92" s="1019">
        <v>0</v>
      </c>
      <c r="F92" s="1020">
        <v>0</v>
      </c>
      <c r="G92" s="1008">
        <f t="shared" si="4"/>
        <v>0</v>
      </c>
      <c r="H92" s="1009">
        <f t="shared" ref="H92:H104" si="6">D92+G92</f>
        <v>6333090</v>
      </c>
    </row>
    <row r="93" spans="1:8" x14ac:dyDescent="0.2">
      <c r="A93" s="1239"/>
      <c r="B93" s="1039">
        <v>53204130100000</v>
      </c>
      <c r="C93" s="1004" t="s">
        <v>195</v>
      </c>
      <c r="D93" s="1019">
        <f>'[1]H) Detalle Datos'!W101+'[1]H) Detalle Datos'!W205</f>
        <v>877990</v>
      </c>
      <c r="E93" s="1019">
        <v>0</v>
      </c>
      <c r="F93" s="1020">
        <v>0</v>
      </c>
      <c r="G93" s="1008">
        <f t="shared" si="4"/>
        <v>0</v>
      </c>
      <c r="H93" s="1009">
        <f t="shared" si="6"/>
        <v>877990</v>
      </c>
    </row>
    <row r="94" spans="1:8" x14ac:dyDescent="0.2">
      <c r="A94" s="1239"/>
      <c r="B94" s="1039">
        <v>53205010100000</v>
      </c>
      <c r="C94" s="1004" t="s">
        <v>24</v>
      </c>
      <c r="D94" s="1019">
        <f>3451794*1.6</f>
        <v>5522870.4000000004</v>
      </c>
      <c r="E94" s="1019">
        <v>0</v>
      </c>
      <c r="F94" s="1020">
        <v>0</v>
      </c>
      <c r="G94" s="1008">
        <f t="shared" si="4"/>
        <v>0</v>
      </c>
      <c r="H94" s="1009">
        <f t="shared" si="6"/>
        <v>5522870.4000000004</v>
      </c>
    </row>
    <row r="95" spans="1:8" x14ac:dyDescent="0.2">
      <c r="A95" s="1239"/>
      <c r="B95" s="1039">
        <v>53205020100000</v>
      </c>
      <c r="C95" s="1004" t="s">
        <v>25</v>
      </c>
      <c r="D95" s="1019">
        <f>3208307*1.042</f>
        <v>3343055.8940000003</v>
      </c>
      <c r="E95" s="1019">
        <v>0</v>
      </c>
      <c r="F95" s="1020">
        <v>0</v>
      </c>
      <c r="G95" s="1008">
        <f t="shared" si="4"/>
        <v>0</v>
      </c>
      <c r="H95" s="1009">
        <f t="shared" si="6"/>
        <v>3343055.8940000003</v>
      </c>
    </row>
    <row r="96" spans="1:8" x14ac:dyDescent="0.2">
      <c r="A96" s="1239"/>
      <c r="B96" s="1039">
        <v>53205030100000</v>
      </c>
      <c r="C96" s="1004" t="s">
        <v>26</v>
      </c>
      <c r="D96" s="1019">
        <f>4785810*1.042</f>
        <v>4986814.0200000005</v>
      </c>
      <c r="E96" s="1019">
        <v>0</v>
      </c>
      <c r="F96" s="1020">
        <v>0</v>
      </c>
      <c r="G96" s="1008">
        <f t="shared" si="4"/>
        <v>0</v>
      </c>
      <c r="H96" s="1009">
        <f t="shared" si="6"/>
        <v>4986814.0200000005</v>
      </c>
    </row>
    <row r="97" spans="1:8" x14ac:dyDescent="0.2">
      <c r="A97" s="1239"/>
      <c r="B97" s="1039">
        <v>53205050100000</v>
      </c>
      <c r="C97" s="1004" t="s">
        <v>27</v>
      </c>
      <c r="D97" s="1019">
        <v>0</v>
      </c>
      <c r="E97" s="1019">
        <f>19990*1.042</f>
        <v>20829.580000000002</v>
      </c>
      <c r="F97" s="1020">
        <v>12</v>
      </c>
      <c r="G97" s="1008">
        <f t="shared" si="4"/>
        <v>249954.96000000002</v>
      </c>
      <c r="H97" s="1009">
        <f t="shared" si="6"/>
        <v>249954.96000000002</v>
      </c>
    </row>
    <row r="98" spans="1:8" x14ac:dyDescent="0.2">
      <c r="A98" s="1239"/>
      <c r="B98" s="1039">
        <v>53205070100000</v>
      </c>
      <c r="C98" s="1004" t="s">
        <v>29</v>
      </c>
      <c r="D98" s="1019">
        <v>0</v>
      </c>
      <c r="E98" s="1019">
        <v>0</v>
      </c>
      <c r="F98" s="1020">
        <v>0</v>
      </c>
      <c r="G98" s="1008">
        <f t="shared" si="4"/>
        <v>0</v>
      </c>
      <c r="H98" s="1009">
        <f t="shared" si="6"/>
        <v>0</v>
      </c>
    </row>
    <row r="99" spans="1:8" x14ac:dyDescent="0.2">
      <c r="A99" s="1239"/>
      <c r="B99" s="1039">
        <v>53208010100000</v>
      </c>
      <c r="C99" s="1004" t="s">
        <v>30</v>
      </c>
      <c r="D99" s="1019">
        <v>0</v>
      </c>
      <c r="E99" s="1019">
        <f>1374998*1.042</f>
        <v>1432747.916</v>
      </c>
      <c r="F99" s="1020">
        <v>2</v>
      </c>
      <c r="G99" s="1008">
        <f t="shared" si="4"/>
        <v>2865495.8319999999</v>
      </c>
      <c r="H99" s="1009">
        <f t="shared" si="6"/>
        <v>2865495.8319999999</v>
      </c>
    </row>
    <row r="100" spans="1:8" x14ac:dyDescent="0.2">
      <c r="A100" s="1239"/>
      <c r="B100" s="1039">
        <v>53208070100001</v>
      </c>
      <c r="C100" s="1004" t="s">
        <v>31</v>
      </c>
      <c r="D100" s="1017">
        <v>0</v>
      </c>
      <c r="E100" s="1017">
        <v>0</v>
      </c>
      <c r="F100" s="1040">
        <v>0</v>
      </c>
      <c r="G100" s="1008">
        <f t="shared" si="4"/>
        <v>0</v>
      </c>
      <c r="H100" s="1009">
        <f t="shared" si="6"/>
        <v>0</v>
      </c>
    </row>
    <row r="101" spans="1:8" x14ac:dyDescent="0.2">
      <c r="A101" s="1239"/>
      <c r="B101" s="1039">
        <v>53208100100001</v>
      </c>
      <c r="C101" s="1004" t="s">
        <v>196</v>
      </c>
      <c r="D101" s="1019">
        <v>0</v>
      </c>
      <c r="E101" s="1019">
        <v>0</v>
      </c>
      <c r="F101" s="1020">
        <v>0</v>
      </c>
      <c r="G101" s="1008">
        <f t="shared" si="4"/>
        <v>0</v>
      </c>
      <c r="H101" s="1009">
        <f t="shared" si="6"/>
        <v>0</v>
      </c>
    </row>
    <row r="102" spans="1:8" x14ac:dyDescent="0.2">
      <c r="A102" s="1239"/>
      <c r="B102" s="1039">
        <v>53211030000000</v>
      </c>
      <c r="C102" s="1004" t="s">
        <v>32</v>
      </c>
      <c r="D102" s="1019">
        <v>0</v>
      </c>
      <c r="E102" s="1019">
        <v>0</v>
      </c>
      <c r="F102" s="1020">
        <v>0</v>
      </c>
      <c r="G102" s="1008">
        <f t="shared" si="4"/>
        <v>0</v>
      </c>
      <c r="H102" s="1009">
        <f t="shared" si="6"/>
        <v>0</v>
      </c>
    </row>
    <row r="103" spans="1:8" x14ac:dyDescent="0.2">
      <c r="A103" s="1239"/>
      <c r="B103" s="1039">
        <v>53212020100000</v>
      </c>
      <c r="C103" s="1004" t="s">
        <v>197</v>
      </c>
      <c r="D103" s="1019">
        <v>0</v>
      </c>
      <c r="E103" s="1019">
        <f>E37</f>
        <v>395406</v>
      </c>
      <c r="F103" s="1020">
        <v>9</v>
      </c>
      <c r="G103" s="1008">
        <f t="shared" si="4"/>
        <v>3558654</v>
      </c>
      <c r="H103" s="1009">
        <f t="shared" si="6"/>
        <v>3558654</v>
      </c>
    </row>
    <row r="104" spans="1:8" ht="15.75" customHeight="1" x14ac:dyDescent="0.2">
      <c r="A104" s="1239"/>
      <c r="B104" s="1039">
        <v>53214020000000</v>
      </c>
      <c r="C104" s="1004" t="s">
        <v>198</v>
      </c>
      <c r="D104" s="1017"/>
      <c r="E104" s="1017">
        <v>0</v>
      </c>
      <c r="F104" s="1040">
        <v>0</v>
      </c>
      <c r="G104" s="1008">
        <f t="shared" si="4"/>
        <v>0</v>
      </c>
      <c r="H104" s="1009">
        <f t="shared" si="6"/>
        <v>0</v>
      </c>
    </row>
    <row r="105" spans="1:8" x14ac:dyDescent="0.2">
      <c r="A105" s="1239"/>
      <c r="B105" s="994"/>
      <c r="C105" s="995" t="s">
        <v>34</v>
      </c>
      <c r="D105" s="1022">
        <f>+D106+D111+D113+D122+D131+D139</f>
        <v>9615974.9000000004</v>
      </c>
      <c r="E105" s="1023"/>
      <c r="F105" s="1041"/>
      <c r="G105" s="1022">
        <f>+G106+G111+G113+G122+G131+G139</f>
        <v>9363511.0040000007</v>
      </c>
      <c r="H105" s="1022">
        <f>+H106+H111+H113+H122+H131+H139</f>
        <v>18979485.903999999</v>
      </c>
    </row>
    <row r="106" spans="1:8" x14ac:dyDescent="0.2">
      <c r="A106" s="1239"/>
      <c r="B106" s="1037"/>
      <c r="C106" s="1000" t="s">
        <v>35</v>
      </c>
      <c r="D106" s="1012">
        <f>SUM(D107:D110)</f>
        <v>330447.90000000002</v>
      </c>
      <c r="E106" s="1024"/>
      <c r="F106" s="1027"/>
      <c r="G106" s="1025">
        <f>SUM(G107:G110)</f>
        <v>1147939.3400000001</v>
      </c>
      <c r="H106" s="1026">
        <f>SUM(H107:H110)</f>
        <v>1478387.2400000002</v>
      </c>
    </row>
    <row r="107" spans="1:8" x14ac:dyDescent="0.2">
      <c r="A107" s="1239"/>
      <c r="B107" s="1039">
        <v>53202020100000</v>
      </c>
      <c r="C107" s="1004" t="s">
        <v>199</v>
      </c>
      <c r="D107" s="988">
        <f>D41</f>
        <v>260447.90000000002</v>
      </c>
      <c r="E107" s="1010">
        <f>E41</f>
        <v>20829.580000000002</v>
      </c>
      <c r="F107" s="1016">
        <v>18</v>
      </c>
      <c r="G107" s="1008">
        <f>E107*F107</f>
        <v>374932.44000000006</v>
      </c>
      <c r="H107" s="1009">
        <f t="shared" ref="H107:H110" si="7">D107+G107</f>
        <v>635380.34000000008</v>
      </c>
    </row>
    <row r="108" spans="1:8" x14ac:dyDescent="0.2">
      <c r="A108" s="1239"/>
      <c r="B108" s="1039">
        <v>53202030000000</v>
      </c>
      <c r="C108" s="1004" t="s">
        <v>200</v>
      </c>
      <c r="D108" s="988">
        <v>0</v>
      </c>
      <c r="E108" s="1010">
        <f>E42</f>
        <v>54277.78</v>
      </c>
      <c r="F108" s="1016">
        <v>5</v>
      </c>
      <c r="G108" s="1008">
        <f t="shared" ref="G108:G110" si="8">E108*F108</f>
        <v>271388.90000000002</v>
      </c>
      <c r="H108" s="1009">
        <f t="shared" si="7"/>
        <v>271388.90000000002</v>
      </c>
    </row>
    <row r="109" spans="1:8" x14ac:dyDescent="0.2">
      <c r="A109" s="1239"/>
      <c r="B109" s="1039">
        <v>53211020000000</v>
      </c>
      <c r="C109" s="1004" t="s">
        <v>41</v>
      </c>
      <c r="D109" s="1019">
        <f>'[1]H) Detalle Datos'!F14</f>
        <v>70000</v>
      </c>
      <c r="E109" s="1019">
        <f>'[1]H) Detalle Datos'!F27</f>
        <v>350000</v>
      </c>
      <c r="F109" s="1020">
        <v>1</v>
      </c>
      <c r="G109" s="1008">
        <f t="shared" si="8"/>
        <v>350000</v>
      </c>
      <c r="H109" s="1009">
        <f t="shared" si="7"/>
        <v>420000</v>
      </c>
    </row>
    <row r="110" spans="1:8" x14ac:dyDescent="0.2">
      <c r="A110" s="1239"/>
      <c r="B110" s="1039">
        <v>53101040600000</v>
      </c>
      <c r="C110" s="1004" t="s">
        <v>201</v>
      </c>
      <c r="D110" s="1019">
        <v>0</v>
      </c>
      <c r="E110" s="1019">
        <f>E44</f>
        <v>151618</v>
      </c>
      <c r="F110" s="1020">
        <v>1</v>
      </c>
      <c r="G110" s="1008">
        <f t="shared" si="8"/>
        <v>151618</v>
      </c>
      <c r="H110" s="1009">
        <f t="shared" si="7"/>
        <v>151618</v>
      </c>
    </row>
    <row r="111" spans="1:8" x14ac:dyDescent="0.2">
      <c r="A111" s="1239"/>
      <c r="B111" s="1037"/>
      <c r="C111" s="1000" t="s">
        <v>42</v>
      </c>
      <c r="D111" s="1012">
        <f>SUM(D112)</f>
        <v>0</v>
      </c>
      <c r="E111" s="1024"/>
      <c r="F111" s="1027"/>
      <c r="G111" s="1025">
        <f>SUM(G112:G112)</f>
        <v>0</v>
      </c>
      <c r="H111" s="1026">
        <f>SUM(H112:H112)</f>
        <v>0</v>
      </c>
    </row>
    <row r="112" spans="1:8" x14ac:dyDescent="0.2">
      <c r="A112" s="1239"/>
      <c r="B112" s="1042">
        <v>53205990000000</v>
      </c>
      <c r="C112" s="1004" t="s">
        <v>44</v>
      </c>
      <c r="D112" s="1019">
        <v>0</v>
      </c>
      <c r="E112" s="1019">
        <v>0</v>
      </c>
      <c r="F112" s="1020">
        <v>0</v>
      </c>
      <c r="G112" s="1008">
        <f t="shared" ref="G112" si="9">E112*F112</f>
        <v>0</v>
      </c>
      <c r="H112" s="1009">
        <f t="shared" ref="H112" si="10">D112+G112</f>
        <v>0</v>
      </c>
    </row>
    <row r="113" spans="1:8" x14ac:dyDescent="0.2">
      <c r="A113" s="1239"/>
      <c r="B113" s="1037"/>
      <c r="C113" s="1000" t="s">
        <v>45</v>
      </c>
      <c r="D113" s="1012">
        <f>SUM(D114:D121)</f>
        <v>5971820</v>
      </c>
      <c r="E113" s="1024"/>
      <c r="F113" s="1027"/>
      <c r="G113" s="1001">
        <f>SUM(G114:G121)</f>
        <v>3482534.8879999998</v>
      </c>
      <c r="H113" s="1038">
        <f>SUM(H114:H121)</f>
        <v>9454354.8880000003</v>
      </c>
    </row>
    <row r="114" spans="1:8" x14ac:dyDescent="0.2">
      <c r="A114" s="1239"/>
      <c r="B114" s="1039">
        <v>53204010000000</v>
      </c>
      <c r="C114" s="1004" t="s">
        <v>47</v>
      </c>
      <c r="D114" s="1019">
        <f>890000*1.042</f>
        <v>927380</v>
      </c>
      <c r="E114" s="1019">
        <v>0</v>
      </c>
      <c r="F114" s="1020">
        <v>0</v>
      </c>
      <c r="G114" s="1008">
        <f t="shared" ref="G114:G121" si="11">E114*F114</f>
        <v>0</v>
      </c>
      <c r="H114" s="1009">
        <f t="shared" ref="H114:H121" si="12">D114+G114</f>
        <v>927380</v>
      </c>
    </row>
    <row r="115" spans="1:8" x14ac:dyDescent="0.2">
      <c r="A115" s="1239"/>
      <c r="B115" s="1042">
        <v>53204040200000</v>
      </c>
      <c r="C115" s="1004" t="s">
        <v>231</v>
      </c>
      <c r="D115" s="1019">
        <v>0</v>
      </c>
      <c r="E115" s="1019">
        <f>E49</f>
        <v>22084.148000000001</v>
      </c>
      <c r="F115" s="1020">
        <v>6</v>
      </c>
      <c r="G115" s="1008">
        <f t="shared" si="11"/>
        <v>132504.88800000001</v>
      </c>
      <c r="H115" s="1009">
        <f t="shared" si="12"/>
        <v>132504.88800000001</v>
      </c>
    </row>
    <row r="116" spans="1:8" x14ac:dyDescent="0.2">
      <c r="A116" s="1239"/>
      <c r="B116" s="1039">
        <v>53204060000000</v>
      </c>
      <c r="C116" s="1004" t="s">
        <v>49</v>
      </c>
      <c r="D116" s="1019">
        <v>0</v>
      </c>
      <c r="E116" s="1019">
        <v>0</v>
      </c>
      <c r="F116" s="1020">
        <v>0</v>
      </c>
      <c r="G116" s="1008">
        <f t="shared" si="11"/>
        <v>0</v>
      </c>
      <c r="H116" s="1009">
        <f t="shared" si="12"/>
        <v>0</v>
      </c>
    </row>
    <row r="117" spans="1:8" x14ac:dyDescent="0.2">
      <c r="A117" s="1239"/>
      <c r="B117" s="1039">
        <v>53204070000000</v>
      </c>
      <c r="C117" s="1004" t="s">
        <v>50</v>
      </c>
      <c r="D117" s="1019">
        <v>0</v>
      </c>
      <c r="E117" s="1019">
        <f>E51</f>
        <v>276130</v>
      </c>
      <c r="F117" s="1020">
        <v>11</v>
      </c>
      <c r="G117" s="1008">
        <f t="shared" si="11"/>
        <v>3037430</v>
      </c>
      <c r="H117" s="1009">
        <f t="shared" si="12"/>
        <v>3037430</v>
      </c>
    </row>
    <row r="118" spans="1:8" x14ac:dyDescent="0.2">
      <c r="A118" s="1239"/>
      <c r="B118" s="1039">
        <v>53204080000000</v>
      </c>
      <c r="C118" s="1004" t="s">
        <v>51</v>
      </c>
      <c r="D118" s="1019">
        <f>'[1]H) Detalle Datos'!W232</f>
        <v>683800</v>
      </c>
      <c r="E118" s="1019">
        <v>0</v>
      </c>
      <c r="F118" s="1020">
        <v>0</v>
      </c>
      <c r="G118" s="1008">
        <f t="shared" si="11"/>
        <v>0</v>
      </c>
      <c r="H118" s="1009">
        <f t="shared" si="12"/>
        <v>683800</v>
      </c>
    </row>
    <row r="119" spans="1:8" x14ac:dyDescent="0.2">
      <c r="A119" s="1239"/>
      <c r="B119" s="1039">
        <v>53214010000000</v>
      </c>
      <c r="C119" s="1004" t="s">
        <v>52</v>
      </c>
      <c r="D119" s="1021">
        <f>'[1]H) Detalle Datos'!W121</f>
        <v>4052640</v>
      </c>
      <c r="E119" s="1021"/>
      <c r="F119" s="1018"/>
      <c r="G119" s="1008">
        <f t="shared" si="11"/>
        <v>0</v>
      </c>
      <c r="H119" s="1009">
        <f t="shared" si="12"/>
        <v>4052640</v>
      </c>
    </row>
    <row r="120" spans="1:8" x14ac:dyDescent="0.2">
      <c r="A120" s="1239"/>
      <c r="B120" s="1039">
        <v>53214040000000</v>
      </c>
      <c r="C120" s="1004" t="s">
        <v>202</v>
      </c>
      <c r="D120" s="1021">
        <v>0</v>
      </c>
      <c r="E120" s="1021">
        <f>50000*1.042</f>
        <v>52100</v>
      </c>
      <c r="F120" s="1018">
        <v>6</v>
      </c>
      <c r="G120" s="1008">
        <f t="shared" si="11"/>
        <v>312600</v>
      </c>
      <c r="H120" s="1009">
        <f t="shared" si="12"/>
        <v>312600</v>
      </c>
    </row>
    <row r="121" spans="1:8" x14ac:dyDescent="0.2">
      <c r="A121" s="1239"/>
      <c r="B121" s="376">
        <v>53204020100000</v>
      </c>
      <c r="C121" s="1004" t="s">
        <v>194</v>
      </c>
      <c r="D121" s="1019">
        <f>'[1]H) Detalle Datos'!W187</f>
        <v>308000</v>
      </c>
      <c r="E121" s="1019">
        <v>0</v>
      </c>
      <c r="F121" s="1020">
        <v>0</v>
      </c>
      <c r="G121" s="1008">
        <f t="shared" si="11"/>
        <v>0</v>
      </c>
      <c r="H121" s="1009">
        <f t="shared" si="12"/>
        <v>308000</v>
      </c>
    </row>
    <row r="122" spans="1:8" x14ac:dyDescent="0.2">
      <c r="A122" s="1239"/>
      <c r="B122" s="1037"/>
      <c r="C122" s="1000" t="s">
        <v>55</v>
      </c>
      <c r="D122" s="1012">
        <f>SUM(D123:D130)</f>
        <v>3013707</v>
      </c>
      <c r="E122" s="1024"/>
      <c r="F122" s="1027"/>
      <c r="G122" s="1001">
        <f>SUM(G123:G130)</f>
        <v>2205236.7760000001</v>
      </c>
      <c r="H122" s="1038">
        <f>SUM(H123:H130)</f>
        <v>5218943.7760000005</v>
      </c>
    </row>
    <row r="123" spans="1:8" x14ac:dyDescent="0.2">
      <c r="A123" s="1239"/>
      <c r="B123" s="1039">
        <v>53207010000000</v>
      </c>
      <c r="C123" s="1004" t="s">
        <v>56</v>
      </c>
      <c r="D123" s="1019">
        <v>0</v>
      </c>
      <c r="E123" s="1019">
        <v>0</v>
      </c>
      <c r="F123" s="1020">
        <v>0</v>
      </c>
      <c r="G123" s="1008">
        <f t="shared" ref="G123:G130" si="13">E123*F123</f>
        <v>0</v>
      </c>
      <c r="H123" s="1009">
        <f t="shared" ref="H123:H130" si="14">D123+G123</f>
        <v>0</v>
      </c>
    </row>
    <row r="124" spans="1:8" x14ac:dyDescent="0.2">
      <c r="A124" s="1239"/>
      <c r="B124" s="1039">
        <v>53207020000000</v>
      </c>
      <c r="C124" s="1004" t="s">
        <v>57</v>
      </c>
      <c r="D124" s="1019">
        <v>0</v>
      </c>
      <c r="E124" s="1019">
        <v>0</v>
      </c>
      <c r="F124" s="1020">
        <v>0</v>
      </c>
      <c r="G124" s="1008">
        <f t="shared" si="13"/>
        <v>0</v>
      </c>
      <c r="H124" s="1009">
        <f t="shared" si="14"/>
        <v>0</v>
      </c>
    </row>
    <row r="125" spans="1:8" x14ac:dyDescent="0.2">
      <c r="A125" s="1239"/>
      <c r="B125" s="1039">
        <v>53208020000000</v>
      </c>
      <c r="C125" s="1004" t="s">
        <v>185</v>
      </c>
      <c r="D125" s="1019">
        <v>0</v>
      </c>
      <c r="E125" s="1019">
        <v>0</v>
      </c>
      <c r="F125" s="1020">
        <v>0</v>
      </c>
      <c r="G125" s="1008">
        <f t="shared" si="13"/>
        <v>0</v>
      </c>
      <c r="H125" s="1009">
        <f t="shared" si="14"/>
        <v>0</v>
      </c>
    </row>
    <row r="126" spans="1:8" x14ac:dyDescent="0.2">
      <c r="A126" s="1239"/>
      <c r="B126" s="1039">
        <v>53208990000000</v>
      </c>
      <c r="C126" s="1004" t="s">
        <v>203</v>
      </c>
      <c r="D126" s="1019">
        <v>0</v>
      </c>
      <c r="E126" s="1019">
        <f>E60</f>
        <v>142709.19400000002</v>
      </c>
      <c r="F126" s="1020">
        <v>4</v>
      </c>
      <c r="G126" s="1008">
        <f t="shared" si="13"/>
        <v>570836.77600000007</v>
      </c>
      <c r="H126" s="1009">
        <f t="shared" si="14"/>
        <v>570836.77600000007</v>
      </c>
    </row>
    <row r="127" spans="1:8" x14ac:dyDescent="0.2">
      <c r="A127" s="1239"/>
      <c r="B127" s="376">
        <v>53210020300000</v>
      </c>
      <c r="C127" s="1004" t="s">
        <v>205</v>
      </c>
      <c r="D127" s="1028">
        <v>0</v>
      </c>
      <c r="E127" s="1029">
        <v>6326</v>
      </c>
      <c r="F127" s="1030">
        <f>+'[1]B) Reajuste Tarifas y Ocupación'!I39</f>
        <v>120</v>
      </c>
      <c r="G127" s="1008">
        <f t="shared" si="13"/>
        <v>759120</v>
      </c>
      <c r="H127" s="1009">
        <f t="shared" si="14"/>
        <v>759120</v>
      </c>
    </row>
    <row r="128" spans="1:8" x14ac:dyDescent="0.2">
      <c r="A128" s="1239"/>
      <c r="B128" s="1039">
        <v>53208990000000</v>
      </c>
      <c r="C128" s="1004" t="s">
        <v>206</v>
      </c>
      <c r="D128" s="1019">
        <v>0</v>
      </c>
      <c r="E128" s="1019">
        <v>0</v>
      </c>
      <c r="F128" s="1020">
        <v>0</v>
      </c>
      <c r="G128" s="1008">
        <f t="shared" si="13"/>
        <v>0</v>
      </c>
      <c r="H128" s="1009">
        <f t="shared" si="14"/>
        <v>0</v>
      </c>
    </row>
    <row r="129" spans="1:10" x14ac:dyDescent="0.2">
      <c r="A129" s="1239"/>
      <c r="B129" s="1039">
        <v>53209990000000</v>
      </c>
      <c r="C129" s="1004" t="s">
        <v>204</v>
      </c>
      <c r="D129" s="1019">
        <v>0</v>
      </c>
      <c r="E129" s="1019">
        <f>E63</f>
        <v>145880</v>
      </c>
      <c r="F129" s="1020">
        <v>6</v>
      </c>
      <c r="G129" s="1008">
        <f t="shared" si="13"/>
        <v>875280</v>
      </c>
      <c r="H129" s="1009">
        <f t="shared" si="14"/>
        <v>875280</v>
      </c>
    </row>
    <row r="130" spans="1:10" x14ac:dyDescent="0.2">
      <c r="A130" s="1239"/>
      <c r="B130" s="1039">
        <v>53210020100000</v>
      </c>
      <c r="C130" s="1004" t="s">
        <v>64</v>
      </c>
      <c r="D130" s="1031">
        <v>3013707</v>
      </c>
      <c r="E130" s="1019">
        <v>0</v>
      </c>
      <c r="F130" s="1020">
        <v>0</v>
      </c>
      <c r="G130" s="1008">
        <f t="shared" si="13"/>
        <v>0</v>
      </c>
      <c r="H130" s="1009">
        <f t="shared" si="14"/>
        <v>3013707</v>
      </c>
    </row>
    <row r="131" spans="1:10" x14ac:dyDescent="0.2">
      <c r="A131" s="1239"/>
      <c r="B131" s="1037"/>
      <c r="C131" s="1000" t="s">
        <v>65</v>
      </c>
      <c r="D131" s="1012">
        <f>SUM(D132:D138)</f>
        <v>300000</v>
      </c>
      <c r="E131" s="1024"/>
      <c r="F131" s="1027"/>
      <c r="G131" s="1001">
        <f>SUM(G132:G138)</f>
        <v>1087800</v>
      </c>
      <c r="H131" s="1038">
        <f>SUM(H132:H138)</f>
        <v>1387800</v>
      </c>
    </row>
    <row r="132" spans="1:10" x14ac:dyDescent="0.2">
      <c r="A132" s="1239"/>
      <c r="B132" s="1039">
        <v>53206030000000</v>
      </c>
      <c r="C132" s="1004" t="s">
        <v>99</v>
      </c>
      <c r="D132" s="1019">
        <v>0</v>
      </c>
      <c r="E132" s="1019">
        <v>0</v>
      </c>
      <c r="F132" s="1020">
        <v>0</v>
      </c>
      <c r="G132" s="1008">
        <f t="shared" ref="G132:G138" si="15">E132*F132</f>
        <v>0</v>
      </c>
      <c r="H132" s="1009">
        <f t="shared" ref="H132:H138" si="16">D132+G132</f>
        <v>0</v>
      </c>
    </row>
    <row r="133" spans="1:10" x14ac:dyDescent="0.2">
      <c r="A133" s="1239"/>
      <c r="B133" s="1039">
        <v>53206040000000</v>
      </c>
      <c r="C133" s="1004" t="s">
        <v>100</v>
      </c>
      <c r="D133" s="1019">
        <v>0</v>
      </c>
      <c r="E133" s="1019">
        <v>0</v>
      </c>
      <c r="F133" s="1020">
        <v>0</v>
      </c>
      <c r="G133" s="1008">
        <f t="shared" si="15"/>
        <v>0</v>
      </c>
      <c r="H133" s="1009">
        <f t="shared" si="16"/>
        <v>0</v>
      </c>
    </row>
    <row r="134" spans="1:10" x14ac:dyDescent="0.2">
      <c r="A134" s="1239"/>
      <c r="B134" s="1039">
        <v>53206060000000</v>
      </c>
      <c r="C134" s="1004" t="s">
        <v>207</v>
      </c>
      <c r="D134" s="1019">
        <v>300000</v>
      </c>
      <c r="E134" s="1019">
        <v>150000</v>
      </c>
      <c r="F134" s="1020">
        <v>1</v>
      </c>
      <c r="G134" s="1008">
        <f t="shared" si="15"/>
        <v>150000</v>
      </c>
      <c r="H134" s="1009">
        <f t="shared" si="16"/>
        <v>450000</v>
      </c>
    </row>
    <row r="135" spans="1:10" x14ac:dyDescent="0.2">
      <c r="A135" s="1239"/>
      <c r="B135" s="1039">
        <v>53206070000000</v>
      </c>
      <c r="C135" s="1004" t="s">
        <v>102</v>
      </c>
      <c r="D135" s="1019">
        <v>0</v>
      </c>
      <c r="E135" s="1019">
        <v>0</v>
      </c>
      <c r="F135" s="1020">
        <v>0</v>
      </c>
      <c r="G135" s="1008">
        <f t="shared" si="15"/>
        <v>0</v>
      </c>
      <c r="H135" s="1009">
        <f t="shared" si="16"/>
        <v>0</v>
      </c>
    </row>
    <row r="136" spans="1:10" x14ac:dyDescent="0.2">
      <c r="A136" s="1239"/>
      <c r="B136" s="1039">
        <v>53206990000000</v>
      </c>
      <c r="C136" s="1004" t="s">
        <v>208</v>
      </c>
      <c r="D136" s="1019">
        <v>0</v>
      </c>
      <c r="E136" s="1019">
        <v>0</v>
      </c>
      <c r="F136" s="1020">
        <v>0</v>
      </c>
      <c r="G136" s="1008">
        <f t="shared" si="15"/>
        <v>0</v>
      </c>
      <c r="H136" s="1009">
        <f t="shared" si="16"/>
        <v>0</v>
      </c>
    </row>
    <row r="137" spans="1:10" x14ac:dyDescent="0.2">
      <c r="A137" s="1239"/>
      <c r="B137" s="1039">
        <v>53208030000000</v>
      </c>
      <c r="C137" s="1004" t="s">
        <v>104</v>
      </c>
      <c r="D137" s="1019">
        <v>0</v>
      </c>
      <c r="E137" s="1019">
        <f>E71</f>
        <v>93780</v>
      </c>
      <c r="F137" s="1020">
        <v>10</v>
      </c>
      <c r="G137" s="1008">
        <f t="shared" si="15"/>
        <v>937800</v>
      </c>
      <c r="H137" s="1009">
        <f t="shared" si="16"/>
        <v>937800</v>
      </c>
    </row>
    <row r="138" spans="1:10" x14ac:dyDescent="0.2">
      <c r="A138" s="1239"/>
      <c r="B138" s="1039">
        <v>53206990000000</v>
      </c>
      <c r="C138" s="1004" t="s">
        <v>232</v>
      </c>
      <c r="D138" s="1019">
        <v>0</v>
      </c>
      <c r="E138" s="1019">
        <v>0</v>
      </c>
      <c r="F138" s="1020">
        <v>0</v>
      </c>
      <c r="G138" s="1008">
        <f t="shared" si="15"/>
        <v>0</v>
      </c>
      <c r="H138" s="1009">
        <f t="shared" si="16"/>
        <v>0</v>
      </c>
    </row>
    <row r="139" spans="1:10" x14ac:dyDescent="0.2">
      <c r="A139" s="1239"/>
      <c r="B139" s="1037"/>
      <c r="C139" s="1000" t="s">
        <v>66</v>
      </c>
      <c r="D139" s="1012">
        <f>SUM(D140)</f>
        <v>0</v>
      </c>
      <c r="E139" s="1024"/>
      <c r="F139" s="1024"/>
      <c r="G139" s="1001">
        <f>SUM(G140:G140)</f>
        <v>1440000</v>
      </c>
      <c r="H139" s="1038">
        <f>SUM(H140:H140)</f>
        <v>1440000</v>
      </c>
    </row>
    <row r="140" spans="1:10" x14ac:dyDescent="0.2">
      <c r="A140" s="1239"/>
      <c r="B140" s="378"/>
      <c r="C140" s="1043" t="s">
        <v>233</v>
      </c>
      <c r="D140" s="988">
        <v>0</v>
      </c>
      <c r="E140" s="988">
        <v>12000</v>
      </c>
      <c r="F140" s="1011">
        <v>120</v>
      </c>
      <c r="G140" s="1008">
        <f t="shared" ref="G140" si="17">E140*F140</f>
        <v>1440000</v>
      </c>
      <c r="H140" s="1044">
        <f t="shared" ref="H140" si="18">D140+G140</f>
        <v>1440000</v>
      </c>
      <c r="I140" s="1032" t="s">
        <v>234</v>
      </c>
      <c r="J140" s="1028">
        <f>+H138+H137+H136+H135+H134+H133+H132+H130+H129+H128+H127+H126+H125+H124+H123+H121+H118+H117+H116+H115+H114+H112+H110+H109+H103+H102+H101+H99+H98+H97+H96+H95+H94+H93+H92+H91+H90+H89</f>
        <v>40153586.674000002</v>
      </c>
    </row>
    <row r="141" spans="1:10" x14ac:dyDescent="0.2">
      <c r="A141" s="1239"/>
      <c r="B141" s="1045"/>
      <c r="C141" s="1046" t="s">
        <v>105</v>
      </c>
      <c r="D141" s="1033">
        <f>SUM(D78,D105)</f>
        <v>160319927.01400003</v>
      </c>
      <c r="E141" s="1034"/>
      <c r="F141" s="1034"/>
      <c r="G141" s="1033">
        <f>SUM(G78,G105)</f>
        <v>51494480.700000003</v>
      </c>
      <c r="H141" s="1047">
        <f>SUM(H78,H105)</f>
        <v>211814407.71399999</v>
      </c>
      <c r="I141" s="1035" t="s">
        <v>235</v>
      </c>
      <c r="J141" s="1036">
        <f>+H141-J140</f>
        <v>171660821.03999999</v>
      </c>
    </row>
    <row r="142" spans="1:10" ht="12.75" customHeight="1" x14ac:dyDescent="0.2">
      <c r="A142" s="1241" t="s">
        <v>82</v>
      </c>
      <c r="B142" s="1247" t="s">
        <v>76</v>
      </c>
      <c r="C142" s="1248" t="s">
        <v>77</v>
      </c>
      <c r="D142" s="1268" t="s">
        <v>78</v>
      </c>
      <c r="E142" s="1270" t="s">
        <v>79</v>
      </c>
      <c r="F142" s="1271"/>
      <c r="G142" s="1272"/>
      <c r="H142" s="1273" t="s">
        <v>283</v>
      </c>
    </row>
    <row r="143" spans="1:10" ht="25.5" x14ac:dyDescent="0.2">
      <c r="A143" s="1242"/>
      <c r="B143" s="1244"/>
      <c r="C143" s="1249"/>
      <c r="D143" s="1269"/>
      <c r="E143" s="1108" t="s">
        <v>67</v>
      </c>
      <c r="F143" s="1109" t="s">
        <v>68</v>
      </c>
      <c r="G143" s="1110" t="s">
        <v>6</v>
      </c>
      <c r="H143" s="1274"/>
    </row>
    <row r="144" spans="1:10" ht="15.75" customHeight="1" x14ac:dyDescent="0.2">
      <c r="A144" s="1238" t="str">
        <f>+'[1]B) Reajuste Tarifas y Ocupación'!A16</f>
        <v>Jardín Infantil Pecesitos de Colores</v>
      </c>
      <c r="B144" s="994"/>
      <c r="C144" s="995" t="s">
        <v>11</v>
      </c>
      <c r="D144" s="996">
        <f>SUM(D145,D150)</f>
        <v>4747282.5319999997</v>
      </c>
      <c r="E144" s="997"/>
      <c r="F144" s="997"/>
      <c r="G144" s="998">
        <f>SUM(G145,G150)</f>
        <v>2889620.452</v>
      </c>
      <c r="H144" s="999">
        <f>SUM(H145,H150)</f>
        <v>7636902.9840000002</v>
      </c>
    </row>
    <row r="145" spans="1:8" x14ac:dyDescent="0.2">
      <c r="A145" s="1239"/>
      <c r="B145" s="1037"/>
      <c r="C145" s="1000" t="s">
        <v>12</v>
      </c>
      <c r="D145" s="1001">
        <f>SUM(D146:D149)</f>
        <v>70537</v>
      </c>
      <c r="E145" s="1002"/>
      <c r="F145" s="1002"/>
      <c r="G145" s="1003">
        <f>SUM(G146:G149)</f>
        <v>260500</v>
      </c>
      <c r="H145" s="1038">
        <f>SUM(H146:H149)</f>
        <v>331037</v>
      </c>
    </row>
    <row r="146" spans="1:8" x14ac:dyDescent="0.2">
      <c r="A146" s="1239"/>
      <c r="B146" s="1039">
        <v>53103040100000</v>
      </c>
      <c r="C146" s="1004" t="s">
        <v>95</v>
      </c>
      <c r="D146" s="1005">
        <f>'[1]F) Remuneraciones'!L51</f>
        <v>0</v>
      </c>
      <c r="E146" s="1006"/>
      <c r="F146" s="1007"/>
      <c r="G146" s="1008">
        <f>E146*F146</f>
        <v>0</v>
      </c>
      <c r="H146" s="1009">
        <f>D146+G146</f>
        <v>0</v>
      </c>
    </row>
    <row r="147" spans="1:8" x14ac:dyDescent="0.2">
      <c r="A147" s="1239"/>
      <c r="B147" s="1039">
        <v>53103050000000</v>
      </c>
      <c r="C147" s="1004" t="s">
        <v>186</v>
      </c>
      <c r="D147" s="988">
        <v>0</v>
      </c>
      <c r="E147" s="1010">
        <v>0</v>
      </c>
      <c r="F147" s="1011">
        <v>0</v>
      </c>
      <c r="G147" s="1008">
        <f>E147*F147</f>
        <v>0</v>
      </c>
      <c r="H147" s="1009">
        <f>D147+G147</f>
        <v>0</v>
      </c>
    </row>
    <row r="148" spans="1:8" x14ac:dyDescent="0.2">
      <c r="A148" s="1239"/>
      <c r="B148" s="376">
        <v>53103040400000</v>
      </c>
      <c r="C148" s="377" t="s">
        <v>187</v>
      </c>
      <c r="D148" s="988">
        <v>70537</v>
      </c>
      <c r="E148" s="1010">
        <v>0</v>
      </c>
      <c r="F148" s="1011">
        <v>0</v>
      </c>
      <c r="G148" s="1008">
        <f>E148*F148</f>
        <v>0</v>
      </c>
      <c r="H148" s="1009">
        <f>D148+G148</f>
        <v>70537</v>
      </c>
    </row>
    <row r="149" spans="1:8" x14ac:dyDescent="0.2">
      <c r="A149" s="1239"/>
      <c r="B149" s="1039">
        <v>53103080010000</v>
      </c>
      <c r="C149" s="1004" t="s">
        <v>188</v>
      </c>
      <c r="D149" s="988">
        <v>0</v>
      </c>
      <c r="E149" s="1010">
        <f>E17</f>
        <v>52100</v>
      </c>
      <c r="F149" s="1011">
        <f>1*5</f>
        <v>5</v>
      </c>
      <c r="G149" s="1008">
        <f>E149*F149</f>
        <v>260500</v>
      </c>
      <c r="H149" s="1009">
        <f>D149+G149</f>
        <v>260500</v>
      </c>
    </row>
    <row r="150" spans="1:8" x14ac:dyDescent="0.2">
      <c r="A150" s="1239"/>
      <c r="B150" s="1037"/>
      <c r="C150" s="1000" t="s">
        <v>16</v>
      </c>
      <c r="D150" s="1012">
        <f>SUM(D151:D170)</f>
        <v>4676745.5319999997</v>
      </c>
      <c r="E150" s="1013"/>
      <c r="F150" s="1013"/>
      <c r="G150" s="1001">
        <f>SUM(G151:G170)</f>
        <v>2629120.452</v>
      </c>
      <c r="H150" s="1038">
        <f>SUM(H151:H170)</f>
        <v>7305865.9840000002</v>
      </c>
    </row>
    <row r="151" spans="1:8" x14ac:dyDescent="0.2">
      <c r="A151" s="1239"/>
      <c r="B151" s="1039">
        <v>53201010100000</v>
      </c>
      <c r="C151" s="1014" t="s">
        <v>189</v>
      </c>
      <c r="D151" s="1015">
        <v>0</v>
      </c>
      <c r="E151" s="1010">
        <v>3500</v>
      </c>
      <c r="F151" s="1011"/>
      <c r="G151" s="1008">
        <f t="shared" ref="G151:G170" si="19">E151*F151</f>
        <v>0</v>
      </c>
      <c r="H151" s="1009">
        <f t="shared" ref="H151:H156" si="20">D151+G151</f>
        <v>0</v>
      </c>
    </row>
    <row r="152" spans="1:8" x14ac:dyDescent="0.2">
      <c r="A152" s="1239"/>
      <c r="B152" s="1039">
        <v>53201010100000</v>
      </c>
      <c r="C152" s="1014" t="s">
        <v>190</v>
      </c>
      <c r="D152" s="1015">
        <v>0</v>
      </c>
      <c r="E152" s="1010">
        <v>0</v>
      </c>
      <c r="F152" s="1011">
        <v>0</v>
      </c>
      <c r="G152" s="1008">
        <f t="shared" si="19"/>
        <v>0</v>
      </c>
      <c r="H152" s="1009">
        <f t="shared" si="20"/>
        <v>0</v>
      </c>
    </row>
    <row r="153" spans="1:8" x14ac:dyDescent="0.2">
      <c r="A153" s="1239"/>
      <c r="B153" s="1039">
        <v>53201010100000</v>
      </c>
      <c r="C153" s="1014" t="s">
        <v>191</v>
      </c>
      <c r="D153" s="1015">
        <v>0</v>
      </c>
      <c r="E153" s="1010">
        <v>0</v>
      </c>
      <c r="F153" s="1011">
        <v>0</v>
      </c>
      <c r="G153" s="1008">
        <f t="shared" si="19"/>
        <v>0</v>
      </c>
      <c r="H153" s="1009">
        <f t="shared" si="20"/>
        <v>0</v>
      </c>
    </row>
    <row r="154" spans="1:8" x14ac:dyDescent="0.2">
      <c r="A154" s="1239"/>
      <c r="B154" s="1039">
        <v>53202010100000</v>
      </c>
      <c r="C154" s="1004" t="s">
        <v>192</v>
      </c>
      <c r="D154" s="1017">
        <v>0</v>
      </c>
      <c r="E154" s="1017">
        <v>0</v>
      </c>
      <c r="F154" s="1040">
        <v>0</v>
      </c>
      <c r="G154" s="1008">
        <f t="shared" si="19"/>
        <v>0</v>
      </c>
      <c r="H154" s="1009">
        <f t="shared" si="20"/>
        <v>0</v>
      </c>
    </row>
    <row r="155" spans="1:8" x14ac:dyDescent="0.2">
      <c r="A155" s="1239"/>
      <c r="B155" s="1039">
        <v>53203010100000</v>
      </c>
      <c r="C155" s="1004" t="s">
        <v>19</v>
      </c>
      <c r="D155" s="1019">
        <v>0</v>
      </c>
      <c r="E155" s="1019">
        <v>0</v>
      </c>
      <c r="F155" s="1020">
        <v>0</v>
      </c>
      <c r="G155" s="1008">
        <f t="shared" si="19"/>
        <v>0</v>
      </c>
      <c r="H155" s="1009">
        <f t="shared" si="20"/>
        <v>0</v>
      </c>
    </row>
    <row r="156" spans="1:8" x14ac:dyDescent="0.2">
      <c r="A156" s="1239"/>
      <c r="B156" s="1039">
        <v>53203030000000</v>
      </c>
      <c r="C156" s="1004" t="s">
        <v>193</v>
      </c>
      <c r="D156" s="1019">
        <v>0</v>
      </c>
      <c r="E156" s="1019">
        <v>0</v>
      </c>
      <c r="F156" s="1020">
        <v>0</v>
      </c>
      <c r="G156" s="1008">
        <f t="shared" si="19"/>
        <v>0</v>
      </c>
      <c r="H156" s="1009">
        <f t="shared" si="20"/>
        <v>0</v>
      </c>
    </row>
    <row r="157" spans="1:8" x14ac:dyDescent="0.2">
      <c r="A157" s="1239"/>
      <c r="B157" s="1039">
        <v>53204030000000</v>
      </c>
      <c r="C157" s="1004" t="s">
        <v>230</v>
      </c>
      <c r="D157" s="1019">
        <v>0</v>
      </c>
      <c r="E157" s="1019">
        <f>E91</f>
        <v>24697.484</v>
      </c>
      <c r="F157" s="1020">
        <v>3</v>
      </c>
      <c r="G157" s="1008">
        <f t="shared" si="19"/>
        <v>74092.452000000005</v>
      </c>
      <c r="H157" s="1009">
        <f>D157+G157</f>
        <v>74092.452000000005</v>
      </c>
    </row>
    <row r="158" spans="1:8" x14ac:dyDescent="0.2">
      <c r="A158" s="1239"/>
      <c r="B158" s="1039">
        <v>53204100100001</v>
      </c>
      <c r="C158" s="1004" t="s">
        <v>22</v>
      </c>
      <c r="D158" s="1019">
        <f>'[1]H) Detalle Datos'!AX76</f>
        <v>2546880</v>
      </c>
      <c r="E158" s="1019">
        <v>0</v>
      </c>
      <c r="F158" s="1020">
        <v>0</v>
      </c>
      <c r="G158" s="1008">
        <f t="shared" si="19"/>
        <v>0</v>
      </c>
      <c r="H158" s="1009">
        <f t="shared" ref="H158:H170" si="21">D158+G158</f>
        <v>2546880</v>
      </c>
    </row>
    <row r="159" spans="1:8" x14ac:dyDescent="0.2">
      <c r="A159" s="1239"/>
      <c r="B159" s="1039">
        <v>53204130100000</v>
      </c>
      <c r="C159" s="1004" t="s">
        <v>195</v>
      </c>
      <c r="D159" s="1019">
        <f>'[1]H) Detalle Datos'!G103+'[1]H) Detalle Datos'!G211</f>
        <v>315760</v>
      </c>
      <c r="E159" s="1019">
        <v>0</v>
      </c>
      <c r="F159" s="1020">
        <v>0</v>
      </c>
      <c r="G159" s="1008">
        <f t="shared" si="19"/>
        <v>0</v>
      </c>
      <c r="H159" s="1009">
        <f t="shared" si="21"/>
        <v>315760</v>
      </c>
    </row>
    <row r="160" spans="1:8" x14ac:dyDescent="0.2">
      <c r="A160" s="1239"/>
      <c r="B160" s="1039">
        <v>53205010100000</v>
      </c>
      <c r="C160" s="1004" t="s">
        <v>24</v>
      </c>
      <c r="D160" s="1019">
        <f>879538*1.6</f>
        <v>1407260.8</v>
      </c>
      <c r="E160" s="1019">
        <v>0</v>
      </c>
      <c r="F160" s="1020">
        <v>0</v>
      </c>
      <c r="G160" s="1008">
        <f t="shared" si="19"/>
        <v>0</v>
      </c>
      <c r="H160" s="1009">
        <f t="shared" si="21"/>
        <v>1407260.8</v>
      </c>
    </row>
    <row r="161" spans="1:8" x14ac:dyDescent="0.2">
      <c r="A161" s="1239"/>
      <c r="B161" s="1039">
        <v>53205020100000</v>
      </c>
      <c r="C161" s="1004" t="s">
        <v>25</v>
      </c>
      <c r="D161" s="1019">
        <f>217757*1.042</f>
        <v>226902.79399999999</v>
      </c>
      <c r="E161" s="1019">
        <v>0</v>
      </c>
      <c r="F161" s="1020">
        <v>0</v>
      </c>
      <c r="G161" s="1008">
        <f t="shared" si="19"/>
        <v>0</v>
      </c>
      <c r="H161" s="1009">
        <f t="shared" si="21"/>
        <v>226902.79399999999</v>
      </c>
    </row>
    <row r="162" spans="1:8" x14ac:dyDescent="0.2">
      <c r="A162" s="1239"/>
      <c r="B162" s="1039">
        <v>53205030100000</v>
      </c>
      <c r="C162" s="1004" t="s">
        <v>26</v>
      </c>
      <c r="D162" s="1019">
        <f>172689*1.042</f>
        <v>179941.93799999999</v>
      </c>
      <c r="E162" s="1019">
        <v>0</v>
      </c>
      <c r="F162" s="1020">
        <v>0</v>
      </c>
      <c r="G162" s="1008">
        <f t="shared" si="19"/>
        <v>0</v>
      </c>
      <c r="H162" s="1009">
        <f t="shared" si="21"/>
        <v>179941.93799999999</v>
      </c>
    </row>
    <row r="163" spans="1:8" x14ac:dyDescent="0.2">
      <c r="A163" s="1239"/>
      <c r="B163" s="1039">
        <v>53205050100000</v>
      </c>
      <c r="C163" s="1004" t="s">
        <v>27</v>
      </c>
      <c r="D163" s="1019">
        <v>0</v>
      </c>
      <c r="E163" s="1019">
        <v>64644</v>
      </c>
      <c r="F163" s="1020">
        <v>12</v>
      </c>
      <c r="G163" s="1008">
        <f t="shared" si="19"/>
        <v>775728</v>
      </c>
      <c r="H163" s="1009">
        <f t="shared" si="21"/>
        <v>775728</v>
      </c>
    </row>
    <row r="164" spans="1:8" x14ac:dyDescent="0.2">
      <c r="A164" s="1239"/>
      <c r="B164" s="1039">
        <v>53205070100000</v>
      </c>
      <c r="C164" s="1004" t="s">
        <v>29</v>
      </c>
      <c r="D164" s="1019">
        <v>0</v>
      </c>
      <c r="E164" s="1019">
        <v>0</v>
      </c>
      <c r="F164" s="1020">
        <v>0</v>
      </c>
      <c r="G164" s="1008">
        <f t="shared" si="19"/>
        <v>0</v>
      </c>
      <c r="H164" s="1009">
        <f t="shared" si="21"/>
        <v>0</v>
      </c>
    </row>
    <row r="165" spans="1:8" x14ac:dyDescent="0.2">
      <c r="A165" s="1239"/>
      <c r="B165" s="1039">
        <v>53208010100000</v>
      </c>
      <c r="C165" s="1004" t="s">
        <v>30</v>
      </c>
      <c r="D165" s="1019">
        <v>0</v>
      </c>
      <c r="E165" s="1019">
        <v>0</v>
      </c>
      <c r="F165" s="1020">
        <v>0</v>
      </c>
      <c r="G165" s="1008">
        <f t="shared" si="19"/>
        <v>0</v>
      </c>
      <c r="H165" s="1009">
        <f t="shared" si="21"/>
        <v>0</v>
      </c>
    </row>
    <row r="166" spans="1:8" x14ac:dyDescent="0.2">
      <c r="A166" s="1239"/>
      <c r="B166" s="1039">
        <v>53208070100001</v>
      </c>
      <c r="C166" s="1004" t="s">
        <v>31</v>
      </c>
      <c r="D166" s="1017">
        <v>0</v>
      </c>
      <c r="E166" s="1017">
        <v>0</v>
      </c>
      <c r="F166" s="1040">
        <v>0</v>
      </c>
      <c r="G166" s="1008">
        <f t="shared" si="19"/>
        <v>0</v>
      </c>
      <c r="H166" s="1009">
        <f t="shared" si="21"/>
        <v>0</v>
      </c>
    </row>
    <row r="167" spans="1:8" x14ac:dyDescent="0.2">
      <c r="A167" s="1239"/>
      <c r="B167" s="1039">
        <v>53208100100001</v>
      </c>
      <c r="C167" s="1004" t="s">
        <v>196</v>
      </c>
      <c r="D167" s="1019">
        <v>0</v>
      </c>
      <c r="E167" s="1019">
        <v>0</v>
      </c>
      <c r="F167" s="1020">
        <v>0</v>
      </c>
      <c r="G167" s="1008">
        <f t="shared" si="19"/>
        <v>0</v>
      </c>
      <c r="H167" s="1009">
        <f t="shared" si="21"/>
        <v>0</v>
      </c>
    </row>
    <row r="168" spans="1:8" x14ac:dyDescent="0.2">
      <c r="A168" s="1239"/>
      <c r="B168" s="1039">
        <v>53211030000000</v>
      </c>
      <c r="C168" s="1004" t="s">
        <v>32</v>
      </c>
      <c r="D168" s="1019">
        <v>0</v>
      </c>
      <c r="E168" s="1019">
        <v>0</v>
      </c>
      <c r="F168" s="1020">
        <v>0</v>
      </c>
      <c r="G168" s="1008">
        <f t="shared" si="19"/>
        <v>0</v>
      </c>
      <c r="H168" s="1009">
        <f t="shared" si="21"/>
        <v>0</v>
      </c>
    </row>
    <row r="169" spans="1:8" x14ac:dyDescent="0.2">
      <c r="A169" s="1239"/>
      <c r="B169" s="1039">
        <v>53212020100000</v>
      </c>
      <c r="C169" s="1004" t="s">
        <v>197</v>
      </c>
      <c r="D169" s="1019">
        <v>0</v>
      </c>
      <c r="E169" s="1019">
        <f>65900*3</f>
        <v>197700</v>
      </c>
      <c r="F169" s="1020">
        <v>9</v>
      </c>
      <c r="G169" s="1008">
        <f t="shared" si="19"/>
        <v>1779300</v>
      </c>
      <c r="H169" s="1009">
        <f t="shared" si="21"/>
        <v>1779300</v>
      </c>
    </row>
    <row r="170" spans="1:8" ht="15.75" customHeight="1" x14ac:dyDescent="0.2">
      <c r="A170" s="1239"/>
      <c r="B170" s="1039">
        <v>53214020000000</v>
      </c>
      <c r="C170" s="1004" t="s">
        <v>198</v>
      </c>
      <c r="D170" s="1017"/>
      <c r="E170" s="1017">
        <v>0</v>
      </c>
      <c r="F170" s="1040">
        <v>0</v>
      </c>
      <c r="G170" s="1008">
        <f t="shared" si="19"/>
        <v>0</v>
      </c>
      <c r="H170" s="1009">
        <f t="shared" si="21"/>
        <v>0</v>
      </c>
    </row>
    <row r="171" spans="1:8" x14ac:dyDescent="0.2">
      <c r="A171" s="1239"/>
      <c r="B171" s="994"/>
      <c r="C171" s="995" t="s">
        <v>34</v>
      </c>
      <c r="D171" s="1022">
        <f>+D172+D177+D179+D188+D197+D205</f>
        <v>1399210.58</v>
      </c>
      <c r="E171" s="1023"/>
      <c r="F171" s="1041"/>
      <c r="G171" s="1022">
        <f>+G172+G177+G179+G188+G197+G205</f>
        <v>5511280.6359999999</v>
      </c>
      <c r="H171" s="1022">
        <f>+H172+H177+H179+H188+H197+H205</f>
        <v>6910491.216</v>
      </c>
    </row>
    <row r="172" spans="1:8" x14ac:dyDescent="0.2">
      <c r="A172" s="1239"/>
      <c r="B172" s="1037"/>
      <c r="C172" s="1000" t="s">
        <v>35</v>
      </c>
      <c r="D172" s="1012">
        <f>SUM(D173:D176)</f>
        <v>52089.58</v>
      </c>
      <c r="E172" s="1024"/>
      <c r="F172" s="1027"/>
      <c r="G172" s="1025">
        <f>SUM(G173:G176)</f>
        <v>1777050.74</v>
      </c>
      <c r="H172" s="1026">
        <f>SUM(H173:H176)</f>
        <v>1829140.32</v>
      </c>
    </row>
    <row r="173" spans="1:8" x14ac:dyDescent="0.2">
      <c r="A173" s="1239"/>
      <c r="B173" s="1039">
        <v>53202020100000</v>
      </c>
      <c r="C173" s="1004" t="s">
        <v>199</v>
      </c>
      <c r="D173" s="988">
        <f>49990*1.042</f>
        <v>52089.58</v>
      </c>
      <c r="E173" s="1010">
        <f>E107</f>
        <v>20829.580000000002</v>
      </c>
      <c r="F173" s="1016">
        <v>3</v>
      </c>
      <c r="G173" s="1008">
        <f>E173*F173</f>
        <v>62488.740000000005</v>
      </c>
      <c r="H173" s="1009">
        <f t="shared" ref="H173:H176" si="22">D173+G173</f>
        <v>114578.32</v>
      </c>
    </row>
    <row r="174" spans="1:8" x14ac:dyDescent="0.2">
      <c r="A174" s="1239"/>
      <c r="B174" s="1039">
        <v>53202030000000</v>
      </c>
      <c r="C174" s="1004" t="s">
        <v>200</v>
      </c>
      <c r="D174" s="988">
        <v>0</v>
      </c>
      <c r="E174" s="1010">
        <f>E108</f>
        <v>54277.78</v>
      </c>
      <c r="F174" s="1016">
        <v>0</v>
      </c>
      <c r="G174" s="1008">
        <f t="shared" ref="G174:G176" si="23">E174*F174</f>
        <v>0</v>
      </c>
      <c r="H174" s="1009">
        <f t="shared" si="22"/>
        <v>0</v>
      </c>
    </row>
    <row r="175" spans="1:8" x14ac:dyDescent="0.2">
      <c r="A175" s="1239"/>
      <c r="B175" s="1039">
        <v>53211020000000</v>
      </c>
      <c r="C175" s="1004" t="s">
        <v>41</v>
      </c>
      <c r="D175" s="1019">
        <v>0</v>
      </c>
      <c r="E175" s="1019">
        <f>'[1]H) Detalle Datos'!F27</f>
        <v>350000</v>
      </c>
      <c r="F175" s="1020">
        <v>1</v>
      </c>
      <c r="G175" s="1008">
        <f t="shared" si="23"/>
        <v>350000</v>
      </c>
      <c r="H175" s="1009">
        <f t="shared" si="22"/>
        <v>350000</v>
      </c>
    </row>
    <row r="176" spans="1:8" x14ac:dyDescent="0.2">
      <c r="A176" s="1239"/>
      <c r="B176" s="1039">
        <v>53101040600000</v>
      </c>
      <c r="C176" s="1004" t="s">
        <v>201</v>
      </c>
      <c r="D176" s="1019">
        <v>0</v>
      </c>
      <c r="E176" s="1019">
        <f>E110</f>
        <v>151618</v>
      </c>
      <c r="F176" s="1020">
        <v>9</v>
      </c>
      <c r="G176" s="1008">
        <f t="shared" si="23"/>
        <v>1364562</v>
      </c>
      <c r="H176" s="1009">
        <f t="shared" si="22"/>
        <v>1364562</v>
      </c>
    </row>
    <row r="177" spans="1:8" x14ac:dyDescent="0.2">
      <c r="A177" s="1239"/>
      <c r="B177" s="1037"/>
      <c r="C177" s="1000" t="s">
        <v>42</v>
      </c>
      <c r="D177" s="1012">
        <f>SUM(D178)</f>
        <v>0</v>
      </c>
      <c r="E177" s="1024"/>
      <c r="F177" s="1027"/>
      <c r="G177" s="1025">
        <f>SUM(G178:G178)</f>
        <v>250505.136</v>
      </c>
      <c r="H177" s="1026">
        <f>SUM(H178:H178)</f>
        <v>250505.136</v>
      </c>
    </row>
    <row r="178" spans="1:8" x14ac:dyDescent="0.2">
      <c r="A178" s="1239"/>
      <c r="B178" s="1042">
        <v>53205990000000</v>
      </c>
      <c r="C178" s="1004" t="s">
        <v>44</v>
      </c>
      <c r="D178" s="1019">
        <v>0</v>
      </c>
      <c r="E178" s="1019">
        <f>20034*1.042</f>
        <v>20875.428</v>
      </c>
      <c r="F178" s="1020">
        <v>12</v>
      </c>
      <c r="G178" s="1008">
        <f t="shared" ref="G178" si="24">E178*F178</f>
        <v>250505.136</v>
      </c>
      <c r="H178" s="1009">
        <f t="shared" ref="H178" si="25">D178+G178</f>
        <v>250505.136</v>
      </c>
    </row>
    <row r="179" spans="1:8" x14ac:dyDescent="0.2">
      <c r="A179" s="1239"/>
      <c r="B179" s="1037"/>
      <c r="C179" s="1000" t="s">
        <v>45</v>
      </c>
      <c r="D179" s="1012">
        <f>SUM(D180:D187)</f>
        <v>839180</v>
      </c>
      <c r="E179" s="1024"/>
      <c r="F179" s="1027"/>
      <c r="G179" s="1001">
        <f>SUM(G180:G187)</f>
        <v>755854.29599999997</v>
      </c>
      <c r="H179" s="1038">
        <f>SUM(H180:H187)</f>
        <v>1595034.2960000001</v>
      </c>
    </row>
    <row r="180" spans="1:8" x14ac:dyDescent="0.2">
      <c r="A180" s="1239"/>
      <c r="B180" s="1039">
        <v>53204010000000</v>
      </c>
      <c r="C180" s="1004" t="s">
        <v>47</v>
      </c>
      <c r="D180" s="1019">
        <v>350000</v>
      </c>
      <c r="E180" s="1019">
        <v>0</v>
      </c>
      <c r="F180" s="1020">
        <v>0</v>
      </c>
      <c r="G180" s="1008">
        <f t="shared" ref="G180:G187" si="26">E180*F180</f>
        <v>0</v>
      </c>
      <c r="H180" s="1009">
        <f t="shared" ref="H180:H187" si="27">D180+G180</f>
        <v>350000</v>
      </c>
    </row>
    <row r="181" spans="1:8" x14ac:dyDescent="0.2">
      <c r="A181" s="1239"/>
      <c r="B181" s="1042">
        <v>53204040200000</v>
      </c>
      <c r="C181" s="1004" t="s">
        <v>231</v>
      </c>
      <c r="D181" s="1019">
        <v>0</v>
      </c>
      <c r="E181" s="1019">
        <f>E49</f>
        <v>22084.148000000001</v>
      </c>
      <c r="F181" s="1020">
        <v>2</v>
      </c>
      <c r="G181" s="1008">
        <f t="shared" si="26"/>
        <v>44168.296000000002</v>
      </c>
      <c r="H181" s="1009">
        <f t="shared" si="27"/>
        <v>44168.296000000002</v>
      </c>
    </row>
    <row r="182" spans="1:8" x14ac:dyDescent="0.2">
      <c r="A182" s="1239"/>
      <c r="B182" s="1039">
        <v>53204060000000</v>
      </c>
      <c r="C182" s="1004" t="s">
        <v>49</v>
      </c>
      <c r="D182" s="1019">
        <v>0</v>
      </c>
      <c r="E182" s="1019">
        <v>0</v>
      </c>
      <c r="F182" s="1020">
        <v>0</v>
      </c>
      <c r="G182" s="1008">
        <f t="shared" si="26"/>
        <v>0</v>
      </c>
      <c r="H182" s="1009">
        <f t="shared" si="27"/>
        <v>0</v>
      </c>
    </row>
    <row r="183" spans="1:8" x14ac:dyDescent="0.2">
      <c r="A183" s="1239"/>
      <c r="B183" s="1039">
        <v>53204070000000</v>
      </c>
      <c r="C183" s="1004" t="s">
        <v>50</v>
      </c>
      <c r="D183" s="1019">
        <v>0</v>
      </c>
      <c r="E183" s="1019">
        <f>53000*1.042</f>
        <v>55226</v>
      </c>
      <c r="F183" s="1020">
        <v>11</v>
      </c>
      <c r="G183" s="1008">
        <f t="shared" si="26"/>
        <v>607486</v>
      </c>
      <c r="H183" s="1009">
        <f t="shared" si="27"/>
        <v>607486</v>
      </c>
    </row>
    <row r="184" spans="1:8" x14ac:dyDescent="0.2">
      <c r="A184" s="1239"/>
      <c r="B184" s="1039">
        <v>53204080000000</v>
      </c>
      <c r="C184" s="1004" t="s">
        <v>51</v>
      </c>
      <c r="D184" s="1019">
        <f>'[1]H) Detalle Datos'!G239</f>
        <v>159980</v>
      </c>
      <c r="E184" s="1019">
        <v>0</v>
      </c>
      <c r="F184" s="1020">
        <v>0</v>
      </c>
      <c r="G184" s="1008">
        <f t="shared" si="26"/>
        <v>0</v>
      </c>
      <c r="H184" s="1009">
        <f t="shared" si="27"/>
        <v>159980</v>
      </c>
    </row>
    <row r="185" spans="1:8" x14ac:dyDescent="0.2">
      <c r="A185" s="1239"/>
      <c r="B185" s="1039">
        <v>53214010000000</v>
      </c>
      <c r="C185" s="1004" t="s">
        <v>52</v>
      </c>
      <c r="D185" s="1021">
        <f>'[1]H) Detalle Datos'!G123</f>
        <v>0</v>
      </c>
      <c r="E185" s="1021"/>
      <c r="F185" s="1018"/>
      <c r="G185" s="1008">
        <f t="shared" si="26"/>
        <v>0</v>
      </c>
      <c r="H185" s="1009">
        <f t="shared" si="27"/>
        <v>0</v>
      </c>
    </row>
    <row r="186" spans="1:8" x14ac:dyDescent="0.2">
      <c r="A186" s="1239"/>
      <c r="B186" s="1039">
        <v>53214040000000</v>
      </c>
      <c r="C186" s="1004" t="s">
        <v>202</v>
      </c>
      <c r="D186" s="1021">
        <v>0</v>
      </c>
      <c r="E186" s="1021">
        <f>50000*1.042</f>
        <v>52100</v>
      </c>
      <c r="F186" s="1018">
        <v>2</v>
      </c>
      <c r="G186" s="1008">
        <f t="shared" si="26"/>
        <v>104200</v>
      </c>
      <c r="H186" s="1009">
        <f t="shared" si="27"/>
        <v>104200</v>
      </c>
    </row>
    <row r="187" spans="1:8" x14ac:dyDescent="0.2">
      <c r="A187" s="1239"/>
      <c r="B187" s="376">
        <v>53204020100000</v>
      </c>
      <c r="C187" s="1004" t="s">
        <v>194</v>
      </c>
      <c r="D187" s="1019">
        <f>'[1]H) Detalle Datos'!G192</f>
        <v>329200</v>
      </c>
      <c r="E187" s="1019">
        <v>0</v>
      </c>
      <c r="F187" s="1020">
        <v>0</v>
      </c>
      <c r="G187" s="1008">
        <f t="shared" si="26"/>
        <v>0</v>
      </c>
      <c r="H187" s="1009">
        <f t="shared" si="27"/>
        <v>329200</v>
      </c>
    </row>
    <row r="188" spans="1:8" x14ac:dyDescent="0.2">
      <c r="A188" s="1239"/>
      <c r="B188" s="1037"/>
      <c r="C188" s="1000" t="s">
        <v>55</v>
      </c>
      <c r="D188" s="1012">
        <f>SUM(D189:D196)</f>
        <v>507941</v>
      </c>
      <c r="E188" s="1024"/>
      <c r="F188" s="1027"/>
      <c r="G188" s="1001">
        <f>SUM(G189:G196)</f>
        <v>2361870.4640000002</v>
      </c>
      <c r="H188" s="1038">
        <f>SUM(H189:H196)</f>
        <v>2869811.4640000002</v>
      </c>
    </row>
    <row r="189" spans="1:8" x14ac:dyDescent="0.2">
      <c r="A189" s="1239"/>
      <c r="B189" s="1039">
        <v>53207010000000</v>
      </c>
      <c r="C189" s="1004" t="s">
        <v>56</v>
      </c>
      <c r="D189" s="1019">
        <v>0</v>
      </c>
      <c r="E189" s="1019">
        <v>0</v>
      </c>
      <c r="F189" s="1020">
        <v>0</v>
      </c>
      <c r="G189" s="1008">
        <f t="shared" ref="G189:G196" si="28">E189*F189</f>
        <v>0</v>
      </c>
      <c r="H189" s="1009">
        <f t="shared" ref="H189:H196" si="29">D189+G189</f>
        <v>0</v>
      </c>
    </row>
    <row r="190" spans="1:8" x14ac:dyDescent="0.2">
      <c r="A190" s="1239"/>
      <c r="B190" s="1039">
        <v>53207020000000</v>
      </c>
      <c r="C190" s="1004" t="s">
        <v>57</v>
      </c>
      <c r="D190" s="1019">
        <v>0</v>
      </c>
      <c r="E190" s="1019">
        <v>0</v>
      </c>
      <c r="F190" s="1020">
        <v>0</v>
      </c>
      <c r="G190" s="1008">
        <f t="shared" si="28"/>
        <v>0</v>
      </c>
      <c r="H190" s="1009">
        <f t="shared" si="29"/>
        <v>0</v>
      </c>
    </row>
    <row r="191" spans="1:8" x14ac:dyDescent="0.2">
      <c r="A191" s="1239"/>
      <c r="B191" s="1039">
        <v>53208020000000</v>
      </c>
      <c r="C191" s="1004" t="s">
        <v>185</v>
      </c>
      <c r="D191" s="1019">
        <v>0</v>
      </c>
      <c r="E191" s="1019">
        <f>110797*1.042</f>
        <v>115450.474</v>
      </c>
      <c r="F191" s="1020">
        <v>12</v>
      </c>
      <c r="G191" s="1008">
        <f t="shared" si="28"/>
        <v>1385405.6880000001</v>
      </c>
      <c r="H191" s="1009">
        <f t="shared" si="29"/>
        <v>1385405.6880000001</v>
      </c>
    </row>
    <row r="192" spans="1:8" x14ac:dyDescent="0.2">
      <c r="A192" s="1239"/>
      <c r="B192" s="1039">
        <v>53208990000000</v>
      </c>
      <c r="C192" s="1004" t="s">
        <v>203</v>
      </c>
      <c r="D192" s="1019">
        <v>0</v>
      </c>
      <c r="E192" s="1019">
        <f>E126</f>
        <v>142709.19400000002</v>
      </c>
      <c r="F192" s="1020">
        <v>4</v>
      </c>
      <c r="G192" s="1008">
        <f t="shared" si="28"/>
        <v>570836.77600000007</v>
      </c>
      <c r="H192" s="1009">
        <f t="shared" si="29"/>
        <v>570836.77600000007</v>
      </c>
    </row>
    <row r="193" spans="1:15" x14ac:dyDescent="0.2">
      <c r="A193" s="1239"/>
      <c r="B193" s="376">
        <v>53210020300000</v>
      </c>
      <c r="C193" s="1004" t="s">
        <v>205</v>
      </c>
      <c r="D193" s="1028">
        <v>0</v>
      </c>
      <c r="E193" s="1029">
        <v>6326</v>
      </c>
      <c r="F193" s="1030">
        <f>+'[1]B) Reajuste Tarifas y Ocupación'!I40</f>
        <v>18</v>
      </c>
      <c r="G193" s="1008">
        <f t="shared" si="28"/>
        <v>113868</v>
      </c>
      <c r="H193" s="1009">
        <f t="shared" si="29"/>
        <v>113868</v>
      </c>
    </row>
    <row r="194" spans="1:15" x14ac:dyDescent="0.2">
      <c r="A194" s="1239"/>
      <c r="B194" s="1039">
        <v>53208990000000</v>
      </c>
      <c r="C194" s="1004" t="s">
        <v>206</v>
      </c>
      <c r="D194" s="1019">
        <v>0</v>
      </c>
      <c r="E194" s="1019">
        <v>0</v>
      </c>
      <c r="F194" s="1020">
        <v>0</v>
      </c>
      <c r="G194" s="1008">
        <f t="shared" si="28"/>
        <v>0</v>
      </c>
      <c r="H194" s="1009">
        <f t="shared" si="29"/>
        <v>0</v>
      </c>
    </row>
    <row r="195" spans="1:15" x14ac:dyDescent="0.2">
      <c r="A195" s="1239"/>
      <c r="B195" s="1039">
        <v>53209990000000</v>
      </c>
      <c r="C195" s="1004" t="s">
        <v>204</v>
      </c>
      <c r="D195" s="1019">
        <v>0</v>
      </c>
      <c r="E195" s="1019">
        <f>E129</f>
        <v>145880</v>
      </c>
      <c r="F195" s="1020">
        <v>2</v>
      </c>
      <c r="G195" s="1008">
        <f t="shared" si="28"/>
        <v>291760</v>
      </c>
      <c r="H195" s="1009">
        <f t="shared" si="29"/>
        <v>291760</v>
      </c>
    </row>
    <row r="196" spans="1:15" x14ac:dyDescent="0.2">
      <c r="A196" s="1239"/>
      <c r="B196" s="1039">
        <v>53210020100000</v>
      </c>
      <c r="C196" s="1004" t="s">
        <v>64</v>
      </c>
      <c r="D196" s="1031">
        <v>507941</v>
      </c>
      <c r="E196" s="1019">
        <v>0</v>
      </c>
      <c r="F196" s="1020">
        <v>0</v>
      </c>
      <c r="G196" s="1008">
        <f t="shared" si="28"/>
        <v>0</v>
      </c>
      <c r="H196" s="1009">
        <f t="shared" si="29"/>
        <v>507941</v>
      </c>
    </row>
    <row r="197" spans="1:15" x14ac:dyDescent="0.2">
      <c r="A197" s="1239"/>
      <c r="B197" s="1037"/>
      <c r="C197" s="1000" t="s">
        <v>65</v>
      </c>
      <c r="D197" s="1012">
        <f>SUM(D198:D204)</f>
        <v>0</v>
      </c>
      <c r="E197" s="1024"/>
      <c r="F197" s="1027"/>
      <c r="G197" s="1001">
        <f>SUM(G198:G204)</f>
        <v>150000</v>
      </c>
      <c r="H197" s="1038">
        <f>SUM(H198:H204)</f>
        <v>150000</v>
      </c>
    </row>
    <row r="198" spans="1:15" x14ac:dyDescent="0.2">
      <c r="A198" s="1239"/>
      <c r="B198" s="1039">
        <v>53206030000000</v>
      </c>
      <c r="C198" s="1004" t="s">
        <v>99</v>
      </c>
      <c r="D198" s="1019">
        <v>0</v>
      </c>
      <c r="E198" s="1019">
        <v>0</v>
      </c>
      <c r="F198" s="1020">
        <v>0</v>
      </c>
      <c r="G198" s="1008">
        <f t="shared" ref="G198:G204" si="30">E198*F198</f>
        <v>0</v>
      </c>
      <c r="H198" s="1009">
        <f t="shared" ref="H198:H204" si="31">D198+G198</f>
        <v>0</v>
      </c>
    </row>
    <row r="199" spans="1:15" x14ac:dyDescent="0.2">
      <c r="A199" s="1239"/>
      <c r="B199" s="1039">
        <v>53206040000000</v>
      </c>
      <c r="C199" s="1004" t="s">
        <v>100</v>
      </c>
      <c r="D199" s="1019">
        <v>0</v>
      </c>
      <c r="E199" s="1019">
        <v>0</v>
      </c>
      <c r="F199" s="1020">
        <v>0</v>
      </c>
      <c r="G199" s="1008">
        <f t="shared" si="30"/>
        <v>0</v>
      </c>
      <c r="H199" s="1009">
        <f t="shared" si="31"/>
        <v>0</v>
      </c>
    </row>
    <row r="200" spans="1:15" x14ac:dyDescent="0.2">
      <c r="A200" s="1239"/>
      <c r="B200" s="1039">
        <v>53206060000000</v>
      </c>
      <c r="C200" s="1004" t="s">
        <v>207</v>
      </c>
      <c r="D200" s="1019">
        <v>0</v>
      </c>
      <c r="E200" s="1019">
        <v>0</v>
      </c>
      <c r="F200" s="1020">
        <v>0</v>
      </c>
      <c r="G200" s="1008">
        <f t="shared" si="30"/>
        <v>0</v>
      </c>
      <c r="H200" s="1009">
        <f t="shared" si="31"/>
        <v>0</v>
      </c>
    </row>
    <row r="201" spans="1:15" x14ac:dyDescent="0.2">
      <c r="A201" s="1239"/>
      <c r="B201" s="1039">
        <v>53206070000000</v>
      </c>
      <c r="C201" s="1004" t="s">
        <v>102</v>
      </c>
      <c r="D201" s="1019">
        <v>0</v>
      </c>
      <c r="E201" s="1019">
        <v>0</v>
      </c>
      <c r="F201" s="1020">
        <v>0</v>
      </c>
      <c r="G201" s="1008">
        <f t="shared" si="30"/>
        <v>0</v>
      </c>
      <c r="H201" s="1009">
        <f t="shared" si="31"/>
        <v>0</v>
      </c>
    </row>
    <row r="202" spans="1:15" x14ac:dyDescent="0.2">
      <c r="A202" s="1239"/>
      <c r="B202" s="1039">
        <v>53206990000000</v>
      </c>
      <c r="C202" s="1004" t="s">
        <v>208</v>
      </c>
      <c r="D202" s="1019">
        <v>0</v>
      </c>
      <c r="E202" s="1019">
        <v>0</v>
      </c>
      <c r="F202" s="1020">
        <v>0</v>
      </c>
      <c r="G202" s="1008">
        <f t="shared" si="30"/>
        <v>0</v>
      </c>
      <c r="H202" s="1009">
        <f t="shared" si="31"/>
        <v>0</v>
      </c>
    </row>
    <row r="203" spans="1:15" x14ac:dyDescent="0.2">
      <c r="A203" s="1239"/>
      <c r="B203" s="1039">
        <v>53208030000000</v>
      </c>
      <c r="C203" s="1004" t="s">
        <v>104</v>
      </c>
      <c r="D203" s="1019">
        <v>0</v>
      </c>
      <c r="E203" s="1019">
        <v>30000</v>
      </c>
      <c r="F203" s="1020">
        <v>5</v>
      </c>
      <c r="G203" s="1008">
        <f t="shared" si="30"/>
        <v>150000</v>
      </c>
      <c r="H203" s="1009">
        <f t="shared" si="31"/>
        <v>150000</v>
      </c>
    </row>
    <row r="204" spans="1:15" x14ac:dyDescent="0.2">
      <c r="A204" s="1239"/>
      <c r="B204" s="1039">
        <v>53206990000000</v>
      </c>
      <c r="C204" s="1004" t="s">
        <v>232</v>
      </c>
      <c r="D204" s="1019">
        <v>0</v>
      </c>
      <c r="E204" s="1019">
        <v>0</v>
      </c>
      <c r="F204" s="1020">
        <v>0</v>
      </c>
      <c r="G204" s="1008">
        <f t="shared" si="30"/>
        <v>0</v>
      </c>
      <c r="H204" s="1009">
        <f t="shared" si="31"/>
        <v>0</v>
      </c>
    </row>
    <row r="205" spans="1:15" x14ac:dyDescent="0.2">
      <c r="A205" s="1239"/>
      <c r="B205" s="1037"/>
      <c r="C205" s="1000" t="s">
        <v>66</v>
      </c>
      <c r="D205" s="1012">
        <f>SUM(D206)</f>
        <v>0</v>
      </c>
      <c r="E205" s="1024"/>
      <c r="F205" s="1024"/>
      <c r="G205" s="1001">
        <f>SUM(G206:G206)</f>
        <v>216000</v>
      </c>
      <c r="H205" s="1038">
        <f>SUM(H206:H206)</f>
        <v>216000</v>
      </c>
    </row>
    <row r="206" spans="1:15" x14ac:dyDescent="0.2">
      <c r="A206" s="1239"/>
      <c r="B206" s="378"/>
      <c r="C206" s="1043" t="s">
        <v>233</v>
      </c>
      <c r="D206" s="988">
        <v>0</v>
      </c>
      <c r="E206" s="988">
        <v>12000</v>
      </c>
      <c r="F206" s="1011">
        <v>18</v>
      </c>
      <c r="G206" s="1008">
        <f t="shared" ref="G206" si="32">E206*F206</f>
        <v>216000</v>
      </c>
      <c r="H206" s="1044">
        <f t="shared" ref="H206" si="33">D206+G206</f>
        <v>216000</v>
      </c>
      <c r="I206" s="1032" t="s">
        <v>234</v>
      </c>
      <c r="J206" s="1028">
        <f>+H204+H203+H202+H201+H200+H199+H198+H196+H195+H194+H193+H192+H191+H190+H189+H187+H184+H183+H182+H181+H180+H178+H176+H175+H169+H168+H167+H165+H164+H163+H162+H161+H160+H159+H158+H157+H156+H155</f>
        <v>13781578.879999999</v>
      </c>
    </row>
    <row r="207" spans="1:15" x14ac:dyDescent="0.2">
      <c r="A207" s="1239"/>
      <c r="B207" s="1045"/>
      <c r="C207" s="1046" t="s">
        <v>105</v>
      </c>
      <c r="D207" s="1033">
        <f>SUM(D144,D171)</f>
        <v>6146493.1119999997</v>
      </c>
      <c r="E207" s="1034"/>
      <c r="F207" s="1034"/>
      <c r="G207" s="1033">
        <f>SUM(G144,G171)</f>
        <v>8400901.0879999995</v>
      </c>
      <c r="H207" s="1047">
        <f>SUM(H144,H171)</f>
        <v>14547394.199999999</v>
      </c>
      <c r="I207" s="1035" t="s">
        <v>235</v>
      </c>
      <c r="J207" s="1036">
        <f>+H207-J206</f>
        <v>765815.3200000003</v>
      </c>
    </row>
    <row r="208" spans="1:15" ht="12.75" customHeight="1" x14ac:dyDescent="0.2">
      <c r="A208" s="1241" t="s">
        <v>82</v>
      </c>
      <c r="B208" s="1247" t="s">
        <v>76</v>
      </c>
      <c r="C208" s="1250" t="s">
        <v>77</v>
      </c>
      <c r="D208" s="1252" t="s">
        <v>78</v>
      </c>
      <c r="E208" s="1288" t="s">
        <v>79</v>
      </c>
      <c r="F208" s="1288"/>
      <c r="G208" s="1288"/>
      <c r="H208" s="1286" t="s">
        <v>283</v>
      </c>
      <c r="K208" s="1278" t="s">
        <v>211</v>
      </c>
      <c r="L208" s="1280" t="s">
        <v>209</v>
      </c>
      <c r="M208" s="1282" t="s">
        <v>270</v>
      </c>
      <c r="N208" s="1282" t="s">
        <v>271</v>
      </c>
      <c r="O208" s="1282" t="s">
        <v>210</v>
      </c>
    </row>
    <row r="209" spans="1:15" ht="25.5" x14ac:dyDescent="0.2">
      <c r="A209" s="1242"/>
      <c r="B209" s="1244"/>
      <c r="C209" s="1251"/>
      <c r="D209" s="1252"/>
      <c r="E209" s="1049" t="s">
        <v>67</v>
      </c>
      <c r="F209" s="1050" t="s">
        <v>68</v>
      </c>
      <c r="G209" s="1048" t="s">
        <v>6</v>
      </c>
      <c r="H209" s="1287"/>
      <c r="K209" s="1279"/>
      <c r="L209" s="1281"/>
      <c r="M209" s="1283"/>
      <c r="N209" s="1283"/>
      <c r="O209" s="1283"/>
    </row>
    <row r="210" spans="1:15" ht="15.75" customHeight="1" x14ac:dyDescent="0.2">
      <c r="A210" s="1238" t="str">
        <f>+'[1]B) Reajuste Tarifas y Ocupación'!A17</f>
        <v>Jardín Infantil Caracolito de Mar</v>
      </c>
      <c r="B210" s="994"/>
      <c r="C210" s="995" t="s">
        <v>11</v>
      </c>
      <c r="D210" s="996">
        <f>SUM(D211,D216)</f>
        <v>6992357.1999999993</v>
      </c>
      <c r="E210" s="997"/>
      <c r="F210" s="997"/>
      <c r="G210" s="998">
        <f>SUM(G211,G216)</f>
        <v>8792520</v>
      </c>
      <c r="H210" s="999">
        <f>SUM(H211,H216)</f>
        <v>15784877.200000001</v>
      </c>
      <c r="K210" s="995" t="s">
        <v>11</v>
      </c>
      <c r="L210" s="1292"/>
      <c r="M210" s="1292"/>
      <c r="N210" s="1292"/>
      <c r="O210" s="1293"/>
    </row>
    <row r="211" spans="1:15" x14ac:dyDescent="0.2">
      <c r="A211" s="1239"/>
      <c r="B211" s="1037"/>
      <c r="C211" s="1000" t="s">
        <v>12</v>
      </c>
      <c r="D211" s="1001">
        <f>SUM(D212:D215)</f>
        <v>0</v>
      </c>
      <c r="E211" s="1002"/>
      <c r="F211" s="1002"/>
      <c r="G211" s="1003">
        <f>SUM(G212:G215)</f>
        <v>521000</v>
      </c>
      <c r="H211" s="1038">
        <f>SUM(H212:H215)</f>
        <v>521000</v>
      </c>
      <c r="K211" s="1000" t="s">
        <v>16</v>
      </c>
      <c r="L211" s="1289"/>
      <c r="M211" s="1290"/>
      <c r="N211" s="1290"/>
      <c r="O211" s="1291"/>
    </row>
    <row r="212" spans="1:15" x14ac:dyDescent="0.2">
      <c r="A212" s="1239"/>
      <c r="B212" s="1039">
        <v>53103040100000</v>
      </c>
      <c r="C212" s="1004" t="s">
        <v>95</v>
      </c>
      <c r="D212" s="1005">
        <f>'[1]F) Remuneraciones'!L57</f>
        <v>0</v>
      </c>
      <c r="E212" s="1006"/>
      <c r="F212" s="1007"/>
      <c r="G212" s="1008">
        <f>E212*F212</f>
        <v>0</v>
      </c>
      <c r="H212" s="1009">
        <f>D212+G212</f>
        <v>0</v>
      </c>
      <c r="K212" s="1056" t="s">
        <v>192</v>
      </c>
      <c r="L212" s="1051">
        <v>0</v>
      </c>
      <c r="M212" s="1052">
        <f t="shared" ref="M212:M228" si="34">+L212*0.6</f>
        <v>0</v>
      </c>
      <c r="N212" s="1052"/>
      <c r="O212" s="1053">
        <f t="shared" ref="O212:O228" si="35">+L212*0.4</f>
        <v>0</v>
      </c>
    </row>
    <row r="213" spans="1:15" x14ac:dyDescent="0.2">
      <c r="A213" s="1239"/>
      <c r="B213" s="1039">
        <v>53103050000000</v>
      </c>
      <c r="C213" s="1004" t="s">
        <v>186</v>
      </c>
      <c r="D213" s="988">
        <v>0</v>
      </c>
      <c r="E213" s="1010">
        <v>0</v>
      </c>
      <c r="F213" s="1011">
        <v>0</v>
      </c>
      <c r="G213" s="1008">
        <f>E213*F213</f>
        <v>0</v>
      </c>
      <c r="H213" s="1009">
        <f>D213+G213</f>
        <v>0</v>
      </c>
      <c r="K213" s="1055" t="s">
        <v>19</v>
      </c>
      <c r="L213" s="1054">
        <v>0</v>
      </c>
      <c r="M213" s="1052">
        <f t="shared" si="34"/>
        <v>0</v>
      </c>
      <c r="N213" s="1052"/>
      <c r="O213" s="1053">
        <f t="shared" si="35"/>
        <v>0</v>
      </c>
    </row>
    <row r="214" spans="1:15" x14ac:dyDescent="0.2">
      <c r="A214" s="1239"/>
      <c r="B214" s="376">
        <v>53103040400000</v>
      </c>
      <c r="C214" s="377" t="s">
        <v>187</v>
      </c>
      <c r="D214" s="988">
        <v>0</v>
      </c>
      <c r="E214" s="1010">
        <v>0</v>
      </c>
      <c r="F214" s="1011">
        <v>0</v>
      </c>
      <c r="G214" s="1008">
        <f>E214*F214</f>
        <v>0</v>
      </c>
      <c r="H214" s="1009">
        <f>D214+G214</f>
        <v>0</v>
      </c>
      <c r="K214" s="1055" t="s">
        <v>193</v>
      </c>
      <c r="L214" s="1054">
        <v>0</v>
      </c>
      <c r="M214" s="1052">
        <f t="shared" si="34"/>
        <v>0</v>
      </c>
      <c r="N214" s="1052"/>
      <c r="O214" s="1053">
        <f t="shared" si="35"/>
        <v>0</v>
      </c>
    </row>
    <row r="215" spans="1:15" x14ac:dyDescent="0.2">
      <c r="A215" s="1239"/>
      <c r="B215" s="1039">
        <v>53103080010000</v>
      </c>
      <c r="C215" s="1004" t="s">
        <v>188</v>
      </c>
      <c r="D215" s="988">
        <v>0</v>
      </c>
      <c r="E215" s="1010">
        <f>50000*1.042</f>
        <v>52100</v>
      </c>
      <c r="F215" s="1011">
        <f>2*5</f>
        <v>10</v>
      </c>
      <c r="G215" s="1008">
        <f>E215*F215</f>
        <v>521000</v>
      </c>
      <c r="H215" s="1009">
        <f>D215+G215</f>
        <v>521000</v>
      </c>
      <c r="K215" s="1055" t="s">
        <v>230</v>
      </c>
      <c r="L215" s="1054">
        <f>24697*6</f>
        <v>148182</v>
      </c>
      <c r="M215" s="1052">
        <f t="shared" si="34"/>
        <v>88909.2</v>
      </c>
      <c r="N215" s="1052"/>
      <c r="O215" s="1053">
        <f t="shared" si="35"/>
        <v>59272.800000000003</v>
      </c>
    </row>
    <row r="216" spans="1:15" x14ac:dyDescent="0.2">
      <c r="A216" s="1239"/>
      <c r="B216" s="1037"/>
      <c r="C216" s="1000" t="s">
        <v>16</v>
      </c>
      <c r="D216" s="1012">
        <f>SUM(D217:D236)</f>
        <v>6992357.1999999993</v>
      </c>
      <c r="E216" s="1013"/>
      <c r="F216" s="1013"/>
      <c r="G216" s="1001">
        <f>SUM(G217:G236)</f>
        <v>8271520</v>
      </c>
      <c r="H216" s="1038">
        <f>SUM(H217:H236)</f>
        <v>15263877.200000001</v>
      </c>
      <c r="K216" s="1055" t="s">
        <v>22</v>
      </c>
      <c r="L216" s="1054">
        <f>'[1]H) Detalle Datos'!AD74</f>
        <v>1481890</v>
      </c>
      <c r="M216" s="1052">
        <f t="shared" si="34"/>
        <v>889134</v>
      </c>
      <c r="N216" s="1052"/>
      <c r="O216" s="1053">
        <f t="shared" si="35"/>
        <v>592756</v>
      </c>
    </row>
    <row r="217" spans="1:15" x14ac:dyDescent="0.2">
      <c r="A217" s="1239"/>
      <c r="B217" s="1039">
        <v>53201010100000</v>
      </c>
      <c r="C217" s="1014" t="s">
        <v>189</v>
      </c>
      <c r="D217" s="1015">
        <v>0</v>
      </c>
      <c r="E217" s="1010">
        <f>E85</f>
        <v>1989</v>
      </c>
      <c r="F217" s="1011">
        <f>0*20*11</f>
        <v>0</v>
      </c>
      <c r="G217" s="1008">
        <f t="shared" ref="G217:G236" si="36">E217*F217</f>
        <v>0</v>
      </c>
      <c r="H217" s="1009">
        <f t="shared" ref="H217:H222" si="37">D217+G217</f>
        <v>0</v>
      </c>
      <c r="K217" s="1055" t="s">
        <v>195</v>
      </c>
      <c r="L217" s="1054">
        <f>'[1]H) Detalle Datos'!AE103+'[1]H) Detalle Datos'!AE207</f>
        <v>575275</v>
      </c>
      <c r="M217" s="1052">
        <f t="shared" si="34"/>
        <v>345165</v>
      </c>
      <c r="N217" s="1052"/>
      <c r="O217" s="1053">
        <f t="shared" si="35"/>
        <v>230110</v>
      </c>
    </row>
    <row r="218" spans="1:15" x14ac:dyDescent="0.2">
      <c r="A218" s="1239"/>
      <c r="B218" s="1039">
        <v>53201010100000</v>
      </c>
      <c r="C218" s="1014" t="s">
        <v>190</v>
      </c>
      <c r="D218" s="1015">
        <v>0</v>
      </c>
      <c r="E218" s="1010">
        <f>E86</f>
        <v>1146.2</v>
      </c>
      <c r="F218" s="1011">
        <f>34*20*10</f>
        <v>6800</v>
      </c>
      <c r="G218" s="1008">
        <f t="shared" si="36"/>
        <v>7794160</v>
      </c>
      <c r="H218" s="1009">
        <f t="shared" si="37"/>
        <v>7794160</v>
      </c>
      <c r="K218" s="1055" t="s">
        <v>24</v>
      </c>
      <c r="L218" s="1054">
        <f>1701105*1.6</f>
        <v>2721768</v>
      </c>
      <c r="M218" s="1052">
        <f t="shared" si="34"/>
        <v>1633060.8</v>
      </c>
      <c r="N218" s="1052"/>
      <c r="O218" s="1053">
        <f t="shared" si="35"/>
        <v>1088707.2</v>
      </c>
    </row>
    <row r="219" spans="1:15" x14ac:dyDescent="0.2">
      <c r="A219" s="1239"/>
      <c r="B219" s="1039">
        <v>53201010100000</v>
      </c>
      <c r="C219" s="1014" t="s">
        <v>191</v>
      </c>
      <c r="D219" s="1015">
        <v>0</v>
      </c>
      <c r="E219" s="1010">
        <f>E217</f>
        <v>1989</v>
      </c>
      <c r="F219" s="1011">
        <f>2*20*6</f>
        <v>240</v>
      </c>
      <c r="G219" s="1008">
        <f t="shared" si="36"/>
        <v>477360</v>
      </c>
      <c r="H219" s="1009">
        <f t="shared" si="37"/>
        <v>477360</v>
      </c>
      <c r="K219" s="1055" t="s">
        <v>25</v>
      </c>
      <c r="L219" s="1054">
        <v>1496495</v>
      </c>
      <c r="M219" s="1052">
        <f t="shared" si="34"/>
        <v>897897</v>
      </c>
      <c r="N219" s="1052"/>
      <c r="O219" s="1053">
        <f t="shared" si="35"/>
        <v>598598</v>
      </c>
    </row>
    <row r="220" spans="1:15" x14ac:dyDescent="0.2">
      <c r="A220" s="1239"/>
      <c r="B220" s="1039">
        <v>53202010100000</v>
      </c>
      <c r="C220" s="1004" t="s">
        <v>192</v>
      </c>
      <c r="D220" s="1017">
        <f>+O212</f>
        <v>0</v>
      </c>
      <c r="E220" s="1017">
        <v>0</v>
      </c>
      <c r="F220" s="1040">
        <v>0</v>
      </c>
      <c r="G220" s="1008">
        <f t="shared" si="36"/>
        <v>0</v>
      </c>
      <c r="H220" s="1009">
        <f t="shared" si="37"/>
        <v>0</v>
      </c>
      <c r="K220" s="1055" t="s">
        <v>26</v>
      </c>
      <c r="L220" s="1054">
        <v>3087195</v>
      </c>
      <c r="M220" s="1052">
        <f t="shared" si="34"/>
        <v>1852317</v>
      </c>
      <c r="N220" s="1052"/>
      <c r="O220" s="1053">
        <f t="shared" si="35"/>
        <v>1234878</v>
      </c>
    </row>
    <row r="221" spans="1:15" x14ac:dyDescent="0.2">
      <c r="A221" s="1239"/>
      <c r="B221" s="1039">
        <v>53203010100000</v>
      </c>
      <c r="C221" s="1004" t="s">
        <v>19</v>
      </c>
      <c r="D221" s="1019">
        <f>+O213</f>
        <v>0</v>
      </c>
      <c r="E221" s="1019">
        <v>0</v>
      </c>
      <c r="F221" s="1020">
        <v>0</v>
      </c>
      <c r="G221" s="1008">
        <f t="shared" si="36"/>
        <v>0</v>
      </c>
      <c r="H221" s="1009">
        <f t="shared" si="37"/>
        <v>0</v>
      </c>
      <c r="K221" s="1055" t="s">
        <v>27</v>
      </c>
      <c r="L221" s="1054">
        <v>440316</v>
      </c>
      <c r="M221" s="1052">
        <f t="shared" si="34"/>
        <v>264189.59999999998</v>
      </c>
      <c r="N221" s="1052"/>
      <c r="O221" s="1053">
        <f t="shared" si="35"/>
        <v>176126.40000000002</v>
      </c>
    </row>
    <row r="222" spans="1:15" x14ac:dyDescent="0.2">
      <c r="A222" s="1239"/>
      <c r="B222" s="1039">
        <v>53203030000000</v>
      </c>
      <c r="C222" s="1004" t="s">
        <v>193</v>
      </c>
      <c r="D222" s="1019">
        <f>+O214</f>
        <v>0</v>
      </c>
      <c r="E222" s="1019">
        <v>0</v>
      </c>
      <c r="F222" s="1020">
        <v>0</v>
      </c>
      <c r="G222" s="1008">
        <f t="shared" si="36"/>
        <v>0</v>
      </c>
      <c r="H222" s="1009">
        <f t="shared" si="37"/>
        <v>0</v>
      </c>
      <c r="K222" s="1055" t="s">
        <v>29</v>
      </c>
      <c r="L222" s="1054">
        <v>0</v>
      </c>
      <c r="M222" s="1052">
        <f t="shared" si="34"/>
        <v>0</v>
      </c>
      <c r="N222" s="1052"/>
      <c r="O222" s="1053">
        <f t="shared" si="35"/>
        <v>0</v>
      </c>
    </row>
    <row r="223" spans="1:15" x14ac:dyDescent="0.2">
      <c r="A223" s="1239"/>
      <c r="B223" s="1039">
        <v>53204030000000</v>
      </c>
      <c r="C223" s="1004" t="s">
        <v>230</v>
      </c>
      <c r="D223" s="1019">
        <f t="shared" ref="D223:D235" si="38">+O215</f>
        <v>59272.800000000003</v>
      </c>
      <c r="E223" s="1019">
        <v>0</v>
      </c>
      <c r="F223" s="1020">
        <v>0</v>
      </c>
      <c r="G223" s="1008">
        <f t="shared" si="36"/>
        <v>0</v>
      </c>
      <c r="H223" s="1009">
        <f>D223+G223</f>
        <v>59272.800000000003</v>
      </c>
      <c r="K223" s="1055" t="s">
        <v>30</v>
      </c>
      <c r="L223" s="1054">
        <v>3971118</v>
      </c>
      <c r="M223" s="1052">
        <f t="shared" si="34"/>
        <v>2382670.7999999998</v>
      </c>
      <c r="N223" s="1052"/>
      <c r="O223" s="1053">
        <f t="shared" si="35"/>
        <v>1588447.2000000002</v>
      </c>
    </row>
    <row r="224" spans="1:15" x14ac:dyDescent="0.2">
      <c r="A224" s="1239"/>
      <c r="B224" s="1039">
        <v>53204100100001</v>
      </c>
      <c r="C224" s="1004" t="s">
        <v>22</v>
      </c>
      <c r="D224" s="1019">
        <f t="shared" si="38"/>
        <v>592756</v>
      </c>
      <c r="E224" s="1019">
        <v>0</v>
      </c>
      <c r="F224" s="1020">
        <v>0</v>
      </c>
      <c r="G224" s="1008">
        <f t="shared" si="36"/>
        <v>0</v>
      </c>
      <c r="H224" s="1009">
        <f t="shared" ref="H224:H236" si="39">D224+G224</f>
        <v>592756</v>
      </c>
      <c r="K224" s="1055" t="s">
        <v>31</v>
      </c>
      <c r="L224" s="1051">
        <v>0</v>
      </c>
      <c r="M224" s="1052">
        <f t="shared" si="34"/>
        <v>0</v>
      </c>
      <c r="N224" s="1052"/>
      <c r="O224" s="1053">
        <f t="shared" si="35"/>
        <v>0</v>
      </c>
    </row>
    <row r="225" spans="1:15" x14ac:dyDescent="0.2">
      <c r="A225" s="1239"/>
      <c r="B225" s="1039">
        <v>53204130100000</v>
      </c>
      <c r="C225" s="1004" t="s">
        <v>195</v>
      </c>
      <c r="D225" s="1019">
        <f t="shared" si="38"/>
        <v>230110</v>
      </c>
      <c r="E225" s="1019">
        <v>0</v>
      </c>
      <c r="F225" s="1020">
        <v>0</v>
      </c>
      <c r="G225" s="1008">
        <f t="shared" si="36"/>
        <v>0</v>
      </c>
      <c r="H225" s="1009">
        <f t="shared" si="39"/>
        <v>230110</v>
      </c>
      <c r="K225" s="1055" t="s">
        <v>196</v>
      </c>
      <c r="L225" s="1054">
        <v>0</v>
      </c>
      <c r="M225" s="1052">
        <f t="shared" si="34"/>
        <v>0</v>
      </c>
      <c r="N225" s="1052"/>
      <c r="O225" s="1053">
        <f t="shared" si="35"/>
        <v>0</v>
      </c>
    </row>
    <row r="226" spans="1:15" x14ac:dyDescent="0.2">
      <c r="A226" s="1239"/>
      <c r="B226" s="1039">
        <v>53205010100000</v>
      </c>
      <c r="C226" s="1004" t="s">
        <v>24</v>
      </c>
      <c r="D226" s="1019">
        <f t="shared" si="38"/>
        <v>1088707.2</v>
      </c>
      <c r="E226" s="1019">
        <v>0</v>
      </c>
      <c r="F226" s="1020">
        <v>0</v>
      </c>
      <c r="G226" s="1008">
        <f t="shared" si="36"/>
        <v>0</v>
      </c>
      <c r="H226" s="1009">
        <f t="shared" si="39"/>
        <v>1088707.2</v>
      </c>
      <c r="K226" s="1055" t="s">
        <v>32</v>
      </c>
      <c r="L226" s="1054">
        <v>0</v>
      </c>
      <c r="M226" s="1052">
        <f t="shared" si="34"/>
        <v>0</v>
      </c>
      <c r="N226" s="1052"/>
      <c r="O226" s="1053">
        <f t="shared" si="35"/>
        <v>0</v>
      </c>
    </row>
    <row r="227" spans="1:15" x14ac:dyDescent="0.2">
      <c r="A227" s="1239"/>
      <c r="B227" s="1039">
        <v>53205020100000</v>
      </c>
      <c r="C227" s="1004" t="s">
        <v>25</v>
      </c>
      <c r="D227" s="1019">
        <f t="shared" si="38"/>
        <v>598598</v>
      </c>
      <c r="E227" s="1019">
        <v>0</v>
      </c>
      <c r="F227" s="1020">
        <v>0</v>
      </c>
      <c r="G227" s="1008">
        <f t="shared" si="36"/>
        <v>0</v>
      </c>
      <c r="H227" s="1009">
        <f t="shared" si="39"/>
        <v>598598</v>
      </c>
      <c r="K227" s="1056" t="s">
        <v>197</v>
      </c>
      <c r="L227" s="1054">
        <f>E103*9</f>
        <v>3558654</v>
      </c>
      <c r="M227" s="1052">
        <f t="shared" si="34"/>
        <v>2135192.4</v>
      </c>
      <c r="N227" s="1052"/>
      <c r="O227" s="1053">
        <f t="shared" si="35"/>
        <v>1423461.6</v>
      </c>
    </row>
    <row r="228" spans="1:15" x14ac:dyDescent="0.2">
      <c r="A228" s="1239"/>
      <c r="B228" s="1039">
        <v>53205030100000</v>
      </c>
      <c r="C228" s="1004" t="s">
        <v>26</v>
      </c>
      <c r="D228" s="1019">
        <f t="shared" si="38"/>
        <v>1234878</v>
      </c>
      <c r="E228" s="1019">
        <v>0</v>
      </c>
      <c r="F228" s="1020">
        <v>0</v>
      </c>
      <c r="G228" s="1008">
        <f t="shared" si="36"/>
        <v>0</v>
      </c>
      <c r="H228" s="1009">
        <f t="shared" si="39"/>
        <v>1234878</v>
      </c>
      <c r="K228" s="1055" t="s">
        <v>198</v>
      </c>
      <c r="L228" s="1051">
        <v>0</v>
      </c>
      <c r="M228" s="1052">
        <f t="shared" si="34"/>
        <v>0</v>
      </c>
      <c r="N228" s="1052"/>
      <c r="O228" s="1053">
        <f t="shared" si="35"/>
        <v>0</v>
      </c>
    </row>
    <row r="229" spans="1:15" x14ac:dyDescent="0.2">
      <c r="A229" s="1239"/>
      <c r="B229" s="1039">
        <v>53205050100000</v>
      </c>
      <c r="C229" s="1004" t="s">
        <v>27</v>
      </c>
      <c r="D229" s="1019">
        <f t="shared" si="38"/>
        <v>176126.40000000002</v>
      </c>
      <c r="E229" s="1019">
        <v>0</v>
      </c>
      <c r="F229" s="1020">
        <v>0</v>
      </c>
      <c r="G229" s="1008">
        <f t="shared" si="36"/>
        <v>0</v>
      </c>
      <c r="H229" s="1009">
        <f t="shared" si="39"/>
        <v>176126.40000000002</v>
      </c>
      <c r="K229" s="995" t="s">
        <v>34</v>
      </c>
      <c r="L229" s="1292"/>
      <c r="M229" s="1292"/>
      <c r="N229" s="1292"/>
      <c r="O229" s="1293"/>
    </row>
    <row r="230" spans="1:15" x14ac:dyDescent="0.2">
      <c r="A230" s="1239"/>
      <c r="B230" s="1039">
        <v>53205070100000</v>
      </c>
      <c r="C230" s="1004" t="s">
        <v>29</v>
      </c>
      <c r="D230" s="1019">
        <f t="shared" si="38"/>
        <v>0</v>
      </c>
      <c r="E230" s="1019">
        <v>0</v>
      </c>
      <c r="F230" s="1020">
        <v>0</v>
      </c>
      <c r="G230" s="1008">
        <f t="shared" si="36"/>
        <v>0</v>
      </c>
      <c r="H230" s="1009">
        <f t="shared" si="39"/>
        <v>0</v>
      </c>
      <c r="K230" s="1000" t="s">
        <v>35</v>
      </c>
      <c r="L230" s="1289"/>
      <c r="M230" s="1290"/>
      <c r="N230" s="1290"/>
      <c r="O230" s="1291"/>
    </row>
    <row r="231" spans="1:15" x14ac:dyDescent="0.2">
      <c r="A231" s="1239"/>
      <c r="B231" s="1039">
        <v>53208010100000</v>
      </c>
      <c r="C231" s="1004" t="s">
        <v>30</v>
      </c>
      <c r="D231" s="1019">
        <f t="shared" si="38"/>
        <v>1588447.2000000002</v>
      </c>
      <c r="E231" s="1019">
        <v>0</v>
      </c>
      <c r="F231" s="1020">
        <v>0</v>
      </c>
      <c r="G231" s="1008">
        <f t="shared" si="36"/>
        <v>0</v>
      </c>
      <c r="H231" s="1009">
        <f t="shared" si="39"/>
        <v>1588447.2000000002</v>
      </c>
      <c r="K231" s="1055" t="s">
        <v>41</v>
      </c>
      <c r="L231" s="1054">
        <f>'[1]H) Detalle Datos'!F14+'[1]H) Detalle Datos'!F27</f>
        <v>420000</v>
      </c>
      <c r="M231" s="1052">
        <f>+L231*0.6</f>
        <v>252000</v>
      </c>
      <c r="N231" s="1052"/>
      <c r="O231" s="1053">
        <f>+L231*0.4</f>
        <v>168000</v>
      </c>
    </row>
    <row r="232" spans="1:15" x14ac:dyDescent="0.2">
      <c r="A232" s="1239"/>
      <c r="B232" s="1039">
        <v>53208070100001</v>
      </c>
      <c r="C232" s="1004" t="s">
        <v>31</v>
      </c>
      <c r="D232" s="1019">
        <f t="shared" si="38"/>
        <v>0</v>
      </c>
      <c r="E232" s="1017">
        <v>0</v>
      </c>
      <c r="F232" s="1040">
        <v>0</v>
      </c>
      <c r="G232" s="1008">
        <f t="shared" si="36"/>
        <v>0</v>
      </c>
      <c r="H232" s="1009">
        <f t="shared" si="39"/>
        <v>0</v>
      </c>
      <c r="K232" s="1056" t="s">
        <v>201</v>
      </c>
      <c r="L232" s="1054">
        <f>E176</f>
        <v>151618</v>
      </c>
      <c r="M232" s="1052">
        <f>+L232*0.6</f>
        <v>90970.8</v>
      </c>
      <c r="N232" s="1052"/>
      <c r="O232" s="1053">
        <f>+L232*0.4</f>
        <v>60647.200000000004</v>
      </c>
    </row>
    <row r="233" spans="1:15" x14ac:dyDescent="0.2">
      <c r="A233" s="1239"/>
      <c r="B233" s="1039">
        <v>53208100100001</v>
      </c>
      <c r="C233" s="1004" t="s">
        <v>196</v>
      </c>
      <c r="D233" s="1019">
        <f t="shared" si="38"/>
        <v>0</v>
      </c>
      <c r="E233" s="1019">
        <v>0</v>
      </c>
      <c r="F233" s="1020">
        <v>0</v>
      </c>
      <c r="G233" s="1008">
        <f t="shared" si="36"/>
        <v>0</v>
      </c>
      <c r="H233" s="1009">
        <f t="shared" si="39"/>
        <v>0</v>
      </c>
      <c r="K233" s="1000" t="s">
        <v>42</v>
      </c>
      <c r="L233" s="1289"/>
      <c r="M233" s="1290"/>
      <c r="N233" s="1290"/>
      <c r="O233" s="1291"/>
    </row>
    <row r="234" spans="1:15" x14ac:dyDescent="0.2">
      <c r="A234" s="1239"/>
      <c r="B234" s="1039">
        <v>53211030000000</v>
      </c>
      <c r="C234" s="1004" t="s">
        <v>32</v>
      </c>
      <c r="D234" s="1019">
        <f t="shared" si="38"/>
        <v>0</v>
      </c>
      <c r="E234" s="1019">
        <v>0</v>
      </c>
      <c r="F234" s="1020">
        <v>0</v>
      </c>
      <c r="G234" s="1008">
        <f t="shared" si="36"/>
        <v>0</v>
      </c>
      <c r="H234" s="1009">
        <f t="shared" si="39"/>
        <v>0</v>
      </c>
      <c r="K234" s="1055" t="s">
        <v>44</v>
      </c>
      <c r="L234" s="1054">
        <v>0</v>
      </c>
      <c r="M234" s="1052">
        <f>+L234*0.6</f>
        <v>0</v>
      </c>
      <c r="N234" s="1052"/>
      <c r="O234" s="1053">
        <f>+L234*0.4</f>
        <v>0</v>
      </c>
    </row>
    <row r="235" spans="1:15" x14ac:dyDescent="0.2">
      <c r="A235" s="1239"/>
      <c r="B235" s="1039">
        <v>53212020100000</v>
      </c>
      <c r="C235" s="1004" t="s">
        <v>197</v>
      </c>
      <c r="D235" s="1019">
        <f t="shared" si="38"/>
        <v>1423461.6</v>
      </c>
      <c r="E235" s="1019">
        <v>0</v>
      </c>
      <c r="F235" s="1020">
        <v>0</v>
      </c>
      <c r="G235" s="1008">
        <f t="shared" si="36"/>
        <v>0</v>
      </c>
      <c r="H235" s="1009">
        <f t="shared" si="39"/>
        <v>1423461.6</v>
      </c>
      <c r="K235" s="1000" t="s">
        <v>45</v>
      </c>
      <c r="L235" s="1289"/>
      <c r="M235" s="1290"/>
      <c r="N235" s="1290"/>
      <c r="O235" s="1291"/>
    </row>
    <row r="236" spans="1:15" ht="15.75" customHeight="1" x14ac:dyDescent="0.2">
      <c r="A236" s="1239"/>
      <c r="B236" s="1039">
        <v>53214020000000</v>
      </c>
      <c r="C236" s="1004" t="s">
        <v>198</v>
      </c>
      <c r="D236" s="1017"/>
      <c r="E236" s="1017">
        <v>0</v>
      </c>
      <c r="F236" s="1040">
        <v>0</v>
      </c>
      <c r="G236" s="1008">
        <f t="shared" si="36"/>
        <v>0</v>
      </c>
      <c r="H236" s="1009">
        <f t="shared" si="39"/>
        <v>0</v>
      </c>
      <c r="K236" s="1055" t="s">
        <v>47</v>
      </c>
      <c r="L236" s="1054">
        <v>1038800</v>
      </c>
      <c r="M236" s="1052">
        <f t="shared" ref="M236:M243" si="40">+L236*0.6</f>
        <v>623280</v>
      </c>
      <c r="N236" s="1052"/>
      <c r="O236" s="1053">
        <f t="shared" ref="O236:O243" si="41">+L236*0.4</f>
        <v>415520</v>
      </c>
    </row>
    <row r="237" spans="1:15" x14ac:dyDescent="0.2">
      <c r="A237" s="1239"/>
      <c r="B237" s="994"/>
      <c r="C237" s="995" t="s">
        <v>34</v>
      </c>
      <c r="D237" s="1022">
        <f>+D238+D243+D245+D254+D263+D271</f>
        <v>5679806.5456000008</v>
      </c>
      <c r="E237" s="1023"/>
      <c r="F237" s="1041"/>
      <c r="G237" s="1022">
        <f>+G238+G243+G245+G254+G263+G271</f>
        <v>960817.04</v>
      </c>
      <c r="H237" s="1022">
        <f>+H238+H243+H245+H254+H263+H271</f>
        <v>6640623.5855999999</v>
      </c>
      <c r="K237" s="1055" t="s">
        <v>231</v>
      </c>
      <c r="L237" s="1054">
        <v>122040</v>
      </c>
      <c r="M237" s="1052">
        <f t="shared" si="40"/>
        <v>73224</v>
      </c>
      <c r="N237" s="1052"/>
      <c r="O237" s="1053">
        <f t="shared" si="41"/>
        <v>48816</v>
      </c>
    </row>
    <row r="238" spans="1:15" x14ac:dyDescent="0.2">
      <c r="A238" s="1239"/>
      <c r="B238" s="1037"/>
      <c r="C238" s="1000" t="s">
        <v>35</v>
      </c>
      <c r="D238" s="1012">
        <f>SUM(D239:D242)</f>
        <v>332826.36000000004</v>
      </c>
      <c r="E238" s="1024"/>
      <c r="F238" s="1027"/>
      <c r="G238" s="1025">
        <f>SUM(G239:G242)</f>
        <v>233533.04</v>
      </c>
      <c r="H238" s="1026">
        <f>SUM(H239:H242)</f>
        <v>566359.4</v>
      </c>
      <c r="K238" s="1055" t="s">
        <v>49</v>
      </c>
      <c r="L238" s="1054">
        <v>0</v>
      </c>
      <c r="M238" s="1052">
        <f t="shared" si="40"/>
        <v>0</v>
      </c>
      <c r="N238" s="1052"/>
      <c r="O238" s="1053">
        <f t="shared" si="41"/>
        <v>0</v>
      </c>
    </row>
    <row r="239" spans="1:15" x14ac:dyDescent="0.2">
      <c r="A239" s="1239"/>
      <c r="B239" s="1039">
        <v>53202020100000</v>
      </c>
      <c r="C239" s="1004" t="s">
        <v>199</v>
      </c>
      <c r="D239" s="988">
        <f>49990*1.042*2</f>
        <v>104179.16</v>
      </c>
      <c r="E239" s="1010">
        <f>E173</f>
        <v>20829.580000000002</v>
      </c>
      <c r="F239" s="1016">
        <v>6</v>
      </c>
      <c r="G239" s="1008">
        <f>E239*F239</f>
        <v>124977.48000000001</v>
      </c>
      <c r="H239" s="1009">
        <f t="shared" ref="H239:H242" si="42">D239+G239</f>
        <v>229156.64</v>
      </c>
      <c r="K239" s="1055" t="s">
        <v>50</v>
      </c>
      <c r="L239" s="1054">
        <v>3984210</v>
      </c>
      <c r="M239" s="1052">
        <f t="shared" si="40"/>
        <v>2390526</v>
      </c>
      <c r="N239" s="1052"/>
      <c r="O239" s="1053">
        <f t="shared" si="41"/>
        <v>1593684</v>
      </c>
    </row>
    <row r="240" spans="1:15" x14ac:dyDescent="0.2">
      <c r="A240" s="1239"/>
      <c r="B240" s="1039">
        <v>53202030000000</v>
      </c>
      <c r="C240" s="1004" t="s">
        <v>200</v>
      </c>
      <c r="D240" s="988">
        <v>0</v>
      </c>
      <c r="E240" s="1010">
        <f>E174</f>
        <v>54277.78</v>
      </c>
      <c r="F240" s="1016">
        <v>2</v>
      </c>
      <c r="G240" s="1008">
        <f t="shared" ref="G240:G242" si="43">E240*F240</f>
        <v>108555.56</v>
      </c>
      <c r="H240" s="1009">
        <f t="shared" si="42"/>
        <v>108555.56</v>
      </c>
      <c r="K240" s="1055" t="s">
        <v>51</v>
      </c>
      <c r="L240" s="1054">
        <f>'[1]H) Detalle Datos'!AE234</f>
        <v>854600</v>
      </c>
      <c r="M240" s="1052">
        <f t="shared" si="40"/>
        <v>512760</v>
      </c>
      <c r="N240" s="1052"/>
      <c r="O240" s="1053">
        <f t="shared" si="41"/>
        <v>341840</v>
      </c>
    </row>
    <row r="241" spans="1:15" x14ac:dyDescent="0.2">
      <c r="A241" s="1239"/>
      <c r="B241" s="1039">
        <v>53211020000000</v>
      </c>
      <c r="C241" s="1004" t="s">
        <v>41</v>
      </c>
      <c r="D241" s="1019">
        <f>+O231</f>
        <v>168000</v>
      </c>
      <c r="E241" s="1019">
        <v>0</v>
      </c>
      <c r="F241" s="1020">
        <v>0</v>
      </c>
      <c r="G241" s="1008">
        <f t="shared" si="43"/>
        <v>0</v>
      </c>
      <c r="H241" s="1009">
        <f t="shared" si="42"/>
        <v>168000</v>
      </c>
      <c r="K241" s="1055" t="s">
        <v>52</v>
      </c>
      <c r="L241" s="1051">
        <f>'[1]H) Detalle Datos'!AE123</f>
        <v>539000</v>
      </c>
      <c r="M241" s="1052">
        <f t="shared" si="40"/>
        <v>323400</v>
      </c>
      <c r="N241" s="1052"/>
      <c r="O241" s="1053">
        <f t="shared" si="41"/>
        <v>215600</v>
      </c>
    </row>
    <row r="242" spans="1:15" x14ac:dyDescent="0.2">
      <c r="A242" s="1239"/>
      <c r="B242" s="1039">
        <v>53101040600000</v>
      </c>
      <c r="C242" s="1004" t="s">
        <v>201</v>
      </c>
      <c r="D242" s="1019">
        <f>+O232</f>
        <v>60647.200000000004</v>
      </c>
      <c r="E242" s="1019">
        <v>0</v>
      </c>
      <c r="F242" s="1020">
        <v>0</v>
      </c>
      <c r="G242" s="1008">
        <f t="shared" si="43"/>
        <v>0</v>
      </c>
      <c r="H242" s="1009">
        <f t="shared" si="42"/>
        <v>60647.200000000004</v>
      </c>
      <c r="K242" s="1056" t="s">
        <v>202</v>
      </c>
      <c r="L242" s="1051">
        <v>0</v>
      </c>
      <c r="M242" s="1052">
        <f t="shared" si="40"/>
        <v>0</v>
      </c>
      <c r="N242" s="1052"/>
      <c r="O242" s="1053">
        <f t="shared" si="41"/>
        <v>0</v>
      </c>
    </row>
    <row r="243" spans="1:15" x14ac:dyDescent="0.2">
      <c r="A243" s="1239"/>
      <c r="B243" s="1037"/>
      <c r="C243" s="1000" t="s">
        <v>42</v>
      </c>
      <c r="D243" s="1012">
        <f>SUM(D244)</f>
        <v>0</v>
      </c>
      <c r="E243" s="1024"/>
      <c r="F243" s="1027"/>
      <c r="G243" s="1025">
        <f>SUM(G244:G244)</f>
        <v>0</v>
      </c>
      <c r="H243" s="1026">
        <f>SUM(H244:H244)</f>
        <v>0</v>
      </c>
      <c r="K243" s="1055" t="s">
        <v>194</v>
      </c>
      <c r="L243" s="1054">
        <f>'[1]H) Detalle Datos'!AE189</f>
        <v>481080</v>
      </c>
      <c r="M243" s="1052">
        <f t="shared" si="40"/>
        <v>288648</v>
      </c>
      <c r="N243" s="1052"/>
      <c r="O243" s="1053">
        <f t="shared" si="41"/>
        <v>192432</v>
      </c>
    </row>
    <row r="244" spans="1:15" x14ac:dyDescent="0.2">
      <c r="A244" s="1239"/>
      <c r="B244" s="1042">
        <v>53205990000000</v>
      </c>
      <c r="C244" s="1004" t="s">
        <v>44</v>
      </c>
      <c r="D244" s="1019">
        <f>+O234</f>
        <v>0</v>
      </c>
      <c r="E244" s="1019">
        <v>0</v>
      </c>
      <c r="F244" s="1020">
        <v>0</v>
      </c>
      <c r="G244" s="1008">
        <f t="shared" ref="G244" si="44">E244*F244</f>
        <v>0</v>
      </c>
      <c r="H244" s="1009">
        <f t="shared" ref="H244" si="45">D244+G244</f>
        <v>0</v>
      </c>
      <c r="K244" s="1000" t="s">
        <v>55</v>
      </c>
      <c r="L244" s="1289"/>
      <c r="M244" s="1290"/>
      <c r="N244" s="1290"/>
      <c r="O244" s="1291"/>
    </row>
    <row r="245" spans="1:15" x14ac:dyDescent="0.2">
      <c r="A245" s="1239"/>
      <c r="B245" s="1037"/>
      <c r="C245" s="1000" t="s">
        <v>45</v>
      </c>
      <c r="D245" s="1012">
        <f>SUM(D246:D253)</f>
        <v>2807892</v>
      </c>
      <c r="E245" s="1024"/>
      <c r="F245" s="1027"/>
      <c r="G245" s="1001">
        <f>SUM(G246:G253)</f>
        <v>104200</v>
      </c>
      <c r="H245" s="1038">
        <f>SUM(H246:H253)</f>
        <v>2912092</v>
      </c>
      <c r="K245" s="1055" t="s">
        <v>56</v>
      </c>
      <c r="L245" s="1054">
        <v>0</v>
      </c>
      <c r="M245" s="1052">
        <f t="shared" ref="M245:M251" si="46">+L245*0.6</f>
        <v>0</v>
      </c>
      <c r="N245" s="1052"/>
      <c r="O245" s="1053">
        <f t="shared" ref="O245:O251" si="47">+L245*0.4</f>
        <v>0</v>
      </c>
    </row>
    <row r="246" spans="1:15" x14ac:dyDescent="0.2">
      <c r="A246" s="1239"/>
      <c r="B246" s="1039">
        <v>53204010000000</v>
      </c>
      <c r="C246" s="1004" t="s">
        <v>47</v>
      </c>
      <c r="D246" s="1019">
        <f>+O236</f>
        <v>415520</v>
      </c>
      <c r="E246" s="1019">
        <v>0</v>
      </c>
      <c r="F246" s="1020">
        <v>0</v>
      </c>
      <c r="G246" s="1008">
        <f t="shared" ref="G246:G253" si="48">E246*F246</f>
        <v>0</v>
      </c>
      <c r="H246" s="1009">
        <f t="shared" ref="H246:H253" si="49">D246+G246</f>
        <v>415520</v>
      </c>
      <c r="K246" s="1055" t="s">
        <v>57</v>
      </c>
      <c r="L246" s="1054">
        <v>0</v>
      </c>
      <c r="M246" s="1052">
        <f t="shared" si="46"/>
        <v>0</v>
      </c>
      <c r="N246" s="1052"/>
      <c r="O246" s="1053">
        <f t="shared" si="47"/>
        <v>0</v>
      </c>
    </row>
    <row r="247" spans="1:15" x14ac:dyDescent="0.2">
      <c r="A247" s="1239"/>
      <c r="B247" s="1042">
        <v>53204040200000</v>
      </c>
      <c r="C247" s="1004" t="s">
        <v>231</v>
      </c>
      <c r="D247" s="1019">
        <f t="shared" ref="D247:D253" si="50">+O237</f>
        <v>48816</v>
      </c>
      <c r="E247" s="1019">
        <v>0</v>
      </c>
      <c r="F247" s="1020">
        <v>0</v>
      </c>
      <c r="G247" s="1008">
        <f t="shared" si="48"/>
        <v>0</v>
      </c>
      <c r="H247" s="1009">
        <f t="shared" si="49"/>
        <v>48816</v>
      </c>
      <c r="K247" s="1055" t="s">
        <v>185</v>
      </c>
      <c r="L247" s="1054">
        <f>110797*1.042*12</f>
        <v>1385405.6880000001</v>
      </c>
      <c r="M247" s="1052">
        <f t="shared" si="46"/>
        <v>831243.41280000005</v>
      </c>
      <c r="N247" s="1052"/>
      <c r="O247" s="1053">
        <f t="shared" si="47"/>
        <v>554162.27520000003</v>
      </c>
    </row>
    <row r="248" spans="1:15" x14ac:dyDescent="0.2">
      <c r="A248" s="1239"/>
      <c r="B248" s="1039">
        <v>53204060000000</v>
      </c>
      <c r="C248" s="1004" t="s">
        <v>49</v>
      </c>
      <c r="D248" s="1019">
        <f t="shared" si="50"/>
        <v>0</v>
      </c>
      <c r="E248" s="1019">
        <v>0</v>
      </c>
      <c r="F248" s="1020">
        <v>0</v>
      </c>
      <c r="G248" s="1008">
        <f t="shared" si="48"/>
        <v>0</v>
      </c>
      <c r="H248" s="1009">
        <f t="shared" si="49"/>
        <v>0</v>
      </c>
      <c r="K248" s="1055" t="s">
        <v>203</v>
      </c>
      <c r="L248" s="1054">
        <f>E192*4</f>
        <v>570836.77600000007</v>
      </c>
      <c r="M248" s="1052">
        <f t="shared" si="46"/>
        <v>342502.06560000003</v>
      </c>
      <c r="N248" s="1052"/>
      <c r="O248" s="1053">
        <f t="shared" si="47"/>
        <v>228334.71040000004</v>
      </c>
    </row>
    <row r="249" spans="1:15" x14ac:dyDescent="0.2">
      <c r="A249" s="1239"/>
      <c r="B249" s="1039">
        <v>53204070000000</v>
      </c>
      <c r="C249" s="1004" t="s">
        <v>50</v>
      </c>
      <c r="D249" s="1019">
        <f t="shared" si="50"/>
        <v>1593684</v>
      </c>
      <c r="E249" s="1019">
        <v>0</v>
      </c>
      <c r="F249" s="1020">
        <v>0</v>
      </c>
      <c r="G249" s="1008">
        <f t="shared" si="48"/>
        <v>0</v>
      </c>
      <c r="H249" s="1009">
        <f t="shared" si="49"/>
        <v>1593684</v>
      </c>
      <c r="K249" s="1055" t="s">
        <v>206</v>
      </c>
      <c r="L249" s="1054">
        <v>0</v>
      </c>
      <c r="M249" s="1052">
        <f t="shared" si="46"/>
        <v>0</v>
      </c>
      <c r="N249" s="1052"/>
      <c r="O249" s="1053">
        <f t="shared" si="47"/>
        <v>0</v>
      </c>
    </row>
    <row r="250" spans="1:15" x14ac:dyDescent="0.2">
      <c r="A250" s="1239"/>
      <c r="B250" s="1039">
        <v>53204080000000</v>
      </c>
      <c r="C250" s="1004" t="s">
        <v>51</v>
      </c>
      <c r="D250" s="1019">
        <f t="shared" si="50"/>
        <v>341840</v>
      </c>
      <c r="E250" s="1019">
        <v>0</v>
      </c>
      <c r="F250" s="1020">
        <v>0</v>
      </c>
      <c r="G250" s="1008">
        <f t="shared" si="48"/>
        <v>0</v>
      </c>
      <c r="H250" s="1009">
        <f t="shared" si="49"/>
        <v>341840</v>
      </c>
      <c r="K250" s="1055" t="s">
        <v>204</v>
      </c>
      <c r="L250" s="1054">
        <f>E195*2</f>
        <v>291760</v>
      </c>
      <c r="M250" s="1052">
        <f t="shared" si="46"/>
        <v>175056</v>
      </c>
      <c r="N250" s="1052"/>
      <c r="O250" s="1053">
        <f t="shared" si="47"/>
        <v>116704</v>
      </c>
    </row>
    <row r="251" spans="1:15" x14ac:dyDescent="0.2">
      <c r="A251" s="1239"/>
      <c r="B251" s="1039">
        <v>53214010000000</v>
      </c>
      <c r="C251" s="1004" t="s">
        <v>52</v>
      </c>
      <c r="D251" s="1019">
        <f t="shared" si="50"/>
        <v>215600</v>
      </c>
      <c r="E251" s="1021">
        <v>0</v>
      </c>
      <c r="F251" s="1018">
        <v>0</v>
      </c>
      <c r="G251" s="1008">
        <f t="shared" si="48"/>
        <v>0</v>
      </c>
      <c r="H251" s="1009">
        <f t="shared" si="49"/>
        <v>215600</v>
      </c>
      <c r="K251" s="1055" t="s">
        <v>64</v>
      </c>
      <c r="L251" s="1054">
        <v>3174518</v>
      </c>
      <c r="M251" s="1052">
        <f t="shared" si="46"/>
        <v>1904710.7999999998</v>
      </c>
      <c r="N251" s="1052"/>
      <c r="O251" s="1053">
        <f t="shared" si="47"/>
        <v>1269807.2000000002</v>
      </c>
    </row>
    <row r="252" spans="1:15" x14ac:dyDescent="0.2">
      <c r="A252" s="1239"/>
      <c r="B252" s="1039">
        <v>53214040000000</v>
      </c>
      <c r="C252" s="1004" t="s">
        <v>202</v>
      </c>
      <c r="D252" s="1019">
        <f t="shared" si="50"/>
        <v>0</v>
      </c>
      <c r="E252" s="1021">
        <f>50000*1.042</f>
        <v>52100</v>
      </c>
      <c r="F252" s="1018">
        <v>2</v>
      </c>
      <c r="G252" s="1008">
        <f t="shared" si="48"/>
        <v>104200</v>
      </c>
      <c r="H252" s="1009">
        <f t="shared" si="49"/>
        <v>104200</v>
      </c>
      <c r="K252" s="1000" t="s">
        <v>65</v>
      </c>
      <c r="L252" s="1289"/>
      <c r="M252" s="1290"/>
      <c r="N252" s="1290"/>
      <c r="O252" s="1291"/>
    </row>
    <row r="253" spans="1:15" x14ac:dyDescent="0.2">
      <c r="A253" s="1239"/>
      <c r="B253" s="376">
        <v>53204020100000</v>
      </c>
      <c r="C253" s="1004" t="s">
        <v>194</v>
      </c>
      <c r="D253" s="1019">
        <f t="shared" si="50"/>
        <v>192432</v>
      </c>
      <c r="E253" s="1019">
        <v>0</v>
      </c>
      <c r="F253" s="1020">
        <v>0</v>
      </c>
      <c r="G253" s="1008">
        <f t="shared" si="48"/>
        <v>0</v>
      </c>
      <c r="H253" s="1009">
        <f t="shared" si="49"/>
        <v>192432</v>
      </c>
      <c r="K253" s="1055" t="s">
        <v>99</v>
      </c>
      <c r="L253" s="1054">
        <v>0</v>
      </c>
      <c r="M253" s="1052">
        <f t="shared" ref="M253:M259" si="51">+L253*0.6</f>
        <v>0</v>
      </c>
      <c r="N253" s="1052"/>
      <c r="O253" s="1053">
        <f t="shared" ref="O253:O259" si="52">+L253*0.4</f>
        <v>0</v>
      </c>
    </row>
    <row r="254" spans="1:15" x14ac:dyDescent="0.2">
      <c r="A254" s="1239"/>
      <c r="B254" s="1037"/>
      <c r="C254" s="1000" t="s">
        <v>55</v>
      </c>
      <c r="D254" s="1012">
        <f>SUM(D255:D262)</f>
        <v>2169008.1856000004</v>
      </c>
      <c r="E254" s="1024"/>
      <c r="F254" s="1027"/>
      <c r="G254" s="1001">
        <f>SUM(G255:G262)</f>
        <v>215084</v>
      </c>
      <c r="H254" s="1038">
        <f>SUM(H255:H262)</f>
        <v>2384092.1856000004</v>
      </c>
      <c r="K254" s="1055" t="s">
        <v>100</v>
      </c>
      <c r="L254" s="1054">
        <v>0</v>
      </c>
      <c r="M254" s="1052">
        <f t="shared" si="51"/>
        <v>0</v>
      </c>
      <c r="N254" s="1052"/>
      <c r="O254" s="1053">
        <f t="shared" si="52"/>
        <v>0</v>
      </c>
    </row>
    <row r="255" spans="1:15" x14ac:dyDescent="0.2">
      <c r="A255" s="1239"/>
      <c r="B255" s="1039">
        <v>53207010000000</v>
      </c>
      <c r="C255" s="1004" t="s">
        <v>56</v>
      </c>
      <c r="D255" s="1019">
        <f>+O245</f>
        <v>0</v>
      </c>
      <c r="E255" s="1019">
        <v>0</v>
      </c>
      <c r="F255" s="1020">
        <v>0</v>
      </c>
      <c r="G255" s="1008">
        <f t="shared" ref="G255:G262" si="53">E255*F255</f>
        <v>0</v>
      </c>
      <c r="H255" s="1009">
        <f t="shared" ref="H255:H262" si="54">D255+G255</f>
        <v>0</v>
      </c>
      <c r="K255" s="1055" t="s">
        <v>207</v>
      </c>
      <c r="L255" s="1054">
        <v>300000</v>
      </c>
      <c r="M255" s="1052">
        <f t="shared" si="51"/>
        <v>180000</v>
      </c>
      <c r="N255" s="1052"/>
      <c r="O255" s="1053">
        <f t="shared" si="52"/>
        <v>120000</v>
      </c>
    </row>
    <row r="256" spans="1:15" x14ac:dyDescent="0.2">
      <c r="A256" s="1239"/>
      <c r="B256" s="1039">
        <v>53207020000000</v>
      </c>
      <c r="C256" s="1004" t="s">
        <v>57</v>
      </c>
      <c r="D256" s="1019">
        <f t="shared" ref="D256:D258" si="55">+O246</f>
        <v>0</v>
      </c>
      <c r="E256" s="1019">
        <v>0</v>
      </c>
      <c r="F256" s="1020">
        <v>0</v>
      </c>
      <c r="G256" s="1008">
        <f t="shared" si="53"/>
        <v>0</v>
      </c>
      <c r="H256" s="1009">
        <f t="shared" si="54"/>
        <v>0</v>
      </c>
      <c r="K256" s="1055" t="s">
        <v>102</v>
      </c>
      <c r="L256" s="1054">
        <v>0</v>
      </c>
      <c r="M256" s="1052">
        <f t="shared" si="51"/>
        <v>0</v>
      </c>
      <c r="N256" s="1052"/>
      <c r="O256" s="1053">
        <f t="shared" si="52"/>
        <v>0</v>
      </c>
    </row>
    <row r="257" spans="1:15" x14ac:dyDescent="0.2">
      <c r="A257" s="1239"/>
      <c r="B257" s="1039">
        <v>53208020000000</v>
      </c>
      <c r="C257" s="1004" t="s">
        <v>185</v>
      </c>
      <c r="D257" s="1019">
        <f t="shared" si="55"/>
        <v>554162.27520000003</v>
      </c>
      <c r="E257" s="1019">
        <v>0</v>
      </c>
      <c r="F257" s="1020">
        <v>0</v>
      </c>
      <c r="G257" s="1008">
        <f t="shared" si="53"/>
        <v>0</v>
      </c>
      <c r="H257" s="1009">
        <f t="shared" si="54"/>
        <v>554162.27520000003</v>
      </c>
      <c r="K257" s="1056" t="s">
        <v>208</v>
      </c>
      <c r="L257" s="1054">
        <v>0</v>
      </c>
      <c r="M257" s="1052">
        <f t="shared" si="51"/>
        <v>0</v>
      </c>
      <c r="N257" s="1052"/>
      <c r="O257" s="1053">
        <f t="shared" si="52"/>
        <v>0</v>
      </c>
    </row>
    <row r="258" spans="1:15" x14ac:dyDescent="0.2">
      <c r="A258" s="1239"/>
      <c r="B258" s="1039">
        <v>53208990000000</v>
      </c>
      <c r="C258" s="1004" t="s">
        <v>203</v>
      </c>
      <c r="D258" s="1019">
        <f t="shared" si="55"/>
        <v>228334.71040000004</v>
      </c>
      <c r="E258" s="1019">
        <v>0</v>
      </c>
      <c r="F258" s="1020">
        <v>0</v>
      </c>
      <c r="G258" s="1008">
        <f t="shared" si="53"/>
        <v>0</v>
      </c>
      <c r="H258" s="1009">
        <f t="shared" si="54"/>
        <v>228334.71040000004</v>
      </c>
      <c r="K258" s="1055" t="s">
        <v>104</v>
      </c>
      <c r="L258" s="1054">
        <f>60000*1.042*10</f>
        <v>625200</v>
      </c>
      <c r="M258" s="1052">
        <f t="shared" si="51"/>
        <v>375120</v>
      </c>
      <c r="N258" s="1052"/>
      <c r="O258" s="1053">
        <f t="shared" si="52"/>
        <v>250080</v>
      </c>
    </row>
    <row r="259" spans="1:15" x14ac:dyDescent="0.2">
      <c r="A259" s="1239"/>
      <c r="B259" s="376">
        <v>53210020300000</v>
      </c>
      <c r="C259" s="1004" t="s">
        <v>205</v>
      </c>
      <c r="D259" s="1019">
        <v>0</v>
      </c>
      <c r="E259" s="1029">
        <v>6326</v>
      </c>
      <c r="F259" s="1030">
        <f>+'[1]B) Reajuste Tarifas y Ocupación'!I42</f>
        <v>34</v>
      </c>
      <c r="G259" s="1008">
        <f t="shared" si="53"/>
        <v>215084</v>
      </c>
      <c r="H259" s="1009">
        <f t="shared" si="54"/>
        <v>215084</v>
      </c>
      <c r="K259" s="1055" t="s">
        <v>232</v>
      </c>
      <c r="L259" s="1054">
        <v>0</v>
      </c>
      <c r="M259" s="1052">
        <f t="shared" si="51"/>
        <v>0</v>
      </c>
      <c r="N259" s="1052"/>
      <c r="O259" s="1053">
        <f t="shared" si="52"/>
        <v>0</v>
      </c>
    </row>
    <row r="260" spans="1:15" x14ac:dyDescent="0.2">
      <c r="A260" s="1239"/>
      <c r="B260" s="1039">
        <v>53208990000000</v>
      </c>
      <c r="C260" s="1004" t="s">
        <v>206</v>
      </c>
      <c r="D260" s="1019">
        <f>+O249</f>
        <v>0</v>
      </c>
      <c r="E260" s="1019">
        <v>0</v>
      </c>
      <c r="F260" s="1020">
        <v>0</v>
      </c>
      <c r="G260" s="1008">
        <f t="shared" si="53"/>
        <v>0</v>
      </c>
      <c r="H260" s="1009">
        <f t="shared" si="54"/>
        <v>0</v>
      </c>
    </row>
    <row r="261" spans="1:15" x14ac:dyDescent="0.2">
      <c r="A261" s="1239"/>
      <c r="B261" s="1039">
        <v>53209990000000</v>
      </c>
      <c r="C261" s="1004" t="s">
        <v>204</v>
      </c>
      <c r="D261" s="1019">
        <f t="shared" ref="D261:D262" si="56">+O250</f>
        <v>116704</v>
      </c>
      <c r="E261" s="1019">
        <v>0</v>
      </c>
      <c r="F261" s="1020">
        <v>0</v>
      </c>
      <c r="G261" s="1008">
        <f t="shared" si="53"/>
        <v>0</v>
      </c>
      <c r="H261" s="1009">
        <f t="shared" si="54"/>
        <v>116704</v>
      </c>
    </row>
    <row r="262" spans="1:15" x14ac:dyDescent="0.2">
      <c r="A262" s="1239"/>
      <c r="B262" s="1039">
        <v>53210020100000</v>
      </c>
      <c r="C262" s="1004" t="s">
        <v>64</v>
      </c>
      <c r="D262" s="1019">
        <f t="shared" si="56"/>
        <v>1269807.2000000002</v>
      </c>
      <c r="E262" s="1019">
        <v>0</v>
      </c>
      <c r="F262" s="1020">
        <v>0</v>
      </c>
      <c r="G262" s="1008">
        <f t="shared" si="53"/>
        <v>0</v>
      </c>
      <c r="H262" s="1009">
        <f t="shared" si="54"/>
        <v>1269807.2000000002</v>
      </c>
    </row>
    <row r="263" spans="1:15" x14ac:dyDescent="0.2">
      <c r="A263" s="1239"/>
      <c r="B263" s="1037"/>
      <c r="C263" s="1000" t="s">
        <v>65</v>
      </c>
      <c r="D263" s="1012">
        <f>SUM(D264:D270)</f>
        <v>370080</v>
      </c>
      <c r="E263" s="1024"/>
      <c r="F263" s="1027"/>
      <c r="G263" s="1001">
        <f>SUM(G264:G270)</f>
        <v>0</v>
      </c>
      <c r="H263" s="1038">
        <f>SUM(H264:H270)</f>
        <v>370080</v>
      </c>
    </row>
    <row r="264" spans="1:15" x14ac:dyDescent="0.2">
      <c r="A264" s="1239"/>
      <c r="B264" s="1039">
        <v>53206030000000</v>
      </c>
      <c r="C264" s="1004" t="s">
        <v>99</v>
      </c>
      <c r="D264" s="1019">
        <f>+O253</f>
        <v>0</v>
      </c>
      <c r="E264" s="1019">
        <v>0</v>
      </c>
      <c r="F264" s="1020">
        <v>0</v>
      </c>
      <c r="G264" s="1008">
        <f t="shared" ref="G264:G270" si="57">E264*F264</f>
        <v>0</v>
      </c>
      <c r="H264" s="1009">
        <f t="shared" ref="H264:H270" si="58">D264+G264</f>
        <v>0</v>
      </c>
    </row>
    <row r="265" spans="1:15" x14ac:dyDescent="0.2">
      <c r="A265" s="1239"/>
      <c r="B265" s="1039">
        <v>53206040000000</v>
      </c>
      <c r="C265" s="1004" t="s">
        <v>100</v>
      </c>
      <c r="D265" s="1019">
        <f t="shared" ref="D265:D270" si="59">+O254</f>
        <v>0</v>
      </c>
      <c r="E265" s="1019">
        <v>0</v>
      </c>
      <c r="F265" s="1020">
        <v>0</v>
      </c>
      <c r="G265" s="1008">
        <f t="shared" si="57"/>
        <v>0</v>
      </c>
      <c r="H265" s="1009">
        <f t="shared" si="58"/>
        <v>0</v>
      </c>
    </row>
    <row r="266" spans="1:15" x14ac:dyDescent="0.2">
      <c r="A266" s="1239"/>
      <c r="B266" s="1039">
        <v>53206060000000</v>
      </c>
      <c r="C266" s="1004" t="s">
        <v>207</v>
      </c>
      <c r="D266" s="1019">
        <f t="shared" si="59"/>
        <v>120000</v>
      </c>
      <c r="E266" s="1019">
        <v>0</v>
      </c>
      <c r="F266" s="1020">
        <v>0</v>
      </c>
      <c r="G266" s="1008">
        <f t="shared" si="57"/>
        <v>0</v>
      </c>
      <c r="H266" s="1009">
        <f t="shared" si="58"/>
        <v>120000</v>
      </c>
    </row>
    <row r="267" spans="1:15" x14ac:dyDescent="0.2">
      <c r="A267" s="1239"/>
      <c r="B267" s="1039">
        <v>53206070000000</v>
      </c>
      <c r="C267" s="1004" t="s">
        <v>102</v>
      </c>
      <c r="D267" s="1019">
        <f t="shared" si="59"/>
        <v>0</v>
      </c>
      <c r="E267" s="1019">
        <v>0</v>
      </c>
      <c r="F267" s="1020">
        <v>0</v>
      </c>
      <c r="G267" s="1008">
        <f t="shared" si="57"/>
        <v>0</v>
      </c>
      <c r="H267" s="1009">
        <f t="shared" si="58"/>
        <v>0</v>
      </c>
    </row>
    <row r="268" spans="1:15" x14ac:dyDescent="0.2">
      <c r="A268" s="1239"/>
      <c r="B268" s="1039">
        <v>53206990000000</v>
      </c>
      <c r="C268" s="1004" t="s">
        <v>208</v>
      </c>
      <c r="D268" s="1019">
        <f t="shared" si="59"/>
        <v>0</v>
      </c>
      <c r="E268" s="1019">
        <v>0</v>
      </c>
      <c r="F268" s="1020">
        <v>0</v>
      </c>
      <c r="G268" s="1008">
        <f t="shared" si="57"/>
        <v>0</v>
      </c>
      <c r="H268" s="1009">
        <f t="shared" si="58"/>
        <v>0</v>
      </c>
    </row>
    <row r="269" spans="1:15" x14ac:dyDescent="0.2">
      <c r="A269" s="1239"/>
      <c r="B269" s="1039">
        <v>53208030000000</v>
      </c>
      <c r="C269" s="1004" t="s">
        <v>104</v>
      </c>
      <c r="D269" s="1019">
        <f t="shared" si="59"/>
        <v>250080</v>
      </c>
      <c r="E269" s="1019">
        <v>0</v>
      </c>
      <c r="F269" s="1020">
        <v>0</v>
      </c>
      <c r="G269" s="1008">
        <f t="shared" si="57"/>
        <v>0</v>
      </c>
      <c r="H269" s="1009">
        <f t="shared" si="58"/>
        <v>250080</v>
      </c>
    </row>
    <row r="270" spans="1:15" x14ac:dyDescent="0.2">
      <c r="A270" s="1239"/>
      <c r="B270" s="1039">
        <v>53206990000000</v>
      </c>
      <c r="C270" s="1004" t="s">
        <v>232</v>
      </c>
      <c r="D270" s="1019">
        <f t="shared" si="59"/>
        <v>0</v>
      </c>
      <c r="E270" s="1019">
        <v>0</v>
      </c>
      <c r="F270" s="1020">
        <v>0</v>
      </c>
      <c r="G270" s="1008">
        <f t="shared" si="57"/>
        <v>0</v>
      </c>
      <c r="H270" s="1009">
        <f t="shared" si="58"/>
        <v>0</v>
      </c>
    </row>
    <row r="271" spans="1:15" x14ac:dyDescent="0.2">
      <c r="A271" s="1239"/>
      <c r="B271" s="1037"/>
      <c r="C271" s="1000" t="s">
        <v>66</v>
      </c>
      <c r="D271" s="1012">
        <f>SUM(D272)</f>
        <v>0</v>
      </c>
      <c r="E271" s="1024"/>
      <c r="F271" s="1024"/>
      <c r="G271" s="1001">
        <f>SUM(G272:G272)</f>
        <v>408000</v>
      </c>
      <c r="H271" s="1038">
        <f>SUM(H272:H272)</f>
        <v>408000</v>
      </c>
    </row>
    <row r="272" spans="1:15" x14ac:dyDescent="0.2">
      <c r="A272" s="1239"/>
      <c r="B272" s="378"/>
      <c r="C272" s="1043" t="s">
        <v>233</v>
      </c>
      <c r="D272" s="988">
        <v>0</v>
      </c>
      <c r="E272" s="988">
        <v>12000</v>
      </c>
      <c r="F272" s="1011">
        <v>34</v>
      </c>
      <c r="G272" s="1008">
        <f t="shared" ref="G272" si="60">E272*F272</f>
        <v>408000</v>
      </c>
      <c r="H272" s="1044">
        <f t="shared" ref="H272" si="61">D272+G272</f>
        <v>408000</v>
      </c>
      <c r="I272" s="1032" t="s">
        <v>234</v>
      </c>
      <c r="J272" s="1028">
        <f>+H270+H269+H268+H267+H266+H265+H264+H262+H261+H260+H259+H258+H257+H256+H255+H253+H250+H249+H248+H247+H246+H244+H242+H241+H235+H234+H233+H231+H230+H229+H228+H227+H226+H225+H224+H223+H222+H221</f>
        <v>12567468.585600002</v>
      </c>
    </row>
    <row r="273" spans="1:10" x14ac:dyDescent="0.2">
      <c r="A273" s="1239"/>
      <c r="B273" s="1045"/>
      <c r="C273" s="1046" t="s">
        <v>105</v>
      </c>
      <c r="D273" s="1033">
        <f>SUM(D210,D237)</f>
        <v>12672163.7456</v>
      </c>
      <c r="E273" s="1034"/>
      <c r="F273" s="1034"/>
      <c r="G273" s="1033">
        <f>SUM(G210,G237)</f>
        <v>9753337.0399999991</v>
      </c>
      <c r="H273" s="1047">
        <f>SUM(H210,H237)</f>
        <v>22425500.785599999</v>
      </c>
      <c r="I273" s="1035" t="s">
        <v>235</v>
      </c>
      <c r="J273" s="1036">
        <f>+H273-J272</f>
        <v>9858032.1999999974</v>
      </c>
    </row>
    <row r="274" spans="1:10" ht="12.75" customHeight="1" x14ac:dyDescent="0.2">
      <c r="A274" s="1241" t="s">
        <v>82</v>
      </c>
      <c r="B274" s="1247" t="s">
        <v>76</v>
      </c>
      <c r="C274" s="1250" t="s">
        <v>77</v>
      </c>
      <c r="D274" s="1255" t="s">
        <v>78</v>
      </c>
      <c r="E274" s="1256" t="s">
        <v>79</v>
      </c>
      <c r="F274" s="1256"/>
      <c r="G274" s="1256"/>
      <c r="H274" s="1258" t="s">
        <v>283</v>
      </c>
    </row>
    <row r="275" spans="1:10" ht="25.5" x14ac:dyDescent="0.2">
      <c r="A275" s="1242"/>
      <c r="B275" s="1244"/>
      <c r="C275" s="1251"/>
      <c r="D275" s="1255"/>
      <c r="E275" s="1058" t="s">
        <v>67</v>
      </c>
      <c r="F275" s="1059" t="s">
        <v>68</v>
      </c>
      <c r="G275" s="1057" t="s">
        <v>6</v>
      </c>
      <c r="H275" s="1259"/>
    </row>
    <row r="276" spans="1:10" ht="15.75" customHeight="1" x14ac:dyDescent="0.2">
      <c r="A276" s="1238" t="s">
        <v>151</v>
      </c>
      <c r="B276" s="994"/>
      <c r="C276" s="995" t="s">
        <v>11</v>
      </c>
      <c r="D276" s="996">
        <f>+D277+D282</f>
        <v>125347031.56000002</v>
      </c>
      <c r="E276" s="1060"/>
      <c r="F276" s="1060"/>
      <c r="G276" s="998">
        <f>SUM(G277,G282)</f>
        <v>14637480</v>
      </c>
      <c r="H276" s="999">
        <f>SUM(H277,H282)</f>
        <v>139984511.56000003</v>
      </c>
    </row>
    <row r="277" spans="1:10" x14ac:dyDescent="0.2">
      <c r="A277" s="1239"/>
      <c r="B277" s="1037"/>
      <c r="C277" s="1000" t="s">
        <v>12</v>
      </c>
      <c r="D277" s="1001">
        <f>SUM(D278:D281)</f>
        <v>114858495.76000002</v>
      </c>
      <c r="E277" s="1061"/>
      <c r="F277" s="1061"/>
      <c r="G277" s="1003">
        <f>SUM(G278:G281)</f>
        <v>521000</v>
      </c>
      <c r="H277" s="1038">
        <f>SUM(H278:H281)</f>
        <v>115379495.76000002</v>
      </c>
    </row>
    <row r="278" spans="1:10" x14ac:dyDescent="0.2">
      <c r="A278" s="1239"/>
      <c r="B278" s="1039">
        <v>53103040100000</v>
      </c>
      <c r="C278" s="1004" t="s">
        <v>95</v>
      </c>
      <c r="D278" s="1005">
        <f>+'[1]F) Remuneraciones'!L71</f>
        <v>113663232.76000002</v>
      </c>
      <c r="E278" s="1008">
        <v>0</v>
      </c>
      <c r="F278" s="1062">
        <v>0</v>
      </c>
      <c r="G278" s="1008">
        <f>E278*F278</f>
        <v>0</v>
      </c>
      <c r="H278" s="1009">
        <f>D278+G278</f>
        <v>113663232.76000002</v>
      </c>
    </row>
    <row r="279" spans="1:10" x14ac:dyDescent="0.2">
      <c r="A279" s="1239"/>
      <c r="B279" s="1039">
        <v>53103050000000</v>
      </c>
      <c r="C279" s="1004" t="s">
        <v>186</v>
      </c>
      <c r="D279" s="988">
        <v>0</v>
      </c>
      <c r="E279" s="1010">
        <v>0</v>
      </c>
      <c r="F279" s="1011">
        <v>0</v>
      </c>
      <c r="G279" s="1008">
        <f>E279*F279</f>
        <v>0</v>
      </c>
      <c r="H279" s="1009">
        <f>D279+G279</f>
        <v>0</v>
      </c>
    </row>
    <row r="280" spans="1:10" x14ac:dyDescent="0.2">
      <c r="A280" s="1239"/>
      <c r="B280" s="376">
        <v>53103040400000</v>
      </c>
      <c r="C280" s="377" t="s">
        <v>187</v>
      </c>
      <c r="D280" s="988">
        <v>1195263</v>
      </c>
      <c r="E280" s="1010">
        <v>0</v>
      </c>
      <c r="F280" s="1011">
        <v>0</v>
      </c>
      <c r="G280" s="1008">
        <f>E280*F280</f>
        <v>0</v>
      </c>
      <c r="H280" s="1009">
        <f>D280+G280</f>
        <v>1195263</v>
      </c>
    </row>
    <row r="281" spans="1:10" x14ac:dyDescent="0.2">
      <c r="A281" s="1239"/>
      <c r="B281" s="1039">
        <v>53103080010000</v>
      </c>
      <c r="C281" s="1004" t="s">
        <v>188</v>
      </c>
      <c r="D281" s="988">
        <v>0</v>
      </c>
      <c r="E281" s="1010">
        <f>E215</f>
        <v>52100</v>
      </c>
      <c r="F281" s="1011">
        <f>2*5</f>
        <v>10</v>
      </c>
      <c r="G281" s="1008">
        <f>E281*F281</f>
        <v>521000</v>
      </c>
      <c r="H281" s="1009">
        <f>D281+G281</f>
        <v>521000</v>
      </c>
    </row>
    <row r="282" spans="1:10" x14ac:dyDescent="0.2">
      <c r="A282" s="1239"/>
      <c r="B282" s="1037"/>
      <c r="C282" s="1000" t="s">
        <v>16</v>
      </c>
      <c r="D282" s="1012">
        <f>SUM(D283:D302)</f>
        <v>10488535.799999999</v>
      </c>
      <c r="E282" s="1063"/>
      <c r="F282" s="1063"/>
      <c r="G282" s="1001">
        <f>SUM(G283:G302)</f>
        <v>14116480</v>
      </c>
      <c r="H282" s="1038">
        <f>SUM(H283:H302)</f>
        <v>24605015.800000001</v>
      </c>
    </row>
    <row r="283" spans="1:10" x14ac:dyDescent="0.2">
      <c r="A283" s="1239"/>
      <c r="B283" s="1039">
        <v>53201010100000</v>
      </c>
      <c r="C283" s="1014" t="s">
        <v>189</v>
      </c>
      <c r="D283" s="988">
        <v>0</v>
      </c>
      <c r="E283" s="1010">
        <f>E217</f>
        <v>1989</v>
      </c>
      <c r="F283" s="1011">
        <f>11*20*11</f>
        <v>2420</v>
      </c>
      <c r="G283" s="1008">
        <f t="shared" ref="G283:G302" si="62">E283*F283</f>
        <v>4813380</v>
      </c>
      <c r="H283" s="1009">
        <f t="shared" ref="H283:H288" si="63">D283+G283</f>
        <v>4813380</v>
      </c>
    </row>
    <row r="284" spans="1:10" x14ac:dyDescent="0.2">
      <c r="A284" s="1239"/>
      <c r="B284" s="1039">
        <v>53201010100000</v>
      </c>
      <c r="C284" s="1014" t="s">
        <v>190</v>
      </c>
      <c r="D284" s="988">
        <v>0</v>
      </c>
      <c r="E284" s="1010">
        <f>E218</f>
        <v>1146.2</v>
      </c>
      <c r="F284" s="1011">
        <f>35*20*11</f>
        <v>7700</v>
      </c>
      <c r="G284" s="1008">
        <f t="shared" si="62"/>
        <v>8825740</v>
      </c>
      <c r="H284" s="1009">
        <f t="shared" si="63"/>
        <v>8825740</v>
      </c>
    </row>
    <row r="285" spans="1:10" x14ac:dyDescent="0.2">
      <c r="A285" s="1239"/>
      <c r="B285" s="1039">
        <v>53201010100000</v>
      </c>
      <c r="C285" s="1014" t="s">
        <v>191</v>
      </c>
      <c r="D285" s="988">
        <v>0</v>
      </c>
      <c r="E285" s="1010">
        <f>E283</f>
        <v>1989</v>
      </c>
      <c r="F285" s="1011">
        <f>2*20*6</f>
        <v>240</v>
      </c>
      <c r="G285" s="1008">
        <f t="shared" si="62"/>
        <v>477360</v>
      </c>
      <c r="H285" s="1009">
        <f t="shared" si="63"/>
        <v>477360</v>
      </c>
    </row>
    <row r="286" spans="1:10" x14ac:dyDescent="0.2">
      <c r="A286" s="1239"/>
      <c r="B286" s="1039">
        <v>53202010100000</v>
      </c>
      <c r="C286" s="1004" t="s">
        <v>192</v>
      </c>
      <c r="D286" s="1010">
        <f>+M212</f>
        <v>0</v>
      </c>
      <c r="E286" s="1010">
        <v>0</v>
      </c>
      <c r="F286" s="1064">
        <v>0</v>
      </c>
      <c r="G286" s="1008">
        <f t="shared" si="62"/>
        <v>0</v>
      </c>
      <c r="H286" s="1009">
        <f t="shared" si="63"/>
        <v>0</v>
      </c>
    </row>
    <row r="287" spans="1:10" x14ac:dyDescent="0.2">
      <c r="A287" s="1239"/>
      <c r="B287" s="1039">
        <v>53203010100000</v>
      </c>
      <c r="C287" s="1004" t="s">
        <v>19</v>
      </c>
      <c r="D287" s="1019">
        <f t="shared" ref="D287:D301" si="64">+M213</f>
        <v>0</v>
      </c>
      <c r="E287" s="1019">
        <v>0</v>
      </c>
      <c r="F287" s="1065">
        <v>0</v>
      </c>
      <c r="G287" s="1008">
        <f t="shared" si="62"/>
        <v>0</v>
      </c>
      <c r="H287" s="1009">
        <f t="shared" si="63"/>
        <v>0</v>
      </c>
    </row>
    <row r="288" spans="1:10" x14ac:dyDescent="0.2">
      <c r="A288" s="1239"/>
      <c r="B288" s="1039">
        <v>53203030000000</v>
      </c>
      <c r="C288" s="1004" t="s">
        <v>193</v>
      </c>
      <c r="D288" s="1019">
        <f t="shared" si="64"/>
        <v>0</v>
      </c>
      <c r="E288" s="1019">
        <v>0</v>
      </c>
      <c r="F288" s="1065">
        <v>0</v>
      </c>
      <c r="G288" s="1008">
        <f t="shared" si="62"/>
        <v>0</v>
      </c>
      <c r="H288" s="1009">
        <f t="shared" si="63"/>
        <v>0</v>
      </c>
    </row>
    <row r="289" spans="1:8" x14ac:dyDescent="0.2">
      <c r="A289" s="1239"/>
      <c r="B289" s="1039">
        <v>53204030000000</v>
      </c>
      <c r="C289" s="1004" t="s">
        <v>230</v>
      </c>
      <c r="D289" s="1019">
        <f t="shared" si="64"/>
        <v>88909.2</v>
      </c>
      <c r="E289" s="1019">
        <v>0</v>
      </c>
      <c r="F289" s="1065">
        <v>0</v>
      </c>
      <c r="G289" s="1008">
        <f t="shared" si="62"/>
        <v>0</v>
      </c>
      <c r="H289" s="1009">
        <f>D289+G289</f>
        <v>88909.2</v>
      </c>
    </row>
    <row r="290" spans="1:8" x14ac:dyDescent="0.2">
      <c r="A290" s="1239"/>
      <c r="B290" s="1039">
        <v>53204100100001</v>
      </c>
      <c r="C290" s="1004" t="s">
        <v>22</v>
      </c>
      <c r="D290" s="1019">
        <f t="shared" si="64"/>
        <v>889134</v>
      </c>
      <c r="E290" s="1019">
        <v>0</v>
      </c>
      <c r="F290" s="1065">
        <v>0</v>
      </c>
      <c r="G290" s="1008">
        <f t="shared" si="62"/>
        <v>0</v>
      </c>
      <c r="H290" s="1009">
        <f t="shared" ref="H290:H302" si="65">D290+G290</f>
        <v>889134</v>
      </c>
    </row>
    <row r="291" spans="1:8" ht="14.25" customHeight="1" x14ac:dyDescent="0.2">
      <c r="A291" s="1239"/>
      <c r="B291" s="1039">
        <v>53204130100000</v>
      </c>
      <c r="C291" s="1004" t="s">
        <v>195</v>
      </c>
      <c r="D291" s="1019">
        <f t="shared" si="64"/>
        <v>345165</v>
      </c>
      <c r="E291" s="1019">
        <v>0</v>
      </c>
      <c r="F291" s="1065">
        <v>0</v>
      </c>
      <c r="G291" s="1008">
        <f t="shared" si="62"/>
        <v>0</v>
      </c>
      <c r="H291" s="1009">
        <f t="shared" si="65"/>
        <v>345165</v>
      </c>
    </row>
    <row r="292" spans="1:8" x14ac:dyDescent="0.2">
      <c r="A292" s="1239"/>
      <c r="B292" s="1039">
        <v>53205010100000</v>
      </c>
      <c r="C292" s="1004" t="s">
        <v>24</v>
      </c>
      <c r="D292" s="1019">
        <f t="shared" si="64"/>
        <v>1633060.8</v>
      </c>
      <c r="E292" s="1019">
        <v>0</v>
      </c>
      <c r="F292" s="1065">
        <v>0</v>
      </c>
      <c r="G292" s="1008">
        <f t="shared" si="62"/>
        <v>0</v>
      </c>
      <c r="H292" s="1009">
        <f t="shared" si="65"/>
        <v>1633060.8</v>
      </c>
    </row>
    <row r="293" spans="1:8" x14ac:dyDescent="0.2">
      <c r="A293" s="1239"/>
      <c r="B293" s="1039">
        <v>53205020100000</v>
      </c>
      <c r="C293" s="1004" t="s">
        <v>25</v>
      </c>
      <c r="D293" s="1019">
        <f t="shared" si="64"/>
        <v>897897</v>
      </c>
      <c r="E293" s="1019">
        <v>0</v>
      </c>
      <c r="F293" s="1065">
        <v>0</v>
      </c>
      <c r="G293" s="1008">
        <f t="shared" si="62"/>
        <v>0</v>
      </c>
      <c r="H293" s="1009">
        <f t="shared" si="65"/>
        <v>897897</v>
      </c>
    </row>
    <row r="294" spans="1:8" ht="12.75" customHeight="1" x14ac:dyDescent="0.2">
      <c r="A294" s="1239"/>
      <c r="B294" s="1039">
        <v>53205030100000</v>
      </c>
      <c r="C294" s="1004" t="s">
        <v>26</v>
      </c>
      <c r="D294" s="1019">
        <f t="shared" si="64"/>
        <v>1852317</v>
      </c>
      <c r="E294" s="1019">
        <v>0</v>
      </c>
      <c r="F294" s="1065">
        <v>0</v>
      </c>
      <c r="G294" s="1008">
        <f t="shared" si="62"/>
        <v>0</v>
      </c>
      <c r="H294" s="1009">
        <f t="shared" si="65"/>
        <v>1852317</v>
      </c>
    </row>
    <row r="295" spans="1:8" x14ac:dyDescent="0.2">
      <c r="A295" s="1239"/>
      <c r="B295" s="1039">
        <v>53205050100000</v>
      </c>
      <c r="C295" s="1004" t="s">
        <v>27</v>
      </c>
      <c r="D295" s="1019">
        <f t="shared" si="64"/>
        <v>264189.59999999998</v>
      </c>
      <c r="E295" s="1019">
        <v>0</v>
      </c>
      <c r="F295" s="1065">
        <v>0</v>
      </c>
      <c r="G295" s="1008">
        <f t="shared" si="62"/>
        <v>0</v>
      </c>
      <c r="H295" s="1009">
        <f t="shared" si="65"/>
        <v>264189.59999999998</v>
      </c>
    </row>
    <row r="296" spans="1:8" x14ac:dyDescent="0.2">
      <c r="A296" s="1239"/>
      <c r="B296" s="1039">
        <v>53205070100000</v>
      </c>
      <c r="C296" s="1004" t="s">
        <v>29</v>
      </c>
      <c r="D296" s="1019">
        <f t="shared" si="64"/>
        <v>0</v>
      </c>
      <c r="E296" s="1019">
        <v>0</v>
      </c>
      <c r="F296" s="1065">
        <v>0</v>
      </c>
      <c r="G296" s="1008">
        <f t="shared" si="62"/>
        <v>0</v>
      </c>
      <c r="H296" s="1009">
        <f t="shared" si="65"/>
        <v>0</v>
      </c>
    </row>
    <row r="297" spans="1:8" x14ac:dyDescent="0.2">
      <c r="A297" s="1239"/>
      <c r="B297" s="1039">
        <v>53208010100000</v>
      </c>
      <c r="C297" s="1004" t="s">
        <v>30</v>
      </c>
      <c r="D297" s="1019">
        <f t="shared" si="64"/>
        <v>2382670.7999999998</v>
      </c>
      <c r="E297" s="1019">
        <v>0</v>
      </c>
      <c r="F297" s="1065">
        <v>0</v>
      </c>
      <c r="G297" s="1008">
        <f t="shared" si="62"/>
        <v>0</v>
      </c>
      <c r="H297" s="1009">
        <f t="shared" si="65"/>
        <v>2382670.7999999998</v>
      </c>
    </row>
    <row r="298" spans="1:8" x14ac:dyDescent="0.2">
      <c r="A298" s="1239"/>
      <c r="B298" s="1039">
        <v>53208070100001</v>
      </c>
      <c r="C298" s="1004" t="s">
        <v>31</v>
      </c>
      <c r="D298" s="1010">
        <f t="shared" si="64"/>
        <v>0</v>
      </c>
      <c r="E298" s="1010">
        <v>0</v>
      </c>
      <c r="F298" s="1064">
        <v>0</v>
      </c>
      <c r="G298" s="1008">
        <f t="shared" si="62"/>
        <v>0</v>
      </c>
      <c r="H298" s="1009">
        <f t="shared" si="65"/>
        <v>0</v>
      </c>
    </row>
    <row r="299" spans="1:8" x14ac:dyDescent="0.2">
      <c r="A299" s="1239"/>
      <c r="B299" s="1039">
        <v>53208100100001</v>
      </c>
      <c r="C299" s="1004" t="s">
        <v>196</v>
      </c>
      <c r="D299" s="1019">
        <f t="shared" si="64"/>
        <v>0</v>
      </c>
      <c r="E299" s="1019">
        <v>0</v>
      </c>
      <c r="F299" s="1065">
        <v>0</v>
      </c>
      <c r="G299" s="1008">
        <f t="shared" si="62"/>
        <v>0</v>
      </c>
      <c r="H299" s="1009">
        <f t="shared" si="65"/>
        <v>0</v>
      </c>
    </row>
    <row r="300" spans="1:8" x14ac:dyDescent="0.2">
      <c r="A300" s="1239"/>
      <c r="B300" s="1039">
        <v>53211030000000</v>
      </c>
      <c r="C300" s="1004" t="s">
        <v>32</v>
      </c>
      <c r="D300" s="1019">
        <f t="shared" si="64"/>
        <v>0</v>
      </c>
      <c r="E300" s="1019">
        <v>0</v>
      </c>
      <c r="F300" s="1065">
        <v>0</v>
      </c>
      <c r="G300" s="1008">
        <f t="shared" si="62"/>
        <v>0</v>
      </c>
      <c r="H300" s="1009">
        <f t="shared" si="65"/>
        <v>0</v>
      </c>
    </row>
    <row r="301" spans="1:8" x14ac:dyDescent="0.2">
      <c r="A301" s="1239"/>
      <c r="B301" s="1039">
        <v>53212020100000</v>
      </c>
      <c r="C301" s="1004" t="s">
        <v>197</v>
      </c>
      <c r="D301" s="1019">
        <f t="shared" si="64"/>
        <v>2135192.4</v>
      </c>
      <c r="E301" s="1019">
        <v>0</v>
      </c>
      <c r="F301" s="1065">
        <v>0</v>
      </c>
      <c r="G301" s="1008">
        <f t="shared" si="62"/>
        <v>0</v>
      </c>
      <c r="H301" s="1009">
        <f t="shared" si="65"/>
        <v>2135192.4</v>
      </c>
    </row>
    <row r="302" spans="1:8" ht="13.5" customHeight="1" x14ac:dyDescent="0.2">
      <c r="A302" s="1239"/>
      <c r="B302" s="1039">
        <v>53214020000000</v>
      </c>
      <c r="C302" s="1004" t="s">
        <v>198</v>
      </c>
      <c r="D302" s="1010">
        <f>+M228</f>
        <v>0</v>
      </c>
      <c r="E302" s="1010">
        <v>0</v>
      </c>
      <c r="F302" s="1064">
        <v>0</v>
      </c>
      <c r="G302" s="1008">
        <f t="shared" si="62"/>
        <v>0</v>
      </c>
      <c r="H302" s="1009">
        <f t="shared" si="65"/>
        <v>0</v>
      </c>
    </row>
    <row r="303" spans="1:8" x14ac:dyDescent="0.2">
      <c r="A303" s="1239"/>
      <c r="B303" s="994"/>
      <c r="C303" s="995" t="s">
        <v>34</v>
      </c>
      <c r="D303" s="1066">
        <f>+D304+D309+D311+D320+D329+D337</f>
        <v>5214107.96</v>
      </c>
      <c r="E303" s="1067"/>
      <c r="F303" s="1067"/>
      <c r="G303" s="996">
        <f>SUM(G304,G309,G311,G320,G329,G337)</f>
        <v>1041631.78</v>
      </c>
      <c r="H303" s="1068">
        <f>SUM(H304,H309,H311,H320,H329,H337)</f>
        <v>9509252.0184000004</v>
      </c>
    </row>
    <row r="304" spans="1:8" x14ac:dyDescent="0.2">
      <c r="A304" s="1239"/>
      <c r="B304" s="1037"/>
      <c r="C304" s="1000" t="s">
        <v>35</v>
      </c>
      <c r="D304" s="1012">
        <f>SUM(D305:D308)</f>
        <v>447149.96</v>
      </c>
      <c r="E304" s="1063"/>
      <c r="F304" s="1063"/>
      <c r="G304" s="1001">
        <f>SUM(G305:G308)</f>
        <v>296021.78000000003</v>
      </c>
      <c r="H304" s="1001">
        <f>SUM(H305:H308)</f>
        <v>743171.74</v>
      </c>
    </row>
    <row r="305" spans="1:8" x14ac:dyDescent="0.2">
      <c r="A305" s="1239"/>
      <c r="B305" s="1039">
        <v>53202020100000</v>
      </c>
      <c r="C305" s="1004" t="s">
        <v>199</v>
      </c>
      <c r="D305" s="988">
        <f>D239</f>
        <v>104179.16</v>
      </c>
      <c r="E305" s="1010">
        <f>E239</f>
        <v>20829.580000000002</v>
      </c>
      <c r="F305" s="1064">
        <v>9</v>
      </c>
      <c r="G305" s="1008">
        <f>E305*F305</f>
        <v>187466.22000000003</v>
      </c>
      <c r="H305" s="1009">
        <f t="shared" ref="H305:H308" si="66">D305+G305</f>
        <v>291645.38</v>
      </c>
    </row>
    <row r="306" spans="1:8" x14ac:dyDescent="0.2">
      <c r="A306" s="1239"/>
      <c r="B306" s="1039">
        <v>53202030000000</v>
      </c>
      <c r="C306" s="1004" t="s">
        <v>200</v>
      </c>
      <c r="D306" s="988">
        <v>0</v>
      </c>
      <c r="E306" s="1010">
        <f>E240</f>
        <v>54277.78</v>
      </c>
      <c r="F306" s="1064">
        <v>2</v>
      </c>
      <c r="G306" s="1008">
        <f t="shared" ref="G306:G308" si="67">E306*F306</f>
        <v>108555.56</v>
      </c>
      <c r="H306" s="1009">
        <f t="shared" si="66"/>
        <v>108555.56</v>
      </c>
    </row>
    <row r="307" spans="1:8" x14ac:dyDescent="0.2">
      <c r="A307" s="1239"/>
      <c r="B307" s="1039">
        <v>53211020000000</v>
      </c>
      <c r="C307" s="1004" t="s">
        <v>41</v>
      </c>
      <c r="D307" s="1019">
        <f>+M231</f>
        <v>252000</v>
      </c>
      <c r="E307" s="1019">
        <v>0</v>
      </c>
      <c r="F307" s="1065">
        <v>0</v>
      </c>
      <c r="G307" s="1008">
        <f t="shared" si="67"/>
        <v>0</v>
      </c>
      <c r="H307" s="1009">
        <f t="shared" si="66"/>
        <v>252000</v>
      </c>
    </row>
    <row r="308" spans="1:8" x14ac:dyDescent="0.2">
      <c r="A308" s="1239"/>
      <c r="B308" s="1039">
        <v>53101040600000</v>
      </c>
      <c r="C308" s="1004" t="s">
        <v>201</v>
      </c>
      <c r="D308" s="1019">
        <f>+M232</f>
        <v>90970.8</v>
      </c>
      <c r="E308" s="1019">
        <v>0</v>
      </c>
      <c r="F308" s="1065">
        <v>0</v>
      </c>
      <c r="G308" s="1008">
        <f t="shared" si="67"/>
        <v>0</v>
      </c>
      <c r="H308" s="1009">
        <f t="shared" si="66"/>
        <v>90970.8</v>
      </c>
    </row>
    <row r="309" spans="1:8" x14ac:dyDescent="0.2">
      <c r="A309" s="1239"/>
      <c r="B309" s="1037"/>
      <c r="C309" s="1000" t="s">
        <v>42</v>
      </c>
      <c r="D309" s="1012">
        <f>SUM(D310)</f>
        <v>0</v>
      </c>
      <c r="E309" s="1063"/>
      <c r="F309" s="1063"/>
      <c r="G309" s="1025">
        <f>SUM(G310:G310)</f>
        <v>0</v>
      </c>
      <c r="H309" s="1001">
        <f>SUM(H310:H310)</f>
        <v>0</v>
      </c>
    </row>
    <row r="310" spans="1:8" x14ac:dyDescent="0.2">
      <c r="A310" s="1239"/>
      <c r="B310" s="1042">
        <v>53205990000000</v>
      </c>
      <c r="C310" s="1004" t="s">
        <v>44</v>
      </c>
      <c r="D310" s="1019">
        <f>+M234</f>
        <v>0</v>
      </c>
      <c r="E310" s="1019">
        <v>0</v>
      </c>
      <c r="F310" s="1065">
        <v>0</v>
      </c>
      <c r="G310" s="1008">
        <f t="shared" ref="G310" si="68">E310*F310</f>
        <v>0</v>
      </c>
      <c r="H310" s="1009">
        <f t="shared" ref="H310" si="69">D310+G310</f>
        <v>0</v>
      </c>
    </row>
    <row r="311" spans="1:8" x14ac:dyDescent="0.2">
      <c r="A311" s="1239"/>
      <c r="B311" s="1037"/>
      <c r="C311" s="1000" t="s">
        <v>45</v>
      </c>
      <c r="D311" s="1012">
        <f>SUM(D312:D319)</f>
        <v>4211838</v>
      </c>
      <c r="E311" s="1063"/>
      <c r="F311" s="1063"/>
      <c r="G311" s="1001">
        <f>SUM(G312:G319)</f>
        <v>104200</v>
      </c>
      <c r="H311" s="1001">
        <f>SUM(H312:H319)</f>
        <v>4316038</v>
      </c>
    </row>
    <row r="312" spans="1:8" x14ac:dyDescent="0.2">
      <c r="A312" s="1239"/>
      <c r="B312" s="1039">
        <v>53204010000000</v>
      </c>
      <c r="C312" s="1004" t="s">
        <v>47</v>
      </c>
      <c r="D312" s="1019">
        <f>+M236</f>
        <v>623280</v>
      </c>
      <c r="E312" s="1019">
        <v>0</v>
      </c>
      <c r="F312" s="1065">
        <v>0</v>
      </c>
      <c r="G312" s="1069">
        <f t="shared" ref="G312:G319" si="70">E312*F312</f>
        <v>0</v>
      </c>
      <c r="H312" s="1009">
        <f t="shared" ref="H312:H319" si="71">D312+G312</f>
        <v>623280</v>
      </c>
    </row>
    <row r="313" spans="1:8" x14ac:dyDescent="0.2">
      <c r="A313" s="1239"/>
      <c r="B313" s="1042">
        <v>53204040200000</v>
      </c>
      <c r="C313" s="1004" t="s">
        <v>231</v>
      </c>
      <c r="D313" s="1019">
        <f t="shared" ref="D313:D316" si="72">+M237</f>
        <v>73224</v>
      </c>
      <c r="E313" s="1019">
        <v>0</v>
      </c>
      <c r="F313" s="1065">
        <v>0</v>
      </c>
      <c r="G313" s="1069">
        <f t="shared" si="70"/>
        <v>0</v>
      </c>
      <c r="H313" s="1009">
        <f t="shared" si="71"/>
        <v>73224</v>
      </c>
    </row>
    <row r="314" spans="1:8" x14ac:dyDescent="0.2">
      <c r="A314" s="1239"/>
      <c r="B314" s="1039">
        <v>53204060000000</v>
      </c>
      <c r="C314" s="1004" t="s">
        <v>49</v>
      </c>
      <c r="D314" s="1019">
        <f t="shared" si="72"/>
        <v>0</v>
      </c>
      <c r="E314" s="1019">
        <v>0</v>
      </c>
      <c r="F314" s="1065">
        <v>0</v>
      </c>
      <c r="G314" s="1069">
        <f t="shared" si="70"/>
        <v>0</v>
      </c>
      <c r="H314" s="1009">
        <f t="shared" si="71"/>
        <v>0</v>
      </c>
    </row>
    <row r="315" spans="1:8" x14ac:dyDescent="0.2">
      <c r="A315" s="1239"/>
      <c r="B315" s="1039">
        <v>53204070000000</v>
      </c>
      <c r="C315" s="1004" t="s">
        <v>50</v>
      </c>
      <c r="D315" s="1019">
        <f t="shared" si="72"/>
        <v>2390526</v>
      </c>
      <c r="E315" s="1019">
        <v>0</v>
      </c>
      <c r="F315" s="1065">
        <v>0</v>
      </c>
      <c r="G315" s="1069">
        <f t="shared" si="70"/>
        <v>0</v>
      </c>
      <c r="H315" s="1009">
        <f t="shared" si="71"/>
        <v>2390526</v>
      </c>
    </row>
    <row r="316" spans="1:8" x14ac:dyDescent="0.2">
      <c r="A316" s="1239"/>
      <c r="B316" s="1039">
        <v>53204080000000</v>
      </c>
      <c r="C316" s="1004" t="s">
        <v>51</v>
      </c>
      <c r="D316" s="1019">
        <f t="shared" si="72"/>
        <v>512760</v>
      </c>
      <c r="E316" s="1019">
        <v>0</v>
      </c>
      <c r="F316" s="1065">
        <v>0</v>
      </c>
      <c r="G316" s="1069">
        <f t="shared" si="70"/>
        <v>0</v>
      </c>
      <c r="H316" s="1009">
        <f t="shared" si="71"/>
        <v>512760</v>
      </c>
    </row>
    <row r="317" spans="1:8" x14ac:dyDescent="0.2">
      <c r="A317" s="1239"/>
      <c r="B317" s="1039">
        <v>53214010000000</v>
      </c>
      <c r="C317" s="1004" t="s">
        <v>52</v>
      </c>
      <c r="D317" s="1010">
        <f>+M241</f>
        <v>323400</v>
      </c>
      <c r="E317" s="1010"/>
      <c r="F317" s="1064">
        <v>0</v>
      </c>
      <c r="G317" s="1069">
        <f t="shared" si="70"/>
        <v>0</v>
      </c>
      <c r="H317" s="1009">
        <f t="shared" si="71"/>
        <v>323400</v>
      </c>
    </row>
    <row r="318" spans="1:8" x14ac:dyDescent="0.2">
      <c r="A318" s="1239"/>
      <c r="B318" s="1039">
        <v>53214040000000</v>
      </c>
      <c r="C318" s="1004" t="s">
        <v>202</v>
      </c>
      <c r="D318" s="1010">
        <f>+M242</f>
        <v>0</v>
      </c>
      <c r="E318" s="1010">
        <f>E252</f>
        <v>52100</v>
      </c>
      <c r="F318" s="1064">
        <v>2</v>
      </c>
      <c r="G318" s="1069">
        <f t="shared" si="70"/>
        <v>104200</v>
      </c>
      <c r="H318" s="1009">
        <f t="shared" si="71"/>
        <v>104200</v>
      </c>
    </row>
    <row r="319" spans="1:8" x14ac:dyDescent="0.2">
      <c r="A319" s="1239"/>
      <c r="B319" s="376">
        <v>53204020100000</v>
      </c>
      <c r="C319" s="1004" t="s">
        <v>194</v>
      </c>
      <c r="D319" s="1019">
        <f>+M243</f>
        <v>288648</v>
      </c>
      <c r="E319" s="1019">
        <v>0</v>
      </c>
      <c r="F319" s="1065">
        <v>0</v>
      </c>
      <c r="G319" s="1069">
        <f t="shared" si="70"/>
        <v>0</v>
      </c>
      <c r="H319" s="1009">
        <f t="shared" si="71"/>
        <v>288648</v>
      </c>
    </row>
    <row r="320" spans="1:8" x14ac:dyDescent="0.2">
      <c r="A320" s="1239"/>
      <c r="B320" s="1037"/>
      <c r="C320" s="1000" t="s">
        <v>55</v>
      </c>
      <c r="D320" s="1012"/>
      <c r="E320" s="1063"/>
      <c r="F320" s="1063"/>
      <c r="G320" s="1001">
        <f>SUM(G321:G328)</f>
        <v>221410</v>
      </c>
      <c r="H320" s="1038">
        <f>SUM(H321:H328)</f>
        <v>3474922.2784000002</v>
      </c>
    </row>
    <row r="321" spans="1:8" x14ac:dyDescent="0.2">
      <c r="A321" s="1239"/>
      <c r="B321" s="1039">
        <v>53207010000000</v>
      </c>
      <c r="C321" s="1004" t="s">
        <v>56</v>
      </c>
      <c r="D321" s="1019">
        <f>+M245</f>
        <v>0</v>
      </c>
      <c r="E321" s="1019">
        <v>0</v>
      </c>
      <c r="F321" s="1065">
        <v>0</v>
      </c>
      <c r="G321" s="1069">
        <f t="shared" ref="G321:G328" si="73">E321*F321</f>
        <v>0</v>
      </c>
      <c r="H321" s="1009">
        <f t="shared" ref="H321:H328" si="74">D321+G321</f>
        <v>0</v>
      </c>
    </row>
    <row r="322" spans="1:8" x14ac:dyDescent="0.2">
      <c r="A322" s="1239"/>
      <c r="B322" s="1039">
        <v>53207020000000</v>
      </c>
      <c r="C322" s="1004" t="s">
        <v>57</v>
      </c>
      <c r="D322" s="1019">
        <f t="shared" ref="D322:D324" si="75">+M246</f>
        <v>0</v>
      </c>
      <c r="E322" s="1019">
        <v>0</v>
      </c>
      <c r="F322" s="1065">
        <v>0</v>
      </c>
      <c r="G322" s="1069">
        <f t="shared" si="73"/>
        <v>0</v>
      </c>
      <c r="H322" s="1009">
        <f t="shared" si="74"/>
        <v>0</v>
      </c>
    </row>
    <row r="323" spans="1:8" x14ac:dyDescent="0.2">
      <c r="A323" s="1239"/>
      <c r="B323" s="1039">
        <v>53208020000000</v>
      </c>
      <c r="C323" s="1004" t="s">
        <v>185</v>
      </c>
      <c r="D323" s="1019">
        <f t="shared" si="75"/>
        <v>831243.41280000005</v>
      </c>
      <c r="E323" s="1019">
        <v>0</v>
      </c>
      <c r="F323" s="1065">
        <v>0</v>
      </c>
      <c r="G323" s="1069">
        <f t="shared" si="73"/>
        <v>0</v>
      </c>
      <c r="H323" s="1009">
        <f t="shared" si="74"/>
        <v>831243.41280000005</v>
      </c>
    </row>
    <row r="324" spans="1:8" x14ac:dyDescent="0.2">
      <c r="A324" s="1239"/>
      <c r="B324" s="1039">
        <v>53208990000000</v>
      </c>
      <c r="C324" s="1004" t="s">
        <v>203</v>
      </c>
      <c r="D324" s="1019">
        <f t="shared" si="75"/>
        <v>342502.06560000003</v>
      </c>
      <c r="E324" s="1019">
        <v>0</v>
      </c>
      <c r="F324" s="1065">
        <v>0</v>
      </c>
      <c r="G324" s="1069">
        <f t="shared" si="73"/>
        <v>0</v>
      </c>
      <c r="H324" s="1009">
        <f t="shared" si="74"/>
        <v>342502.06560000003</v>
      </c>
    </row>
    <row r="325" spans="1:8" x14ac:dyDescent="0.2">
      <c r="A325" s="1239"/>
      <c r="B325" s="376">
        <v>53210020300000</v>
      </c>
      <c r="C325" s="1004" t="s">
        <v>205</v>
      </c>
      <c r="D325" s="1028">
        <v>0</v>
      </c>
      <c r="E325" s="1029">
        <v>6326</v>
      </c>
      <c r="F325" s="1070">
        <f>+'[1]B) Reajuste Tarifas y Ocupación'!I48</f>
        <v>35</v>
      </c>
      <c r="G325" s="1008">
        <f t="shared" si="73"/>
        <v>221410</v>
      </c>
      <c r="H325" s="1009">
        <f t="shared" si="74"/>
        <v>221410</v>
      </c>
    </row>
    <row r="326" spans="1:8" x14ac:dyDescent="0.2">
      <c r="A326" s="1239"/>
      <c r="B326" s="1039">
        <v>53208990000000</v>
      </c>
      <c r="C326" s="1004" t="s">
        <v>206</v>
      </c>
      <c r="D326" s="1019">
        <f>+M249</f>
        <v>0</v>
      </c>
      <c r="E326" s="1019">
        <v>0</v>
      </c>
      <c r="F326" s="1065">
        <v>0</v>
      </c>
      <c r="G326" s="1008">
        <f t="shared" si="73"/>
        <v>0</v>
      </c>
      <c r="H326" s="1009">
        <f t="shared" si="74"/>
        <v>0</v>
      </c>
    </row>
    <row r="327" spans="1:8" x14ac:dyDescent="0.2">
      <c r="A327" s="1239"/>
      <c r="B327" s="1039">
        <v>53209990000000</v>
      </c>
      <c r="C327" s="1004" t="s">
        <v>204</v>
      </c>
      <c r="D327" s="1019">
        <f t="shared" ref="D327:D328" si="76">+M250</f>
        <v>175056</v>
      </c>
      <c r="E327" s="1019">
        <v>0</v>
      </c>
      <c r="F327" s="1065">
        <v>0</v>
      </c>
      <c r="G327" s="1008">
        <f t="shared" si="73"/>
        <v>0</v>
      </c>
      <c r="H327" s="1009">
        <f t="shared" si="74"/>
        <v>175056</v>
      </c>
    </row>
    <row r="328" spans="1:8" x14ac:dyDescent="0.2">
      <c r="A328" s="1239"/>
      <c r="B328" s="1039">
        <v>53210020100000</v>
      </c>
      <c r="C328" s="1004" t="s">
        <v>64</v>
      </c>
      <c r="D328" s="1019">
        <f t="shared" si="76"/>
        <v>1904710.7999999998</v>
      </c>
      <c r="E328" s="1019">
        <v>0</v>
      </c>
      <c r="F328" s="1065">
        <v>0</v>
      </c>
      <c r="G328" s="1008">
        <f t="shared" si="73"/>
        <v>0</v>
      </c>
      <c r="H328" s="1009">
        <f t="shared" si="74"/>
        <v>1904710.7999999998</v>
      </c>
    </row>
    <row r="329" spans="1:8" x14ac:dyDescent="0.2">
      <c r="A329" s="1239"/>
      <c r="B329" s="1037"/>
      <c r="C329" s="1000" t="s">
        <v>65</v>
      </c>
      <c r="D329" s="1012">
        <f>SUM(D330:D336)</f>
        <v>555120</v>
      </c>
      <c r="E329" s="1063"/>
      <c r="F329" s="1063"/>
      <c r="G329" s="1001">
        <f>SUM(G330:G336)</f>
        <v>0</v>
      </c>
      <c r="H329" s="1038">
        <f>SUM(H330:H336)</f>
        <v>555120</v>
      </c>
    </row>
    <row r="330" spans="1:8" x14ac:dyDescent="0.2">
      <c r="A330" s="1239"/>
      <c r="B330" s="1039">
        <v>53206030000000</v>
      </c>
      <c r="C330" s="1004" t="s">
        <v>99</v>
      </c>
      <c r="D330" s="1019">
        <f>+M253</f>
        <v>0</v>
      </c>
      <c r="E330" s="1019">
        <v>0</v>
      </c>
      <c r="F330" s="1065">
        <v>0</v>
      </c>
      <c r="G330" s="1008">
        <f t="shared" ref="G330:G336" si="77">E330*F330</f>
        <v>0</v>
      </c>
      <c r="H330" s="1009">
        <f t="shared" ref="H330:H336" si="78">D330+G330</f>
        <v>0</v>
      </c>
    </row>
    <row r="331" spans="1:8" x14ac:dyDescent="0.2">
      <c r="A331" s="1239"/>
      <c r="B331" s="1039">
        <v>53206040000000</v>
      </c>
      <c r="C331" s="1004" t="s">
        <v>100</v>
      </c>
      <c r="D331" s="1019">
        <f t="shared" ref="D331:D336" si="79">+M254</f>
        <v>0</v>
      </c>
      <c r="E331" s="1019">
        <v>0</v>
      </c>
      <c r="F331" s="1065">
        <v>0</v>
      </c>
      <c r="G331" s="1008">
        <f t="shared" si="77"/>
        <v>0</v>
      </c>
      <c r="H331" s="1009">
        <f t="shared" si="78"/>
        <v>0</v>
      </c>
    </row>
    <row r="332" spans="1:8" x14ac:dyDescent="0.2">
      <c r="A332" s="1239"/>
      <c r="B332" s="1039">
        <v>53206060000000</v>
      </c>
      <c r="C332" s="1004" t="s">
        <v>207</v>
      </c>
      <c r="D332" s="1019">
        <f t="shared" si="79"/>
        <v>180000</v>
      </c>
      <c r="E332" s="1019">
        <v>0</v>
      </c>
      <c r="F332" s="1065">
        <v>0</v>
      </c>
      <c r="G332" s="1008">
        <f t="shared" si="77"/>
        <v>0</v>
      </c>
      <c r="H332" s="1009">
        <f t="shared" si="78"/>
        <v>180000</v>
      </c>
    </row>
    <row r="333" spans="1:8" x14ac:dyDescent="0.2">
      <c r="A333" s="1239"/>
      <c r="B333" s="1039">
        <v>53206070000000</v>
      </c>
      <c r="C333" s="1004" t="s">
        <v>102</v>
      </c>
      <c r="D333" s="1019">
        <f t="shared" si="79"/>
        <v>0</v>
      </c>
      <c r="E333" s="1019">
        <v>0</v>
      </c>
      <c r="F333" s="1065">
        <v>0</v>
      </c>
      <c r="G333" s="1008">
        <f t="shared" si="77"/>
        <v>0</v>
      </c>
      <c r="H333" s="1009">
        <f t="shared" si="78"/>
        <v>0</v>
      </c>
    </row>
    <row r="334" spans="1:8" x14ac:dyDescent="0.2">
      <c r="A334" s="1239"/>
      <c r="B334" s="1039">
        <v>53206990000000</v>
      </c>
      <c r="C334" s="1004" t="s">
        <v>208</v>
      </c>
      <c r="D334" s="1019">
        <f t="shared" si="79"/>
        <v>0</v>
      </c>
      <c r="E334" s="1019">
        <v>0</v>
      </c>
      <c r="F334" s="1065">
        <v>0</v>
      </c>
      <c r="G334" s="1008">
        <f t="shared" si="77"/>
        <v>0</v>
      </c>
      <c r="H334" s="1009">
        <f t="shared" si="78"/>
        <v>0</v>
      </c>
    </row>
    <row r="335" spans="1:8" x14ac:dyDescent="0.2">
      <c r="A335" s="1239"/>
      <c r="B335" s="1039">
        <v>53208030000000</v>
      </c>
      <c r="C335" s="1004" t="s">
        <v>104</v>
      </c>
      <c r="D335" s="1019">
        <f t="shared" si="79"/>
        <v>375120</v>
      </c>
      <c r="E335" s="1019">
        <v>0</v>
      </c>
      <c r="F335" s="1065">
        <v>0</v>
      </c>
      <c r="G335" s="1008">
        <f t="shared" si="77"/>
        <v>0</v>
      </c>
      <c r="H335" s="1009">
        <f t="shared" si="78"/>
        <v>375120</v>
      </c>
    </row>
    <row r="336" spans="1:8" x14ac:dyDescent="0.2">
      <c r="A336" s="1239"/>
      <c r="B336" s="1039">
        <v>53206990000000</v>
      </c>
      <c r="C336" s="1004" t="s">
        <v>232</v>
      </c>
      <c r="D336" s="1019">
        <f t="shared" si="79"/>
        <v>0</v>
      </c>
      <c r="E336" s="1019">
        <v>0</v>
      </c>
      <c r="F336" s="1065">
        <v>0</v>
      </c>
      <c r="G336" s="1008">
        <f t="shared" si="77"/>
        <v>0</v>
      </c>
      <c r="H336" s="1009">
        <f t="shared" si="78"/>
        <v>0</v>
      </c>
    </row>
    <row r="337" spans="1:10" x14ac:dyDescent="0.2">
      <c r="A337" s="1239"/>
      <c r="B337" s="1037"/>
      <c r="C337" s="1000" t="s">
        <v>66</v>
      </c>
      <c r="D337" s="1012">
        <f>SUM(D338:D338)</f>
        <v>0</v>
      </c>
      <c r="E337" s="1063"/>
      <c r="F337" s="1063"/>
      <c r="G337" s="1001">
        <f>SUM(G338:G338)</f>
        <v>420000</v>
      </c>
      <c r="H337" s="1038">
        <f>SUM(H338:H338)</f>
        <v>420000</v>
      </c>
    </row>
    <row r="338" spans="1:10" x14ac:dyDescent="0.2">
      <c r="A338" s="1239"/>
      <c r="B338" s="378"/>
      <c r="C338" s="1043" t="s">
        <v>233</v>
      </c>
      <c r="D338" s="988">
        <v>0</v>
      </c>
      <c r="E338" s="988">
        <v>12000</v>
      </c>
      <c r="F338" s="1064">
        <v>35</v>
      </c>
      <c r="G338" s="1008">
        <f t="shared" ref="G338" si="80">E338*F338</f>
        <v>420000</v>
      </c>
      <c r="H338" s="1044">
        <f t="shared" ref="H338" si="81">D338+G338</f>
        <v>420000</v>
      </c>
      <c r="I338" s="1032" t="s">
        <v>234</v>
      </c>
      <c r="J338" s="1028">
        <f>+H336+H335+H334+H333+H332+H331+H330+H328+H327+H326+H325+H324+H323+H322+H321+H319+H316+H315+H314+H313+H312+H310+H308+H307+H301+H300+H299+H297+H296+H295+H294+H293+H292+H291+H290+H289+H288+H287</f>
        <v>18749986.878399998</v>
      </c>
    </row>
    <row r="339" spans="1:10" x14ac:dyDescent="0.2">
      <c r="A339" s="1239"/>
      <c r="B339" s="1045"/>
      <c r="C339" s="1071" t="s">
        <v>105</v>
      </c>
      <c r="D339" s="1033">
        <f>SUM(D276,D303)</f>
        <v>130561139.52000001</v>
      </c>
      <c r="E339" s="1072"/>
      <c r="F339" s="1072"/>
      <c r="G339" s="1033">
        <f>SUM(G276,G303)</f>
        <v>15679111.779999999</v>
      </c>
      <c r="H339" s="1047">
        <f>SUM(H276,H303)</f>
        <v>149493763.57840005</v>
      </c>
      <c r="I339" s="1035" t="s">
        <v>235</v>
      </c>
      <c r="J339" s="1036">
        <f>+H339-J338</f>
        <v>130743776.70000005</v>
      </c>
    </row>
    <row r="340" spans="1:10" ht="12.75" customHeight="1" x14ac:dyDescent="0.2">
      <c r="A340" s="1241" t="s">
        <v>82</v>
      </c>
      <c r="B340" s="1247" t="s">
        <v>76</v>
      </c>
      <c r="C340" s="1250" t="s">
        <v>77</v>
      </c>
      <c r="D340" s="1255" t="s">
        <v>78</v>
      </c>
      <c r="E340" s="1256" t="s">
        <v>79</v>
      </c>
      <c r="F340" s="1256"/>
      <c r="G340" s="1256"/>
      <c r="H340" s="1258" t="s">
        <v>283</v>
      </c>
    </row>
    <row r="341" spans="1:10" ht="25.5" x14ac:dyDescent="0.2">
      <c r="A341" s="1242"/>
      <c r="B341" s="1244"/>
      <c r="C341" s="1251"/>
      <c r="D341" s="1255"/>
      <c r="E341" s="1058" t="s">
        <v>67</v>
      </c>
      <c r="F341" s="1059" t="s">
        <v>68</v>
      </c>
      <c r="G341" s="1057" t="s">
        <v>6</v>
      </c>
      <c r="H341" s="1259"/>
    </row>
    <row r="342" spans="1:10" ht="15.75" customHeight="1" x14ac:dyDescent="0.2">
      <c r="A342" s="1238" t="s">
        <v>152</v>
      </c>
      <c r="B342" s="994"/>
      <c r="C342" s="995" t="s">
        <v>11</v>
      </c>
      <c r="D342" s="1073">
        <f>+D343+D348</f>
        <v>0</v>
      </c>
      <c r="E342" s="1074"/>
      <c r="F342" s="1074"/>
      <c r="G342" s="1075">
        <f>SUM(G343,G348)</f>
        <v>0</v>
      </c>
      <c r="H342" s="1076">
        <f>SUM(H343,H348)</f>
        <v>0</v>
      </c>
    </row>
    <row r="343" spans="1:10" x14ac:dyDescent="0.2">
      <c r="A343" s="1239"/>
      <c r="B343" s="1037"/>
      <c r="C343" s="1000" t="s">
        <v>12</v>
      </c>
      <c r="D343" s="1077">
        <f>SUM(D344:D347)</f>
        <v>0</v>
      </c>
      <c r="E343" s="1078"/>
      <c r="F343" s="1078"/>
      <c r="G343" s="1079">
        <f>SUM(G344:G347)</f>
        <v>0</v>
      </c>
      <c r="H343" s="1080">
        <f>SUM(H344:H347)</f>
        <v>0</v>
      </c>
    </row>
    <row r="344" spans="1:10" x14ac:dyDescent="0.2">
      <c r="A344" s="1239"/>
      <c r="B344" s="1039">
        <v>53103040100000</v>
      </c>
      <c r="C344" s="1004" t="s">
        <v>95</v>
      </c>
      <c r="D344" s="1081">
        <f>+'[1]F) Remuneraciones'!L86</f>
        <v>0</v>
      </c>
      <c r="E344" s="1082">
        <v>0</v>
      </c>
      <c r="F344" s="1083">
        <v>0</v>
      </c>
      <c r="G344" s="1082">
        <f>E344*F344</f>
        <v>0</v>
      </c>
      <c r="H344" s="1084">
        <f>D344+G344</f>
        <v>0</v>
      </c>
    </row>
    <row r="345" spans="1:10" x14ac:dyDescent="0.2">
      <c r="A345" s="1239"/>
      <c r="B345" s="1039">
        <v>53103050000000</v>
      </c>
      <c r="C345" s="1004" t="s">
        <v>186</v>
      </c>
      <c r="D345" s="1085">
        <v>0</v>
      </c>
      <c r="E345" s="1086">
        <v>0</v>
      </c>
      <c r="F345" s="1087">
        <v>0</v>
      </c>
      <c r="G345" s="1082">
        <f>E345*F345</f>
        <v>0</v>
      </c>
      <c r="H345" s="1084">
        <f>D345+G345</f>
        <v>0</v>
      </c>
    </row>
    <row r="346" spans="1:10" x14ac:dyDescent="0.2">
      <c r="A346" s="1239"/>
      <c r="B346" s="376">
        <v>53103040400000</v>
      </c>
      <c r="C346" s="377" t="s">
        <v>187</v>
      </c>
      <c r="D346" s="1085">
        <v>0</v>
      </c>
      <c r="E346" s="1086">
        <v>0</v>
      </c>
      <c r="F346" s="1087">
        <v>0</v>
      </c>
      <c r="G346" s="1082">
        <f>E346*F346</f>
        <v>0</v>
      </c>
      <c r="H346" s="1084">
        <f>D346+G346</f>
        <v>0</v>
      </c>
    </row>
    <row r="347" spans="1:10" x14ac:dyDescent="0.2">
      <c r="A347" s="1239"/>
      <c r="B347" s="1039">
        <v>53103080010000</v>
      </c>
      <c r="C347" s="1004" t="s">
        <v>188</v>
      </c>
      <c r="D347" s="1085">
        <v>0</v>
      </c>
      <c r="E347" s="1086">
        <v>0</v>
      </c>
      <c r="F347" s="1087">
        <v>0</v>
      </c>
      <c r="G347" s="1082">
        <f>E347*F347</f>
        <v>0</v>
      </c>
      <c r="H347" s="1084">
        <f>D347+G347</f>
        <v>0</v>
      </c>
    </row>
    <row r="348" spans="1:10" x14ac:dyDescent="0.2">
      <c r="A348" s="1239"/>
      <c r="B348" s="1037"/>
      <c r="C348" s="1000" t="s">
        <v>16</v>
      </c>
      <c r="D348" s="1077">
        <f>SUM(D349:D368)</f>
        <v>0</v>
      </c>
      <c r="E348" s="1078"/>
      <c r="F348" s="1078"/>
      <c r="G348" s="1077">
        <f>SUM(G349:G368)</f>
        <v>0</v>
      </c>
      <c r="H348" s="1080">
        <f>SUM(H349:H368)</f>
        <v>0</v>
      </c>
    </row>
    <row r="349" spans="1:10" x14ac:dyDescent="0.2">
      <c r="A349" s="1239"/>
      <c r="B349" s="1039">
        <v>53201010100000</v>
      </c>
      <c r="C349" s="1014" t="s">
        <v>189</v>
      </c>
      <c r="D349" s="1085">
        <v>0</v>
      </c>
      <c r="E349" s="1086">
        <v>0</v>
      </c>
      <c r="F349" s="1087">
        <v>0</v>
      </c>
      <c r="G349" s="1082">
        <f t="shared" ref="G349:G368" si="82">E349*F349</f>
        <v>0</v>
      </c>
      <c r="H349" s="1084">
        <f t="shared" ref="H349:H354" si="83">D349+G349</f>
        <v>0</v>
      </c>
    </row>
    <row r="350" spans="1:10" x14ac:dyDescent="0.2">
      <c r="A350" s="1239"/>
      <c r="B350" s="1039">
        <v>53201010100000</v>
      </c>
      <c r="C350" s="1014" t="s">
        <v>190</v>
      </c>
      <c r="D350" s="1085">
        <v>0</v>
      </c>
      <c r="E350" s="1086">
        <v>0</v>
      </c>
      <c r="F350" s="1087">
        <v>0</v>
      </c>
      <c r="G350" s="1082">
        <f t="shared" si="82"/>
        <v>0</v>
      </c>
      <c r="H350" s="1084">
        <f t="shared" si="83"/>
        <v>0</v>
      </c>
    </row>
    <row r="351" spans="1:10" x14ac:dyDescent="0.2">
      <c r="A351" s="1239"/>
      <c r="B351" s="1039">
        <v>53201010100000</v>
      </c>
      <c r="C351" s="1014" t="s">
        <v>191</v>
      </c>
      <c r="D351" s="1085">
        <v>0</v>
      </c>
      <c r="E351" s="1086">
        <v>0</v>
      </c>
      <c r="F351" s="1087">
        <v>0</v>
      </c>
      <c r="G351" s="1082">
        <f t="shared" si="82"/>
        <v>0</v>
      </c>
      <c r="H351" s="1084">
        <f t="shared" si="83"/>
        <v>0</v>
      </c>
    </row>
    <row r="352" spans="1:10" x14ac:dyDescent="0.2">
      <c r="A352" s="1239"/>
      <c r="B352" s="1039">
        <v>53202010100000</v>
      </c>
      <c r="C352" s="1004" t="s">
        <v>192</v>
      </c>
      <c r="D352" s="1082">
        <f>+N212</f>
        <v>0</v>
      </c>
      <c r="E352" s="1082">
        <v>0</v>
      </c>
      <c r="F352" s="1088">
        <v>0</v>
      </c>
      <c r="G352" s="1082">
        <f t="shared" si="82"/>
        <v>0</v>
      </c>
      <c r="H352" s="1084">
        <f t="shared" si="83"/>
        <v>0</v>
      </c>
    </row>
    <row r="353" spans="1:8" x14ac:dyDescent="0.2">
      <c r="A353" s="1239"/>
      <c r="B353" s="1039">
        <v>53203010100000</v>
      </c>
      <c r="C353" s="1004" t="s">
        <v>19</v>
      </c>
      <c r="D353" s="1082">
        <f t="shared" ref="D353:D368" si="84">+N213</f>
        <v>0</v>
      </c>
      <c r="E353" s="1082">
        <v>0</v>
      </c>
      <c r="F353" s="1088">
        <v>0</v>
      </c>
      <c r="G353" s="1082">
        <f t="shared" si="82"/>
        <v>0</v>
      </c>
      <c r="H353" s="1084">
        <f t="shared" si="83"/>
        <v>0</v>
      </c>
    </row>
    <row r="354" spans="1:8" x14ac:dyDescent="0.2">
      <c r="A354" s="1239"/>
      <c r="B354" s="1039">
        <v>53203030000000</v>
      </c>
      <c r="C354" s="1004" t="s">
        <v>193</v>
      </c>
      <c r="D354" s="1082">
        <f t="shared" si="84"/>
        <v>0</v>
      </c>
      <c r="E354" s="1082">
        <v>0</v>
      </c>
      <c r="F354" s="1088">
        <v>0</v>
      </c>
      <c r="G354" s="1082">
        <f t="shared" si="82"/>
        <v>0</v>
      </c>
      <c r="H354" s="1084">
        <f t="shared" si="83"/>
        <v>0</v>
      </c>
    </row>
    <row r="355" spans="1:8" x14ac:dyDescent="0.2">
      <c r="A355" s="1239"/>
      <c r="B355" s="1039">
        <v>53204030000000</v>
      </c>
      <c r="C355" s="1004" t="s">
        <v>230</v>
      </c>
      <c r="D355" s="1082">
        <f t="shared" si="84"/>
        <v>0</v>
      </c>
      <c r="E355" s="1082">
        <v>0</v>
      </c>
      <c r="F355" s="1088">
        <v>0</v>
      </c>
      <c r="G355" s="1082">
        <f t="shared" si="82"/>
        <v>0</v>
      </c>
      <c r="H355" s="1084">
        <f>D355+G355</f>
        <v>0</v>
      </c>
    </row>
    <row r="356" spans="1:8" x14ac:dyDescent="0.2">
      <c r="A356" s="1239"/>
      <c r="B356" s="1039">
        <v>53204100100001</v>
      </c>
      <c r="C356" s="1004" t="s">
        <v>22</v>
      </c>
      <c r="D356" s="1082">
        <f t="shared" si="84"/>
        <v>0</v>
      </c>
      <c r="E356" s="1082">
        <v>0</v>
      </c>
      <c r="F356" s="1088">
        <v>0</v>
      </c>
      <c r="G356" s="1082">
        <f t="shared" si="82"/>
        <v>0</v>
      </c>
      <c r="H356" s="1084">
        <f t="shared" ref="H356:H368" si="85">D356+G356</f>
        <v>0</v>
      </c>
    </row>
    <row r="357" spans="1:8" x14ac:dyDescent="0.2">
      <c r="A357" s="1239"/>
      <c r="B357" s="1039">
        <v>53204130100000</v>
      </c>
      <c r="C357" s="1004" t="s">
        <v>195</v>
      </c>
      <c r="D357" s="1082">
        <f t="shared" si="84"/>
        <v>0</v>
      </c>
      <c r="E357" s="1082">
        <v>0</v>
      </c>
      <c r="F357" s="1088">
        <v>0</v>
      </c>
      <c r="G357" s="1082">
        <f t="shared" si="82"/>
        <v>0</v>
      </c>
      <c r="H357" s="1084">
        <f t="shared" si="85"/>
        <v>0</v>
      </c>
    </row>
    <row r="358" spans="1:8" x14ac:dyDescent="0.2">
      <c r="A358" s="1239"/>
      <c r="B358" s="1039">
        <v>53205010100000</v>
      </c>
      <c r="C358" s="1004" t="s">
        <v>24</v>
      </c>
      <c r="D358" s="1082">
        <f t="shared" si="84"/>
        <v>0</v>
      </c>
      <c r="E358" s="1082">
        <v>0</v>
      </c>
      <c r="F358" s="1088">
        <v>0</v>
      </c>
      <c r="G358" s="1082">
        <f t="shared" si="82"/>
        <v>0</v>
      </c>
      <c r="H358" s="1084">
        <f t="shared" si="85"/>
        <v>0</v>
      </c>
    </row>
    <row r="359" spans="1:8" x14ac:dyDescent="0.2">
      <c r="A359" s="1239"/>
      <c r="B359" s="1039">
        <v>53205020100000</v>
      </c>
      <c r="C359" s="1004" t="s">
        <v>25</v>
      </c>
      <c r="D359" s="1082">
        <f t="shared" si="84"/>
        <v>0</v>
      </c>
      <c r="E359" s="1082">
        <v>0</v>
      </c>
      <c r="F359" s="1088">
        <v>0</v>
      </c>
      <c r="G359" s="1082">
        <f t="shared" si="82"/>
        <v>0</v>
      </c>
      <c r="H359" s="1084">
        <f t="shared" si="85"/>
        <v>0</v>
      </c>
    </row>
    <row r="360" spans="1:8" x14ac:dyDescent="0.2">
      <c r="A360" s="1239"/>
      <c r="B360" s="1039">
        <v>53205030100000</v>
      </c>
      <c r="C360" s="1004" t="s">
        <v>26</v>
      </c>
      <c r="D360" s="1082">
        <f t="shared" si="84"/>
        <v>0</v>
      </c>
      <c r="E360" s="1082">
        <v>0</v>
      </c>
      <c r="F360" s="1088">
        <v>0</v>
      </c>
      <c r="G360" s="1082">
        <f t="shared" si="82"/>
        <v>0</v>
      </c>
      <c r="H360" s="1084">
        <f t="shared" si="85"/>
        <v>0</v>
      </c>
    </row>
    <row r="361" spans="1:8" x14ac:dyDescent="0.2">
      <c r="A361" s="1239"/>
      <c r="B361" s="1039">
        <v>53205050100000</v>
      </c>
      <c r="C361" s="1004" t="s">
        <v>27</v>
      </c>
      <c r="D361" s="1082">
        <f t="shared" si="84"/>
        <v>0</v>
      </c>
      <c r="E361" s="1082">
        <v>0</v>
      </c>
      <c r="F361" s="1088">
        <v>0</v>
      </c>
      <c r="G361" s="1082">
        <f t="shared" si="82"/>
        <v>0</v>
      </c>
      <c r="H361" s="1084">
        <f t="shared" si="85"/>
        <v>0</v>
      </c>
    </row>
    <row r="362" spans="1:8" x14ac:dyDescent="0.2">
      <c r="A362" s="1239"/>
      <c r="B362" s="1039">
        <v>53205070100000</v>
      </c>
      <c r="C362" s="1004" t="s">
        <v>29</v>
      </c>
      <c r="D362" s="1082">
        <f t="shared" si="84"/>
        <v>0</v>
      </c>
      <c r="E362" s="1082">
        <v>0</v>
      </c>
      <c r="F362" s="1088">
        <v>0</v>
      </c>
      <c r="G362" s="1082">
        <f t="shared" si="82"/>
        <v>0</v>
      </c>
      <c r="H362" s="1084">
        <f t="shared" si="85"/>
        <v>0</v>
      </c>
    </row>
    <row r="363" spans="1:8" x14ac:dyDescent="0.2">
      <c r="A363" s="1239"/>
      <c r="B363" s="1039">
        <v>53208010100000</v>
      </c>
      <c r="C363" s="1004" t="s">
        <v>30</v>
      </c>
      <c r="D363" s="1082">
        <f t="shared" si="84"/>
        <v>0</v>
      </c>
      <c r="E363" s="1082">
        <v>0</v>
      </c>
      <c r="F363" s="1088">
        <v>0</v>
      </c>
      <c r="G363" s="1082">
        <f t="shared" si="82"/>
        <v>0</v>
      </c>
      <c r="H363" s="1084">
        <f t="shared" si="85"/>
        <v>0</v>
      </c>
    </row>
    <row r="364" spans="1:8" x14ac:dyDescent="0.2">
      <c r="A364" s="1239"/>
      <c r="B364" s="1039">
        <v>53208070100001</v>
      </c>
      <c r="C364" s="1004" t="s">
        <v>31</v>
      </c>
      <c r="D364" s="1082">
        <f t="shared" si="84"/>
        <v>0</v>
      </c>
      <c r="E364" s="1082">
        <v>0</v>
      </c>
      <c r="F364" s="1088">
        <v>0</v>
      </c>
      <c r="G364" s="1082">
        <f t="shared" si="82"/>
        <v>0</v>
      </c>
      <c r="H364" s="1084">
        <f t="shared" si="85"/>
        <v>0</v>
      </c>
    </row>
    <row r="365" spans="1:8" x14ac:dyDescent="0.2">
      <c r="A365" s="1239"/>
      <c r="B365" s="1039">
        <v>53208100100001</v>
      </c>
      <c r="C365" s="1004" t="s">
        <v>196</v>
      </c>
      <c r="D365" s="1082">
        <f t="shared" si="84"/>
        <v>0</v>
      </c>
      <c r="E365" s="1082">
        <v>0</v>
      </c>
      <c r="F365" s="1088">
        <v>0</v>
      </c>
      <c r="G365" s="1082">
        <f t="shared" si="82"/>
        <v>0</v>
      </c>
      <c r="H365" s="1084">
        <f t="shared" si="85"/>
        <v>0</v>
      </c>
    </row>
    <row r="366" spans="1:8" x14ac:dyDescent="0.2">
      <c r="A366" s="1239"/>
      <c r="B366" s="1039">
        <v>53211030000000</v>
      </c>
      <c r="C366" s="1004" t="s">
        <v>32</v>
      </c>
      <c r="D366" s="1082">
        <f t="shared" si="84"/>
        <v>0</v>
      </c>
      <c r="E366" s="1082">
        <v>0</v>
      </c>
      <c r="F366" s="1088">
        <v>0</v>
      </c>
      <c r="G366" s="1082">
        <f t="shared" si="82"/>
        <v>0</v>
      </c>
      <c r="H366" s="1084">
        <f t="shared" si="85"/>
        <v>0</v>
      </c>
    </row>
    <row r="367" spans="1:8" x14ac:dyDescent="0.2">
      <c r="A367" s="1239"/>
      <c r="B367" s="1039">
        <v>53212020100000</v>
      </c>
      <c r="C367" s="1004" t="s">
        <v>197</v>
      </c>
      <c r="D367" s="1082">
        <f t="shared" si="84"/>
        <v>0</v>
      </c>
      <c r="E367" s="1082">
        <v>0</v>
      </c>
      <c r="F367" s="1088">
        <v>0</v>
      </c>
      <c r="G367" s="1082">
        <f t="shared" si="82"/>
        <v>0</v>
      </c>
      <c r="H367" s="1084">
        <f t="shared" si="85"/>
        <v>0</v>
      </c>
    </row>
    <row r="368" spans="1:8" ht="15.75" customHeight="1" x14ac:dyDescent="0.2">
      <c r="A368" s="1239"/>
      <c r="B368" s="1039">
        <v>53214020000000</v>
      </c>
      <c r="C368" s="1004" t="s">
        <v>198</v>
      </c>
      <c r="D368" s="1082">
        <f t="shared" si="84"/>
        <v>0</v>
      </c>
      <c r="E368" s="1082">
        <v>0</v>
      </c>
      <c r="F368" s="1088">
        <v>0</v>
      </c>
      <c r="G368" s="1082">
        <f t="shared" si="82"/>
        <v>0</v>
      </c>
      <c r="H368" s="1084">
        <f t="shared" si="85"/>
        <v>0</v>
      </c>
    </row>
    <row r="369" spans="1:8" x14ac:dyDescent="0.2">
      <c r="A369" s="1239"/>
      <c r="B369" s="994"/>
      <c r="C369" s="995" t="s">
        <v>34</v>
      </c>
      <c r="D369" s="1089">
        <v>0</v>
      </c>
      <c r="E369" s="1090"/>
      <c r="F369" s="1090"/>
      <c r="G369" s="1073">
        <f>SUM(G370,G375,G377,G386,G395,G403)</f>
        <v>0</v>
      </c>
      <c r="H369" s="1089">
        <f>SUM(H370,H375,H377,H386,H395,H403)</f>
        <v>0</v>
      </c>
    </row>
    <row r="370" spans="1:8" x14ac:dyDescent="0.2">
      <c r="A370" s="1239"/>
      <c r="B370" s="1037"/>
      <c r="C370" s="1000" t="s">
        <v>35</v>
      </c>
      <c r="D370" s="1077">
        <f>SUM(D371:D374)</f>
        <v>0</v>
      </c>
      <c r="E370" s="1078"/>
      <c r="F370" s="1078"/>
      <c r="G370" s="1077">
        <f>SUM(G371:G374)</f>
        <v>0</v>
      </c>
      <c r="H370" s="1077">
        <f>SUM(H371:H374)</f>
        <v>0</v>
      </c>
    </row>
    <row r="371" spans="1:8" x14ac:dyDescent="0.2">
      <c r="A371" s="1239"/>
      <c r="B371" s="1039">
        <v>53202020100000</v>
      </c>
      <c r="C371" s="1004" t="s">
        <v>199</v>
      </c>
      <c r="D371" s="1085">
        <v>0</v>
      </c>
      <c r="E371" s="1086">
        <v>0</v>
      </c>
      <c r="F371" s="1091">
        <v>0</v>
      </c>
      <c r="G371" s="1082">
        <f>E371*F371</f>
        <v>0</v>
      </c>
      <c r="H371" s="1084">
        <f t="shared" ref="H371:H374" si="86">D371+G371</f>
        <v>0</v>
      </c>
    </row>
    <row r="372" spans="1:8" x14ac:dyDescent="0.2">
      <c r="A372" s="1239"/>
      <c r="B372" s="1039">
        <v>53202030000000</v>
      </c>
      <c r="C372" s="1004" t="s">
        <v>200</v>
      </c>
      <c r="D372" s="1085">
        <v>0</v>
      </c>
      <c r="E372" s="1086">
        <v>0</v>
      </c>
      <c r="F372" s="1091">
        <v>0</v>
      </c>
      <c r="G372" s="1082">
        <f t="shared" ref="G372:G374" si="87">E372*F372</f>
        <v>0</v>
      </c>
      <c r="H372" s="1084">
        <f t="shared" si="86"/>
        <v>0</v>
      </c>
    </row>
    <row r="373" spans="1:8" x14ac:dyDescent="0.2">
      <c r="A373" s="1239"/>
      <c r="B373" s="1039">
        <v>53211020000000</v>
      </c>
      <c r="C373" s="1004" t="s">
        <v>41</v>
      </c>
      <c r="D373" s="1092">
        <f>+N231</f>
        <v>0</v>
      </c>
      <c r="E373" s="1092">
        <v>0</v>
      </c>
      <c r="F373" s="1093">
        <v>0</v>
      </c>
      <c r="G373" s="1082">
        <f t="shared" si="87"/>
        <v>0</v>
      </c>
      <c r="H373" s="1084">
        <f t="shared" si="86"/>
        <v>0</v>
      </c>
    </row>
    <row r="374" spans="1:8" x14ac:dyDescent="0.2">
      <c r="A374" s="1239"/>
      <c r="B374" s="1039">
        <v>53101040600000</v>
      </c>
      <c r="C374" s="1004" t="s">
        <v>201</v>
      </c>
      <c r="D374" s="1092">
        <f>+N232</f>
        <v>0</v>
      </c>
      <c r="E374" s="1092">
        <v>0</v>
      </c>
      <c r="F374" s="1093">
        <v>0</v>
      </c>
      <c r="G374" s="1082">
        <f t="shared" si="87"/>
        <v>0</v>
      </c>
      <c r="H374" s="1084">
        <f t="shared" si="86"/>
        <v>0</v>
      </c>
    </row>
    <row r="375" spans="1:8" x14ac:dyDescent="0.2">
      <c r="A375" s="1239"/>
      <c r="B375" s="1037"/>
      <c r="C375" s="1000" t="s">
        <v>42</v>
      </c>
      <c r="D375" s="1077">
        <f>SUM(D376)</f>
        <v>0</v>
      </c>
      <c r="E375" s="1078"/>
      <c r="F375" s="1078"/>
      <c r="G375" s="1094">
        <f>SUM(G376:G376)</f>
        <v>0</v>
      </c>
      <c r="H375" s="1077">
        <f>SUM(H376:H376)</f>
        <v>0</v>
      </c>
    </row>
    <row r="376" spans="1:8" x14ac:dyDescent="0.2">
      <c r="A376" s="1239"/>
      <c r="B376" s="1042">
        <v>53205990000000</v>
      </c>
      <c r="C376" s="1004" t="s">
        <v>44</v>
      </c>
      <c r="D376" s="1092">
        <f>+N234</f>
        <v>0</v>
      </c>
      <c r="E376" s="1092">
        <v>0</v>
      </c>
      <c r="F376" s="1093">
        <v>0</v>
      </c>
      <c r="G376" s="1082">
        <f t="shared" ref="G376" si="88">E376*F376</f>
        <v>0</v>
      </c>
      <c r="H376" s="1084">
        <f t="shared" ref="H376" si="89">D376+G376</f>
        <v>0</v>
      </c>
    </row>
    <row r="377" spans="1:8" x14ac:dyDescent="0.2">
      <c r="A377" s="1239"/>
      <c r="B377" s="1037"/>
      <c r="C377" s="1000" t="s">
        <v>45</v>
      </c>
      <c r="D377" s="1077">
        <f>SUM(D378:D385)</f>
        <v>0</v>
      </c>
      <c r="E377" s="1078"/>
      <c r="F377" s="1078"/>
      <c r="G377" s="1077">
        <f>SUM(G378:G385)</f>
        <v>0</v>
      </c>
      <c r="H377" s="1077">
        <f>SUM(H378:H385)</f>
        <v>0</v>
      </c>
    </row>
    <row r="378" spans="1:8" x14ac:dyDescent="0.2">
      <c r="A378" s="1239"/>
      <c r="B378" s="1039">
        <v>53204010000000</v>
      </c>
      <c r="C378" s="1004" t="s">
        <v>47</v>
      </c>
      <c r="D378" s="1092">
        <f>+N236</f>
        <v>0</v>
      </c>
      <c r="E378" s="1092">
        <v>0</v>
      </c>
      <c r="F378" s="1093">
        <v>0</v>
      </c>
      <c r="G378" s="1092">
        <f t="shared" ref="G378:G385" si="90">E378*F378</f>
        <v>0</v>
      </c>
      <c r="H378" s="1084">
        <f t="shared" ref="H378:H385" si="91">D378+G378</f>
        <v>0</v>
      </c>
    </row>
    <row r="379" spans="1:8" x14ac:dyDescent="0.2">
      <c r="A379" s="1239"/>
      <c r="B379" s="1042">
        <v>53204040200000</v>
      </c>
      <c r="C379" s="1004" t="s">
        <v>231</v>
      </c>
      <c r="D379" s="1092">
        <f t="shared" ref="D379:D385" si="92">+M303</f>
        <v>0</v>
      </c>
      <c r="E379" s="1092">
        <v>0</v>
      </c>
      <c r="F379" s="1093">
        <v>0</v>
      </c>
      <c r="G379" s="1092">
        <f t="shared" si="90"/>
        <v>0</v>
      </c>
      <c r="H379" s="1084">
        <f t="shared" si="91"/>
        <v>0</v>
      </c>
    </row>
    <row r="380" spans="1:8" x14ac:dyDescent="0.2">
      <c r="A380" s="1239"/>
      <c r="B380" s="1039">
        <v>53204060000000</v>
      </c>
      <c r="C380" s="1004" t="s">
        <v>49</v>
      </c>
      <c r="D380" s="1092">
        <f t="shared" si="92"/>
        <v>0</v>
      </c>
      <c r="E380" s="1092">
        <v>0</v>
      </c>
      <c r="F380" s="1093">
        <v>0</v>
      </c>
      <c r="G380" s="1092">
        <f t="shared" si="90"/>
        <v>0</v>
      </c>
      <c r="H380" s="1084">
        <f t="shared" si="91"/>
        <v>0</v>
      </c>
    </row>
    <row r="381" spans="1:8" x14ac:dyDescent="0.2">
      <c r="A381" s="1239"/>
      <c r="B381" s="1039">
        <v>53204070000000</v>
      </c>
      <c r="C381" s="1004" t="s">
        <v>50</v>
      </c>
      <c r="D381" s="1092">
        <f t="shared" si="92"/>
        <v>0</v>
      </c>
      <c r="E381" s="1092">
        <v>0</v>
      </c>
      <c r="F381" s="1093">
        <v>0</v>
      </c>
      <c r="G381" s="1092">
        <f t="shared" si="90"/>
        <v>0</v>
      </c>
      <c r="H381" s="1084">
        <f t="shared" si="91"/>
        <v>0</v>
      </c>
    </row>
    <row r="382" spans="1:8" x14ac:dyDescent="0.2">
      <c r="A382" s="1239"/>
      <c r="B382" s="1039">
        <v>53204080000000</v>
      </c>
      <c r="C382" s="1004" t="s">
        <v>51</v>
      </c>
      <c r="D382" s="1092">
        <f t="shared" si="92"/>
        <v>0</v>
      </c>
      <c r="E382" s="1092">
        <v>0</v>
      </c>
      <c r="F382" s="1093">
        <v>0</v>
      </c>
      <c r="G382" s="1092">
        <f t="shared" si="90"/>
        <v>0</v>
      </c>
      <c r="H382" s="1084">
        <f t="shared" si="91"/>
        <v>0</v>
      </c>
    </row>
    <row r="383" spans="1:8" x14ac:dyDescent="0.2">
      <c r="A383" s="1239"/>
      <c r="B383" s="1039">
        <v>53214010000000</v>
      </c>
      <c r="C383" s="1004" t="s">
        <v>52</v>
      </c>
      <c r="D383" s="1092">
        <f t="shared" si="92"/>
        <v>0</v>
      </c>
      <c r="E383" s="1095">
        <v>0</v>
      </c>
      <c r="F383" s="1093">
        <v>0</v>
      </c>
      <c r="G383" s="1092">
        <f t="shared" si="90"/>
        <v>0</v>
      </c>
      <c r="H383" s="1084">
        <f t="shared" si="91"/>
        <v>0</v>
      </c>
    </row>
    <row r="384" spans="1:8" x14ac:dyDescent="0.2">
      <c r="A384" s="1239"/>
      <c r="B384" s="1039">
        <v>53214040000000</v>
      </c>
      <c r="C384" s="1004" t="s">
        <v>202</v>
      </c>
      <c r="D384" s="1092">
        <f t="shared" si="92"/>
        <v>0</v>
      </c>
      <c r="E384" s="1095">
        <v>0</v>
      </c>
      <c r="F384" s="1093">
        <v>0</v>
      </c>
      <c r="G384" s="1092">
        <f t="shared" si="90"/>
        <v>0</v>
      </c>
      <c r="H384" s="1084">
        <f t="shared" si="91"/>
        <v>0</v>
      </c>
    </row>
    <row r="385" spans="1:8" x14ac:dyDescent="0.2">
      <c r="A385" s="1239"/>
      <c r="B385" s="376">
        <v>53204020100000</v>
      </c>
      <c r="C385" s="1004" t="s">
        <v>194</v>
      </c>
      <c r="D385" s="1092">
        <f t="shared" si="92"/>
        <v>0</v>
      </c>
      <c r="E385" s="1092">
        <v>0</v>
      </c>
      <c r="F385" s="1093">
        <v>0</v>
      </c>
      <c r="G385" s="1092">
        <f t="shared" si="90"/>
        <v>0</v>
      </c>
      <c r="H385" s="1084">
        <f t="shared" si="91"/>
        <v>0</v>
      </c>
    </row>
    <row r="386" spans="1:8" x14ac:dyDescent="0.2">
      <c r="A386" s="1239"/>
      <c r="B386" s="1037"/>
      <c r="C386" s="1000" t="s">
        <v>55</v>
      </c>
      <c r="D386" s="1077"/>
      <c r="E386" s="1078"/>
      <c r="F386" s="1078"/>
      <c r="G386" s="1077">
        <f>SUM(G387:G394)</f>
        <v>0</v>
      </c>
      <c r="H386" s="1080">
        <f>SUM(H387:H394)</f>
        <v>0</v>
      </c>
    </row>
    <row r="387" spans="1:8" x14ac:dyDescent="0.2">
      <c r="A387" s="1239"/>
      <c r="B387" s="1039">
        <v>53207010000000</v>
      </c>
      <c r="C387" s="1004" t="s">
        <v>56</v>
      </c>
      <c r="D387" s="1092">
        <f>+N245</f>
        <v>0</v>
      </c>
      <c r="E387" s="1092">
        <v>0</v>
      </c>
      <c r="F387" s="1093">
        <v>0</v>
      </c>
      <c r="G387" s="1092">
        <f t="shared" ref="G387:G394" si="93">E387*F387</f>
        <v>0</v>
      </c>
      <c r="H387" s="1084">
        <f t="shared" ref="H387:H394" si="94">D387+G387</f>
        <v>0</v>
      </c>
    </row>
    <row r="388" spans="1:8" x14ac:dyDescent="0.2">
      <c r="A388" s="1239"/>
      <c r="B388" s="1039">
        <v>53207020000000</v>
      </c>
      <c r="C388" s="1004" t="s">
        <v>57</v>
      </c>
      <c r="D388" s="1092">
        <f t="shared" ref="D388:D390" si="95">+M312</f>
        <v>0</v>
      </c>
      <c r="E388" s="1092">
        <v>0</v>
      </c>
      <c r="F388" s="1093">
        <v>0</v>
      </c>
      <c r="G388" s="1092">
        <f t="shared" si="93"/>
        <v>0</v>
      </c>
      <c r="H388" s="1084">
        <f t="shared" si="94"/>
        <v>0</v>
      </c>
    </row>
    <row r="389" spans="1:8" x14ac:dyDescent="0.2">
      <c r="A389" s="1239"/>
      <c r="B389" s="1039">
        <v>53208020000000</v>
      </c>
      <c r="C389" s="1004" t="s">
        <v>185</v>
      </c>
      <c r="D389" s="1092">
        <f t="shared" si="95"/>
        <v>0</v>
      </c>
      <c r="E389" s="1092">
        <v>0</v>
      </c>
      <c r="F389" s="1093">
        <v>0</v>
      </c>
      <c r="G389" s="1092">
        <f t="shared" si="93"/>
        <v>0</v>
      </c>
      <c r="H389" s="1084">
        <f t="shared" si="94"/>
        <v>0</v>
      </c>
    </row>
    <row r="390" spans="1:8" x14ac:dyDescent="0.2">
      <c r="A390" s="1239"/>
      <c r="B390" s="1039">
        <v>53208990000000</v>
      </c>
      <c r="C390" s="1004" t="s">
        <v>203</v>
      </c>
      <c r="D390" s="1092">
        <f t="shared" si="95"/>
        <v>0</v>
      </c>
      <c r="E390" s="1092">
        <v>0</v>
      </c>
      <c r="F390" s="1093">
        <v>0</v>
      </c>
      <c r="G390" s="1092">
        <f t="shared" si="93"/>
        <v>0</v>
      </c>
      <c r="H390" s="1084">
        <f t="shared" si="94"/>
        <v>0</v>
      </c>
    </row>
    <row r="391" spans="1:8" x14ac:dyDescent="0.2">
      <c r="A391" s="1239"/>
      <c r="B391" s="376">
        <v>53210020300000</v>
      </c>
      <c r="C391" s="1004" t="s">
        <v>205</v>
      </c>
      <c r="D391" s="1096">
        <v>0</v>
      </c>
      <c r="E391" s="1096">
        <v>0</v>
      </c>
      <c r="F391" s="1097">
        <v>0</v>
      </c>
      <c r="G391" s="1082">
        <f t="shared" si="93"/>
        <v>0</v>
      </c>
      <c r="H391" s="1084">
        <f t="shared" si="94"/>
        <v>0</v>
      </c>
    </row>
    <row r="392" spans="1:8" x14ac:dyDescent="0.2">
      <c r="A392" s="1239"/>
      <c r="B392" s="1039">
        <v>53208990000000</v>
      </c>
      <c r="C392" s="1004" t="s">
        <v>206</v>
      </c>
      <c r="D392" s="1082">
        <f>+N249</f>
        <v>0</v>
      </c>
      <c r="E392" s="1082">
        <v>0</v>
      </c>
      <c r="F392" s="1088">
        <v>0</v>
      </c>
      <c r="G392" s="1082">
        <f t="shared" si="93"/>
        <v>0</v>
      </c>
      <c r="H392" s="1084">
        <f t="shared" si="94"/>
        <v>0</v>
      </c>
    </row>
    <row r="393" spans="1:8" x14ac:dyDescent="0.2">
      <c r="A393" s="1239"/>
      <c r="B393" s="1039">
        <v>53209990000000</v>
      </c>
      <c r="C393" s="1004" t="s">
        <v>204</v>
      </c>
      <c r="D393" s="1082">
        <f t="shared" ref="D393:D394" si="96">+N250</f>
        <v>0</v>
      </c>
      <c r="E393" s="1082">
        <v>0</v>
      </c>
      <c r="F393" s="1088">
        <v>0</v>
      </c>
      <c r="G393" s="1082">
        <f t="shared" si="93"/>
        <v>0</v>
      </c>
      <c r="H393" s="1084">
        <f t="shared" si="94"/>
        <v>0</v>
      </c>
    </row>
    <row r="394" spans="1:8" x14ac:dyDescent="0.2">
      <c r="A394" s="1239"/>
      <c r="B394" s="1039">
        <v>53210020100000</v>
      </c>
      <c r="C394" s="1004" t="s">
        <v>64</v>
      </c>
      <c r="D394" s="1082">
        <f t="shared" si="96"/>
        <v>0</v>
      </c>
      <c r="E394" s="1082">
        <v>0</v>
      </c>
      <c r="F394" s="1088">
        <v>0</v>
      </c>
      <c r="G394" s="1082">
        <f t="shared" si="93"/>
        <v>0</v>
      </c>
      <c r="H394" s="1084">
        <f t="shared" si="94"/>
        <v>0</v>
      </c>
    </row>
    <row r="395" spans="1:8" x14ac:dyDescent="0.2">
      <c r="A395" s="1239"/>
      <c r="B395" s="1037"/>
      <c r="C395" s="1000" t="s">
        <v>65</v>
      </c>
      <c r="D395" s="1077">
        <f>SUM(D396:D402)</f>
        <v>0</v>
      </c>
      <c r="E395" s="1078"/>
      <c r="F395" s="1078"/>
      <c r="G395" s="1077">
        <f>SUM(G396:G402)</f>
        <v>0</v>
      </c>
      <c r="H395" s="1080">
        <f>SUM(H396:H402)</f>
        <v>0</v>
      </c>
    </row>
    <row r="396" spans="1:8" x14ac:dyDescent="0.2">
      <c r="A396" s="1239"/>
      <c r="B396" s="1039">
        <v>53206030000000</v>
      </c>
      <c r="C396" s="1004" t="s">
        <v>99</v>
      </c>
      <c r="D396" s="1092">
        <f>+N253</f>
        <v>0</v>
      </c>
      <c r="E396" s="1092">
        <v>0</v>
      </c>
      <c r="F396" s="1093">
        <v>0</v>
      </c>
      <c r="G396" s="1082">
        <f t="shared" ref="G396:G402" si="97">E396*F396</f>
        <v>0</v>
      </c>
      <c r="H396" s="1084">
        <f t="shared" ref="H396:H402" si="98">D396+G396</f>
        <v>0</v>
      </c>
    </row>
    <row r="397" spans="1:8" x14ac:dyDescent="0.2">
      <c r="A397" s="1239"/>
      <c r="B397" s="1039">
        <v>53206040000000</v>
      </c>
      <c r="C397" s="1004" t="s">
        <v>100</v>
      </c>
      <c r="D397" s="1092">
        <f t="shared" ref="D397:D402" si="99">+N254</f>
        <v>0</v>
      </c>
      <c r="E397" s="1092">
        <v>0</v>
      </c>
      <c r="F397" s="1093">
        <v>0</v>
      </c>
      <c r="G397" s="1082">
        <f t="shared" si="97"/>
        <v>0</v>
      </c>
      <c r="H397" s="1084">
        <f t="shared" si="98"/>
        <v>0</v>
      </c>
    </row>
    <row r="398" spans="1:8" x14ac:dyDescent="0.2">
      <c r="A398" s="1239"/>
      <c r="B398" s="1039">
        <v>53206060000000</v>
      </c>
      <c r="C398" s="1004" t="s">
        <v>207</v>
      </c>
      <c r="D398" s="1092">
        <f t="shared" si="99"/>
        <v>0</v>
      </c>
      <c r="E398" s="1092">
        <v>0</v>
      </c>
      <c r="F398" s="1093">
        <v>0</v>
      </c>
      <c r="G398" s="1082">
        <f t="shared" si="97"/>
        <v>0</v>
      </c>
      <c r="H398" s="1084">
        <f t="shared" si="98"/>
        <v>0</v>
      </c>
    </row>
    <row r="399" spans="1:8" x14ac:dyDescent="0.2">
      <c r="A399" s="1239"/>
      <c r="B399" s="1039">
        <v>53206070000000</v>
      </c>
      <c r="C399" s="1004" t="s">
        <v>102</v>
      </c>
      <c r="D399" s="1092">
        <f t="shared" si="99"/>
        <v>0</v>
      </c>
      <c r="E399" s="1092">
        <v>0</v>
      </c>
      <c r="F399" s="1093">
        <v>0</v>
      </c>
      <c r="G399" s="1082">
        <f t="shared" si="97"/>
        <v>0</v>
      </c>
      <c r="H399" s="1084">
        <f t="shared" si="98"/>
        <v>0</v>
      </c>
    </row>
    <row r="400" spans="1:8" x14ac:dyDescent="0.2">
      <c r="A400" s="1239"/>
      <c r="B400" s="1039">
        <v>53206990000000</v>
      </c>
      <c r="C400" s="1004" t="s">
        <v>208</v>
      </c>
      <c r="D400" s="1092">
        <f t="shared" si="99"/>
        <v>0</v>
      </c>
      <c r="E400" s="1092">
        <v>0</v>
      </c>
      <c r="F400" s="1093">
        <v>0</v>
      </c>
      <c r="G400" s="1082">
        <f t="shared" si="97"/>
        <v>0</v>
      </c>
      <c r="H400" s="1084">
        <f t="shared" si="98"/>
        <v>0</v>
      </c>
    </row>
    <row r="401" spans="1:14" x14ac:dyDescent="0.2">
      <c r="A401" s="1239"/>
      <c r="B401" s="1039">
        <v>53208030000000</v>
      </c>
      <c r="C401" s="1004" t="s">
        <v>104</v>
      </c>
      <c r="D401" s="1092">
        <f t="shared" si="99"/>
        <v>0</v>
      </c>
      <c r="E401" s="1092">
        <v>0</v>
      </c>
      <c r="F401" s="1093">
        <v>0</v>
      </c>
      <c r="G401" s="1082">
        <f t="shared" si="97"/>
        <v>0</v>
      </c>
      <c r="H401" s="1084">
        <f t="shared" si="98"/>
        <v>0</v>
      </c>
    </row>
    <row r="402" spans="1:14" x14ac:dyDescent="0.2">
      <c r="A402" s="1239"/>
      <c r="B402" s="1039">
        <v>53206990000000</v>
      </c>
      <c r="C402" s="1004" t="s">
        <v>232</v>
      </c>
      <c r="D402" s="1092">
        <f t="shared" si="99"/>
        <v>0</v>
      </c>
      <c r="E402" s="1092">
        <v>0</v>
      </c>
      <c r="F402" s="1093">
        <v>0</v>
      </c>
      <c r="G402" s="1082">
        <f t="shared" si="97"/>
        <v>0</v>
      </c>
      <c r="H402" s="1084">
        <f t="shared" si="98"/>
        <v>0</v>
      </c>
    </row>
    <row r="403" spans="1:14" x14ac:dyDescent="0.2">
      <c r="A403" s="1239"/>
      <c r="B403" s="1037"/>
      <c r="C403" s="1000" t="s">
        <v>66</v>
      </c>
      <c r="D403" s="1077">
        <f>SUM(D404:D404)</f>
        <v>0</v>
      </c>
      <c r="E403" s="1078"/>
      <c r="F403" s="1078"/>
      <c r="G403" s="1077">
        <f>SUM(G404:G404)</f>
        <v>0</v>
      </c>
      <c r="H403" s="1080">
        <f>SUM(H404:H404)</f>
        <v>0</v>
      </c>
    </row>
    <row r="404" spans="1:14" x14ac:dyDescent="0.2">
      <c r="A404" s="1239"/>
      <c r="B404" s="378"/>
      <c r="C404" s="1043" t="s">
        <v>233</v>
      </c>
      <c r="D404" s="1085">
        <v>0</v>
      </c>
      <c r="E404" s="1085">
        <v>0</v>
      </c>
      <c r="F404" s="1091">
        <v>0</v>
      </c>
      <c r="G404" s="1082">
        <f t="shared" ref="G404" si="100">E404*F404</f>
        <v>0</v>
      </c>
      <c r="H404" s="1098">
        <f t="shared" ref="H404" si="101">D404+G404</f>
        <v>0</v>
      </c>
      <c r="I404" s="1032" t="s">
        <v>234</v>
      </c>
      <c r="J404" s="1028">
        <f>+H402+H401+H400+H399+H398+H397+H396+H394+H393+H392+H391+H390+H389+H388+H387+H385+H382+H381+H380+H379+H378+H376+H374+H373+H367+H366+H365+H363+H362+H361+H360+H359+H358+H357+H356+H355+H354+H353</f>
        <v>0</v>
      </c>
    </row>
    <row r="405" spans="1:14" x14ac:dyDescent="0.2">
      <c r="A405" s="1239"/>
      <c r="B405" s="1045"/>
      <c r="C405" s="1071" t="s">
        <v>105</v>
      </c>
      <c r="D405" s="1099">
        <f>SUM(D342,D369)</f>
        <v>0</v>
      </c>
      <c r="E405" s="1034"/>
      <c r="F405" s="1034"/>
      <c r="G405" s="1099">
        <f>SUM(G342,G369)</f>
        <v>0</v>
      </c>
      <c r="H405" s="1100">
        <f>SUM(H342,H369)</f>
        <v>0</v>
      </c>
      <c r="I405" s="1035" t="s">
        <v>235</v>
      </c>
      <c r="J405" s="1036">
        <f>+H405-J404</f>
        <v>0</v>
      </c>
    </row>
    <row r="406" spans="1:14" ht="12.75" customHeight="1" x14ac:dyDescent="0.2">
      <c r="A406" s="1241" t="s">
        <v>82</v>
      </c>
      <c r="B406" s="1247" t="s">
        <v>76</v>
      </c>
      <c r="C406" s="1250" t="s">
        <v>77</v>
      </c>
      <c r="D406" s="1257" t="s">
        <v>78</v>
      </c>
      <c r="E406" s="1260" t="s">
        <v>79</v>
      </c>
      <c r="F406" s="1260"/>
      <c r="G406" s="1260"/>
      <c r="H406" s="1253" t="s">
        <v>283</v>
      </c>
      <c r="K406" s="1278" t="s">
        <v>237</v>
      </c>
      <c r="L406" s="1280" t="s">
        <v>209</v>
      </c>
      <c r="M406" s="1280" t="s">
        <v>212</v>
      </c>
      <c r="N406" s="1280" t="s">
        <v>213</v>
      </c>
    </row>
    <row r="407" spans="1:14" ht="25.5" x14ac:dyDescent="0.2">
      <c r="A407" s="1242"/>
      <c r="B407" s="1244"/>
      <c r="C407" s="1251"/>
      <c r="D407" s="1257"/>
      <c r="E407" s="992" t="s">
        <v>67</v>
      </c>
      <c r="F407" s="993" t="s">
        <v>68</v>
      </c>
      <c r="G407" s="991" t="s">
        <v>6</v>
      </c>
      <c r="H407" s="1254"/>
      <c r="K407" s="1279"/>
      <c r="L407" s="1281"/>
      <c r="M407" s="1281"/>
      <c r="N407" s="1281"/>
    </row>
    <row r="408" spans="1:14" ht="15.75" customHeight="1" x14ac:dyDescent="0.2">
      <c r="A408" s="1238" t="s">
        <v>153</v>
      </c>
      <c r="B408" s="994"/>
      <c r="C408" s="995" t="s">
        <v>11</v>
      </c>
      <c r="D408" s="996">
        <f>+D409+D414</f>
        <v>263825574.63699725</v>
      </c>
      <c r="E408" s="1060"/>
      <c r="F408" s="1060"/>
      <c r="G408" s="998">
        <f>SUM(G409,G414)</f>
        <v>27524640</v>
      </c>
      <c r="H408" s="999">
        <f>SUM(H409,H414)</f>
        <v>291350214.63699728</v>
      </c>
      <c r="K408" s="1294" t="s">
        <v>11</v>
      </c>
      <c r="L408" s="1295"/>
      <c r="M408" s="1295"/>
      <c r="N408" s="1295"/>
    </row>
    <row r="409" spans="1:14" x14ac:dyDescent="0.2">
      <c r="A409" s="1239"/>
      <c r="B409" s="1037"/>
      <c r="C409" s="1000" t="s">
        <v>12</v>
      </c>
      <c r="D409" s="1001">
        <f>SUM(D410:D413)</f>
        <v>245496267.03999993</v>
      </c>
      <c r="E409" s="1078"/>
      <c r="F409" s="1078"/>
      <c r="G409" s="1003">
        <f>SUM(G410:G413)</f>
        <v>1042000</v>
      </c>
      <c r="H409" s="1038">
        <f>SUM(H410:H413)</f>
        <v>246538267.03999993</v>
      </c>
      <c r="K409" s="1000" t="s">
        <v>16</v>
      </c>
      <c r="L409" s="1275"/>
      <c r="M409" s="1275"/>
      <c r="N409" s="1275"/>
    </row>
    <row r="410" spans="1:14" x14ac:dyDescent="0.2">
      <c r="A410" s="1239"/>
      <c r="B410" s="1039">
        <v>53103040100000</v>
      </c>
      <c r="C410" s="1004" t="s">
        <v>95</v>
      </c>
      <c r="D410" s="1005">
        <f>+'[1]F) Remuneraciones'!L101</f>
        <v>243197698.03999993</v>
      </c>
      <c r="E410" s="1008">
        <v>0</v>
      </c>
      <c r="F410" s="1062">
        <v>0</v>
      </c>
      <c r="G410" s="1008">
        <f>E410*F410</f>
        <v>0</v>
      </c>
      <c r="H410" s="1009">
        <f>D410+G410</f>
        <v>243197698.03999993</v>
      </c>
      <c r="K410" s="1101" t="s">
        <v>192</v>
      </c>
      <c r="L410" s="1051">
        <v>0</v>
      </c>
      <c r="M410" s="1052">
        <f>+L410*0.7</f>
        <v>0</v>
      </c>
      <c r="N410" s="1052">
        <f>+L410*0.3</f>
        <v>0</v>
      </c>
    </row>
    <row r="411" spans="1:14" x14ac:dyDescent="0.2">
      <c r="A411" s="1239"/>
      <c r="B411" s="1039">
        <v>53103050000000</v>
      </c>
      <c r="C411" s="1004" t="s">
        <v>186</v>
      </c>
      <c r="D411" s="988">
        <v>0</v>
      </c>
      <c r="E411" s="1010">
        <v>0</v>
      </c>
      <c r="F411" s="1011">
        <v>0</v>
      </c>
      <c r="G411" s="1008">
        <f>E411*F411</f>
        <v>0</v>
      </c>
      <c r="H411" s="1009">
        <f>D411+G411</f>
        <v>0</v>
      </c>
      <c r="K411" s="1004" t="s">
        <v>19</v>
      </c>
      <c r="L411" s="1054">
        <v>0</v>
      </c>
      <c r="M411" s="1052">
        <f t="shared" ref="M411:M426" si="102">+L411*0.7</f>
        <v>0</v>
      </c>
      <c r="N411" s="1052">
        <f t="shared" ref="N411:N426" si="103">+L411*0.3</f>
        <v>0</v>
      </c>
    </row>
    <row r="412" spans="1:14" x14ac:dyDescent="0.2">
      <c r="A412" s="1239"/>
      <c r="B412" s="376">
        <v>53103040400000</v>
      </c>
      <c r="C412" s="377" t="s">
        <v>187</v>
      </c>
      <c r="D412" s="988">
        <v>2298569</v>
      </c>
      <c r="E412" s="1010">
        <v>0</v>
      </c>
      <c r="F412" s="1011">
        <v>0</v>
      </c>
      <c r="G412" s="1008">
        <f>E412*F412</f>
        <v>0</v>
      </c>
      <c r="H412" s="1009">
        <f>D412+G412</f>
        <v>2298569</v>
      </c>
      <c r="K412" s="1004" t="s">
        <v>193</v>
      </c>
      <c r="L412" s="1054">
        <v>0</v>
      </c>
      <c r="M412" s="1052">
        <f t="shared" si="102"/>
        <v>0</v>
      </c>
      <c r="N412" s="1052">
        <f t="shared" si="103"/>
        <v>0</v>
      </c>
    </row>
    <row r="413" spans="1:14" x14ac:dyDescent="0.2">
      <c r="A413" s="1239"/>
      <c r="B413" s="1039">
        <v>53103080010000</v>
      </c>
      <c r="C413" s="1004" t="s">
        <v>188</v>
      </c>
      <c r="D413" s="988">
        <v>0</v>
      </c>
      <c r="E413" s="1010">
        <f>E281</f>
        <v>52100</v>
      </c>
      <c r="F413" s="1011">
        <f>4*5</f>
        <v>20</v>
      </c>
      <c r="G413" s="1008">
        <f>E413*F413</f>
        <v>1042000</v>
      </c>
      <c r="H413" s="1009">
        <f>D413+G413</f>
        <v>1042000</v>
      </c>
      <c r="K413" s="1004" t="s">
        <v>230</v>
      </c>
      <c r="L413" s="1054">
        <f>20034*1.042*6</f>
        <v>125252.568</v>
      </c>
      <c r="M413" s="1052">
        <f t="shared" si="102"/>
        <v>87676.797599999991</v>
      </c>
      <c r="N413" s="1052">
        <f t="shared" si="103"/>
        <v>37575.770400000001</v>
      </c>
    </row>
    <row r="414" spans="1:14" x14ac:dyDescent="0.2">
      <c r="A414" s="1239"/>
      <c r="B414" s="1037"/>
      <c r="C414" s="1000" t="s">
        <v>16</v>
      </c>
      <c r="D414" s="1001">
        <f>SUM(D415:D434)</f>
        <v>18329307.596997321</v>
      </c>
      <c r="E414" s="1078"/>
      <c r="F414" s="1078"/>
      <c r="G414" s="1001">
        <f>SUM(G415:G434)</f>
        <v>26482640</v>
      </c>
      <c r="H414" s="1038">
        <f>SUM(H415:H434)</f>
        <v>44811947.596997328</v>
      </c>
      <c r="K414" s="1004" t="s">
        <v>22</v>
      </c>
      <c r="L414" s="1054">
        <f>'[1]H) Detalle Datos'!AN76</f>
        <v>4843620</v>
      </c>
      <c r="M414" s="1052">
        <f t="shared" si="102"/>
        <v>3390534</v>
      </c>
      <c r="N414" s="1052">
        <f t="shared" si="103"/>
        <v>1453086</v>
      </c>
    </row>
    <row r="415" spans="1:14" x14ac:dyDescent="0.2">
      <c r="A415" s="1239"/>
      <c r="B415" s="1039">
        <v>53201010100000</v>
      </c>
      <c r="C415" s="1014" t="s">
        <v>189</v>
      </c>
      <c r="D415" s="988">
        <v>0</v>
      </c>
      <c r="E415" s="1010">
        <f>E283</f>
        <v>1989</v>
      </c>
      <c r="F415" s="1011">
        <f>18*20*11</f>
        <v>3960</v>
      </c>
      <c r="G415" s="1008">
        <f t="shared" ref="G415:G434" si="104">E415*F415</f>
        <v>7876440</v>
      </c>
      <c r="H415" s="1009">
        <f t="shared" ref="H415:H420" si="105">D415+G415</f>
        <v>7876440</v>
      </c>
      <c r="K415" s="1004" t="s">
        <v>195</v>
      </c>
      <c r="L415" s="1054">
        <f>'[1]H) Detalle Datos'!AM102+'[1]H) Detalle Datos'!AM218</f>
        <v>2937786</v>
      </c>
      <c r="M415" s="1052">
        <f t="shared" si="102"/>
        <v>2056450.2</v>
      </c>
      <c r="N415" s="1052">
        <f t="shared" si="103"/>
        <v>881335.79999999993</v>
      </c>
    </row>
    <row r="416" spans="1:14" x14ac:dyDescent="0.2">
      <c r="A416" s="1239"/>
      <c r="B416" s="1039">
        <v>53201010100000</v>
      </c>
      <c r="C416" s="1014" t="s">
        <v>190</v>
      </c>
      <c r="D416" s="988">
        <v>0</v>
      </c>
      <c r="E416" s="1010">
        <f>E284</f>
        <v>1146.2</v>
      </c>
      <c r="F416" s="1011">
        <f>70*20*11</f>
        <v>15400</v>
      </c>
      <c r="G416" s="1008">
        <f t="shared" si="104"/>
        <v>17651480</v>
      </c>
      <c r="H416" s="1009">
        <f t="shared" si="105"/>
        <v>17651480</v>
      </c>
      <c r="K416" s="1004" t="s">
        <v>24</v>
      </c>
      <c r="L416" s="1054">
        <f>3567450*1.604603448</f>
        <v>5724342.5705675995</v>
      </c>
      <c r="M416" s="1052">
        <f t="shared" si="102"/>
        <v>4007039.7993973196</v>
      </c>
      <c r="N416" s="1052">
        <f t="shared" si="103"/>
        <v>1717302.7711702797</v>
      </c>
    </row>
    <row r="417" spans="1:14" x14ac:dyDescent="0.2">
      <c r="A417" s="1239"/>
      <c r="B417" s="1039">
        <v>53201010100000</v>
      </c>
      <c r="C417" s="1014" t="s">
        <v>191</v>
      </c>
      <c r="D417" s="988">
        <v>0</v>
      </c>
      <c r="E417" s="1010">
        <f>E415</f>
        <v>1989</v>
      </c>
      <c r="F417" s="1011">
        <f>4*20*6</f>
        <v>480</v>
      </c>
      <c r="G417" s="1008">
        <f t="shared" si="104"/>
        <v>954720</v>
      </c>
      <c r="H417" s="1009">
        <f t="shared" si="105"/>
        <v>954720</v>
      </c>
      <c r="K417" s="1004" t="s">
        <v>25</v>
      </c>
      <c r="L417" s="1054">
        <v>1496495</v>
      </c>
      <c r="M417" s="1052">
        <f t="shared" si="102"/>
        <v>1047546.4999999999</v>
      </c>
      <c r="N417" s="1052">
        <f t="shared" si="103"/>
        <v>448948.5</v>
      </c>
    </row>
    <row r="418" spans="1:14" x14ac:dyDescent="0.2">
      <c r="A418" s="1239"/>
      <c r="B418" s="1039">
        <v>53202010100000</v>
      </c>
      <c r="C418" s="1004" t="s">
        <v>192</v>
      </c>
      <c r="D418" s="1008">
        <f>+M410</f>
        <v>0</v>
      </c>
      <c r="E418" s="1008">
        <v>0</v>
      </c>
      <c r="F418" s="1070">
        <v>0</v>
      </c>
      <c r="G418" s="1008">
        <f t="shared" si="104"/>
        <v>0</v>
      </c>
      <c r="H418" s="1009">
        <f t="shared" si="105"/>
        <v>0</v>
      </c>
      <c r="K418" s="1004" t="s">
        <v>26</v>
      </c>
      <c r="L418" s="1054">
        <v>3087195</v>
      </c>
      <c r="M418" s="1052">
        <f t="shared" si="102"/>
        <v>2161036.5</v>
      </c>
      <c r="N418" s="1052">
        <f t="shared" si="103"/>
        <v>926158.5</v>
      </c>
    </row>
    <row r="419" spans="1:14" x14ac:dyDescent="0.2">
      <c r="A419" s="1239"/>
      <c r="B419" s="1039">
        <v>53203010100000</v>
      </c>
      <c r="C419" s="1004" t="s">
        <v>19</v>
      </c>
      <c r="D419" s="1008">
        <f t="shared" ref="D419:D434" si="106">+M411</f>
        <v>0</v>
      </c>
      <c r="E419" s="1008">
        <v>0</v>
      </c>
      <c r="F419" s="1070">
        <v>0</v>
      </c>
      <c r="G419" s="1008">
        <f t="shared" si="104"/>
        <v>0</v>
      </c>
      <c r="H419" s="1009">
        <f t="shared" si="105"/>
        <v>0</v>
      </c>
      <c r="K419" s="1004" t="s">
        <v>27</v>
      </c>
      <c r="L419" s="1054">
        <v>440316</v>
      </c>
      <c r="M419" s="1052">
        <f t="shared" si="102"/>
        <v>308221.19999999995</v>
      </c>
      <c r="N419" s="1052">
        <f t="shared" si="103"/>
        <v>132094.79999999999</v>
      </c>
    </row>
    <row r="420" spans="1:14" x14ac:dyDescent="0.2">
      <c r="A420" s="1239"/>
      <c r="B420" s="1039">
        <v>53203030000000</v>
      </c>
      <c r="C420" s="1004" t="s">
        <v>193</v>
      </c>
      <c r="D420" s="1008">
        <f t="shared" si="106"/>
        <v>0</v>
      </c>
      <c r="E420" s="1008">
        <v>0</v>
      </c>
      <c r="F420" s="1070">
        <v>0</v>
      </c>
      <c r="G420" s="1008">
        <f t="shared" si="104"/>
        <v>0</v>
      </c>
      <c r="H420" s="1009">
        <f t="shared" si="105"/>
        <v>0</v>
      </c>
      <c r="K420" s="1004" t="s">
        <v>29</v>
      </c>
      <c r="L420" s="1054">
        <v>0</v>
      </c>
      <c r="M420" s="1052">
        <f t="shared" si="102"/>
        <v>0</v>
      </c>
      <c r="N420" s="1052">
        <f t="shared" si="103"/>
        <v>0</v>
      </c>
    </row>
    <row r="421" spans="1:14" x14ac:dyDescent="0.2">
      <c r="A421" s="1239"/>
      <c r="B421" s="1039">
        <v>53204030000000</v>
      </c>
      <c r="C421" s="1004" t="s">
        <v>230</v>
      </c>
      <c r="D421" s="1008">
        <f t="shared" si="106"/>
        <v>87676.797599999991</v>
      </c>
      <c r="E421" s="1008">
        <v>0</v>
      </c>
      <c r="F421" s="1070">
        <v>0</v>
      </c>
      <c r="G421" s="1008">
        <f t="shared" si="104"/>
        <v>0</v>
      </c>
      <c r="H421" s="1009">
        <f>D421+G421</f>
        <v>87676.797599999991</v>
      </c>
      <c r="K421" s="1004" t="s">
        <v>30</v>
      </c>
      <c r="L421" s="1054">
        <v>3971118</v>
      </c>
      <c r="M421" s="1052">
        <f t="shared" si="102"/>
        <v>2779782.5999999996</v>
      </c>
      <c r="N421" s="1052">
        <f t="shared" si="103"/>
        <v>1191335.3999999999</v>
      </c>
    </row>
    <row r="422" spans="1:14" x14ac:dyDescent="0.2">
      <c r="A422" s="1239"/>
      <c r="B422" s="1039">
        <v>53204100100001</v>
      </c>
      <c r="C422" s="1004" t="s">
        <v>22</v>
      </c>
      <c r="D422" s="1008">
        <f t="shared" si="106"/>
        <v>3390534</v>
      </c>
      <c r="E422" s="1008">
        <v>0</v>
      </c>
      <c r="F422" s="1070">
        <v>0</v>
      </c>
      <c r="G422" s="1008">
        <f t="shared" si="104"/>
        <v>0</v>
      </c>
      <c r="H422" s="1009">
        <f t="shared" ref="H422:H434" si="107">D422+G422</f>
        <v>3390534</v>
      </c>
      <c r="K422" s="1004" t="s">
        <v>31</v>
      </c>
      <c r="L422" s="1051">
        <v>0</v>
      </c>
      <c r="M422" s="1052">
        <f t="shared" si="102"/>
        <v>0</v>
      </c>
      <c r="N422" s="1052">
        <f t="shared" si="103"/>
        <v>0</v>
      </c>
    </row>
    <row r="423" spans="1:14" x14ac:dyDescent="0.2">
      <c r="A423" s="1239"/>
      <c r="B423" s="1039">
        <v>53204130100000</v>
      </c>
      <c r="C423" s="1004" t="s">
        <v>195</v>
      </c>
      <c r="D423" s="1008">
        <f t="shared" si="106"/>
        <v>2056450.2</v>
      </c>
      <c r="E423" s="1008">
        <v>0</v>
      </c>
      <c r="F423" s="1070">
        <v>0</v>
      </c>
      <c r="G423" s="1008">
        <f t="shared" si="104"/>
        <v>0</v>
      </c>
      <c r="H423" s="1009">
        <f t="shared" si="107"/>
        <v>2056450.2</v>
      </c>
      <c r="K423" s="1004" t="s">
        <v>196</v>
      </c>
      <c r="L423" s="1054">
        <v>0</v>
      </c>
      <c r="M423" s="1052">
        <f t="shared" si="102"/>
        <v>0</v>
      </c>
      <c r="N423" s="1052">
        <f t="shared" si="103"/>
        <v>0</v>
      </c>
    </row>
    <row r="424" spans="1:14" x14ac:dyDescent="0.2">
      <c r="A424" s="1239"/>
      <c r="B424" s="1039">
        <v>53205010100000</v>
      </c>
      <c r="C424" s="1004" t="s">
        <v>24</v>
      </c>
      <c r="D424" s="1008">
        <f t="shared" si="106"/>
        <v>4007039.7993973196</v>
      </c>
      <c r="E424" s="1008">
        <v>0</v>
      </c>
      <c r="F424" s="1070">
        <v>0</v>
      </c>
      <c r="G424" s="1008">
        <f t="shared" si="104"/>
        <v>0</v>
      </c>
      <c r="H424" s="1009">
        <f t="shared" si="107"/>
        <v>4007039.7993973196</v>
      </c>
      <c r="K424" s="1004" t="s">
        <v>32</v>
      </c>
      <c r="L424" s="1054">
        <v>0</v>
      </c>
      <c r="M424" s="1052">
        <f t="shared" si="102"/>
        <v>0</v>
      </c>
      <c r="N424" s="1052">
        <f t="shared" si="103"/>
        <v>0</v>
      </c>
    </row>
    <row r="425" spans="1:14" x14ac:dyDescent="0.2">
      <c r="A425" s="1239"/>
      <c r="B425" s="1039">
        <v>53205020100000</v>
      </c>
      <c r="C425" s="1004" t="s">
        <v>25</v>
      </c>
      <c r="D425" s="1008">
        <f t="shared" si="106"/>
        <v>1047546.4999999999</v>
      </c>
      <c r="E425" s="1008">
        <v>0</v>
      </c>
      <c r="F425" s="1070">
        <v>0</v>
      </c>
      <c r="G425" s="1008">
        <f t="shared" si="104"/>
        <v>0</v>
      </c>
      <c r="H425" s="1009">
        <f t="shared" si="107"/>
        <v>1047546.4999999999</v>
      </c>
      <c r="K425" s="1101" t="s">
        <v>197</v>
      </c>
      <c r="L425" s="1054">
        <f>65900*6*9</f>
        <v>3558600</v>
      </c>
      <c r="M425" s="1052">
        <f t="shared" si="102"/>
        <v>2491020</v>
      </c>
      <c r="N425" s="1052">
        <f t="shared" si="103"/>
        <v>1067580</v>
      </c>
    </row>
    <row r="426" spans="1:14" x14ac:dyDescent="0.2">
      <c r="A426" s="1239"/>
      <c r="B426" s="1039">
        <v>53205030100000</v>
      </c>
      <c r="C426" s="1004" t="s">
        <v>26</v>
      </c>
      <c r="D426" s="1008">
        <f t="shared" si="106"/>
        <v>2161036.5</v>
      </c>
      <c r="E426" s="1008">
        <v>0</v>
      </c>
      <c r="F426" s="1070">
        <v>0</v>
      </c>
      <c r="G426" s="1008">
        <f t="shared" si="104"/>
        <v>0</v>
      </c>
      <c r="H426" s="1009">
        <f t="shared" si="107"/>
        <v>2161036.5</v>
      </c>
      <c r="K426" s="1004" t="s">
        <v>198</v>
      </c>
      <c r="L426" s="1051">
        <v>0</v>
      </c>
      <c r="M426" s="1052">
        <f t="shared" si="102"/>
        <v>0</v>
      </c>
      <c r="N426" s="1052">
        <f t="shared" si="103"/>
        <v>0</v>
      </c>
    </row>
    <row r="427" spans="1:14" x14ac:dyDescent="0.2">
      <c r="A427" s="1239"/>
      <c r="B427" s="1039">
        <v>53205050100000</v>
      </c>
      <c r="C427" s="1004" t="s">
        <v>27</v>
      </c>
      <c r="D427" s="1008">
        <f t="shared" si="106"/>
        <v>308221.19999999995</v>
      </c>
      <c r="E427" s="1008">
        <v>0</v>
      </c>
      <c r="F427" s="1070">
        <v>0</v>
      </c>
      <c r="G427" s="1008">
        <f t="shared" si="104"/>
        <v>0</v>
      </c>
      <c r="H427" s="1009">
        <f t="shared" si="107"/>
        <v>308221.19999999995</v>
      </c>
      <c r="K427" s="995" t="s">
        <v>34</v>
      </c>
      <c r="L427" s="1296"/>
      <c r="M427" s="1296"/>
      <c r="N427" s="1296"/>
    </row>
    <row r="428" spans="1:14" x14ac:dyDescent="0.2">
      <c r="A428" s="1239"/>
      <c r="B428" s="1039">
        <v>53205070100000</v>
      </c>
      <c r="C428" s="1004" t="s">
        <v>29</v>
      </c>
      <c r="D428" s="1008">
        <f t="shared" si="106"/>
        <v>0</v>
      </c>
      <c r="E428" s="1008">
        <v>0</v>
      </c>
      <c r="F428" s="1070">
        <v>0</v>
      </c>
      <c r="G428" s="1008">
        <f t="shared" si="104"/>
        <v>0</v>
      </c>
      <c r="H428" s="1009">
        <f t="shared" si="107"/>
        <v>0</v>
      </c>
      <c r="K428" s="1000" t="s">
        <v>35</v>
      </c>
      <c r="L428" s="1275"/>
      <c r="M428" s="1275"/>
      <c r="N428" s="1275"/>
    </row>
    <row r="429" spans="1:14" x14ac:dyDescent="0.2">
      <c r="A429" s="1239"/>
      <c r="B429" s="1039">
        <v>53208010100000</v>
      </c>
      <c r="C429" s="1004" t="s">
        <v>30</v>
      </c>
      <c r="D429" s="1008">
        <f t="shared" si="106"/>
        <v>2779782.5999999996</v>
      </c>
      <c r="E429" s="1008">
        <v>0</v>
      </c>
      <c r="F429" s="1070">
        <v>0</v>
      </c>
      <c r="G429" s="1008">
        <f t="shared" si="104"/>
        <v>0</v>
      </c>
      <c r="H429" s="1009">
        <f t="shared" si="107"/>
        <v>2779782.5999999996</v>
      </c>
      <c r="K429" s="1004" t="s">
        <v>41</v>
      </c>
      <c r="L429" s="1054">
        <f>'[1]H) Detalle Datos'!F14+'[1]H) Detalle Datos'!F27</f>
        <v>420000</v>
      </c>
      <c r="M429" s="1052">
        <f t="shared" ref="M429:N430" si="108">+L429*0.7</f>
        <v>294000</v>
      </c>
      <c r="N429" s="1052">
        <f t="shared" si="108"/>
        <v>205800</v>
      </c>
    </row>
    <row r="430" spans="1:14" x14ac:dyDescent="0.2">
      <c r="A430" s="1239"/>
      <c r="B430" s="1039">
        <v>53208070100001</v>
      </c>
      <c r="C430" s="1004" t="s">
        <v>31</v>
      </c>
      <c r="D430" s="1008">
        <f t="shared" si="106"/>
        <v>0</v>
      </c>
      <c r="E430" s="1008">
        <v>0</v>
      </c>
      <c r="F430" s="1070">
        <v>0</v>
      </c>
      <c r="G430" s="1008">
        <f t="shared" si="104"/>
        <v>0</v>
      </c>
      <c r="H430" s="1009">
        <f t="shared" si="107"/>
        <v>0</v>
      </c>
      <c r="K430" s="1101" t="s">
        <v>201</v>
      </c>
      <c r="L430" s="1054">
        <f>E176</f>
        <v>151618</v>
      </c>
      <c r="M430" s="1052">
        <f t="shared" si="108"/>
        <v>106132.59999999999</v>
      </c>
      <c r="N430" s="1052">
        <f t="shared" si="108"/>
        <v>74292.819999999992</v>
      </c>
    </row>
    <row r="431" spans="1:14" x14ac:dyDescent="0.2">
      <c r="A431" s="1239"/>
      <c r="B431" s="1039">
        <v>53208100100001</v>
      </c>
      <c r="C431" s="1004" t="s">
        <v>196</v>
      </c>
      <c r="D431" s="1008">
        <f t="shared" si="106"/>
        <v>0</v>
      </c>
      <c r="E431" s="1008">
        <v>0</v>
      </c>
      <c r="F431" s="1070">
        <v>0</v>
      </c>
      <c r="G431" s="1008">
        <f t="shared" si="104"/>
        <v>0</v>
      </c>
      <c r="H431" s="1009">
        <f t="shared" si="107"/>
        <v>0</v>
      </c>
      <c r="K431" s="1000" t="s">
        <v>42</v>
      </c>
      <c r="L431" s="1275"/>
      <c r="M431" s="1275"/>
      <c r="N431" s="1275"/>
    </row>
    <row r="432" spans="1:14" x14ac:dyDescent="0.2">
      <c r="A432" s="1239"/>
      <c r="B432" s="1039">
        <v>53211030000000</v>
      </c>
      <c r="C432" s="1004" t="s">
        <v>32</v>
      </c>
      <c r="D432" s="1008">
        <f t="shared" si="106"/>
        <v>0</v>
      </c>
      <c r="E432" s="1008">
        <v>0</v>
      </c>
      <c r="F432" s="1070">
        <v>0</v>
      </c>
      <c r="G432" s="1008">
        <f t="shared" si="104"/>
        <v>0</v>
      </c>
      <c r="H432" s="1009">
        <f t="shared" si="107"/>
        <v>0</v>
      </c>
      <c r="K432" s="1004" t="s">
        <v>44</v>
      </c>
      <c r="L432" s="1054">
        <v>0</v>
      </c>
      <c r="M432" s="1052">
        <f t="shared" ref="M432:N432" si="109">+L432*0.7</f>
        <v>0</v>
      </c>
      <c r="N432" s="1052">
        <f t="shared" si="109"/>
        <v>0</v>
      </c>
    </row>
    <row r="433" spans="1:14" x14ac:dyDescent="0.2">
      <c r="A433" s="1239"/>
      <c r="B433" s="1039">
        <v>53212020100000</v>
      </c>
      <c r="C433" s="1004" t="s">
        <v>197</v>
      </c>
      <c r="D433" s="1008">
        <f t="shared" si="106"/>
        <v>2491020</v>
      </c>
      <c r="E433" s="1008">
        <v>0</v>
      </c>
      <c r="F433" s="1070">
        <v>0</v>
      </c>
      <c r="G433" s="1008">
        <f t="shared" si="104"/>
        <v>0</v>
      </c>
      <c r="H433" s="1009">
        <f t="shared" si="107"/>
        <v>2491020</v>
      </c>
      <c r="K433" s="1000" t="s">
        <v>45</v>
      </c>
      <c r="L433" s="1275"/>
      <c r="M433" s="1275"/>
      <c r="N433" s="1275"/>
    </row>
    <row r="434" spans="1:14" ht="15.75" customHeight="1" x14ac:dyDescent="0.2">
      <c r="A434" s="1239"/>
      <c r="B434" s="1039">
        <v>53214020000000</v>
      </c>
      <c r="C434" s="1004" t="s">
        <v>198</v>
      </c>
      <c r="D434" s="1008">
        <f t="shared" si="106"/>
        <v>0</v>
      </c>
      <c r="E434" s="1008">
        <v>0</v>
      </c>
      <c r="F434" s="1070">
        <v>0</v>
      </c>
      <c r="G434" s="1008">
        <f t="shared" si="104"/>
        <v>0</v>
      </c>
      <c r="H434" s="1009">
        <f t="shared" si="107"/>
        <v>0</v>
      </c>
      <c r="K434" s="1004" t="s">
        <v>47</v>
      </c>
      <c r="L434" s="1054">
        <v>850000</v>
      </c>
      <c r="M434" s="1052">
        <f t="shared" ref="M434:N441" si="110">+L434*0.7</f>
        <v>595000</v>
      </c>
      <c r="N434" s="1052">
        <f t="shared" si="110"/>
        <v>416500</v>
      </c>
    </row>
    <row r="435" spans="1:14" x14ac:dyDescent="0.2">
      <c r="A435" s="1239"/>
      <c r="B435" s="994"/>
      <c r="C435" s="995" t="s">
        <v>34</v>
      </c>
      <c r="D435" s="1068">
        <f>+D436+D441+D443+D452+D461+D469</f>
        <v>9214606.5147999991</v>
      </c>
      <c r="E435" s="1090"/>
      <c r="F435" s="1090"/>
      <c r="G435" s="996">
        <f>SUM(G436,G441,G443,G452,G461,G469)</f>
        <v>1929141.34</v>
      </c>
      <c r="H435" s="1068">
        <f>SUM(H436,H441,H443,H452,H461,H469)</f>
        <v>11143747.854800001</v>
      </c>
      <c r="K435" s="1004" t="s">
        <v>231</v>
      </c>
      <c r="L435" s="1054">
        <f>E157*6</f>
        <v>148184.90400000001</v>
      </c>
      <c r="M435" s="1052">
        <f t="shared" si="110"/>
        <v>103729.4328</v>
      </c>
      <c r="N435" s="1052">
        <f t="shared" si="110"/>
        <v>72610.602959999989</v>
      </c>
    </row>
    <row r="436" spans="1:14" x14ac:dyDescent="0.2">
      <c r="A436" s="1239"/>
      <c r="B436" s="1037"/>
      <c r="C436" s="1000" t="s">
        <v>35</v>
      </c>
      <c r="D436" s="1001">
        <f>SUM(D437:D440)</f>
        <v>660580.5</v>
      </c>
      <c r="E436" s="1078"/>
      <c r="F436" s="1078"/>
      <c r="G436" s="1001">
        <f>SUM(G437:G440)</f>
        <v>646321.34000000008</v>
      </c>
      <c r="H436" s="1001">
        <f>SUM(H437:H440)</f>
        <v>1306901.8400000003</v>
      </c>
      <c r="K436" s="1004" t="s">
        <v>49</v>
      </c>
      <c r="L436" s="1054">
        <v>0</v>
      </c>
      <c r="M436" s="1052">
        <f t="shared" si="110"/>
        <v>0</v>
      </c>
      <c r="N436" s="1052">
        <f t="shared" si="110"/>
        <v>0</v>
      </c>
    </row>
    <row r="437" spans="1:14" x14ac:dyDescent="0.2">
      <c r="A437" s="1239"/>
      <c r="B437" s="1039">
        <v>53202020100000</v>
      </c>
      <c r="C437" s="1004" t="s">
        <v>199</v>
      </c>
      <c r="D437" s="988">
        <f>D107</f>
        <v>260447.90000000002</v>
      </c>
      <c r="E437" s="1010">
        <f>E305</f>
        <v>20829.580000000002</v>
      </c>
      <c r="F437" s="1064">
        <v>18</v>
      </c>
      <c r="G437" s="1008">
        <f>E437*F437</f>
        <v>374932.44000000006</v>
      </c>
      <c r="H437" s="1009">
        <f t="shared" ref="H437:H440" si="111">D437+G437</f>
        <v>635380.34000000008</v>
      </c>
      <c r="K437" s="1004" t="s">
        <v>50</v>
      </c>
      <c r="L437" s="1054">
        <f>E51*12</f>
        <v>3313560</v>
      </c>
      <c r="M437" s="1052">
        <f t="shared" si="110"/>
        <v>2319492</v>
      </c>
      <c r="N437" s="1052">
        <f t="shared" si="110"/>
        <v>1623644.4</v>
      </c>
    </row>
    <row r="438" spans="1:14" x14ac:dyDescent="0.2">
      <c r="A438" s="1239"/>
      <c r="B438" s="1039">
        <v>53202030000000</v>
      </c>
      <c r="C438" s="1004" t="s">
        <v>200</v>
      </c>
      <c r="D438" s="988">
        <v>0</v>
      </c>
      <c r="E438" s="1010">
        <f>E306</f>
        <v>54277.78</v>
      </c>
      <c r="F438" s="1064">
        <v>5</v>
      </c>
      <c r="G438" s="1008">
        <f t="shared" ref="G438:G440" si="112">E438*F438</f>
        <v>271388.90000000002</v>
      </c>
      <c r="H438" s="1009">
        <f t="shared" si="111"/>
        <v>271388.90000000002</v>
      </c>
      <c r="K438" s="1004" t="s">
        <v>51</v>
      </c>
      <c r="L438" s="1054">
        <f>'[1]H) Detalle Datos'!AM248</f>
        <v>944470</v>
      </c>
      <c r="M438" s="1052">
        <f t="shared" si="110"/>
        <v>661129</v>
      </c>
      <c r="N438" s="1052">
        <f t="shared" si="110"/>
        <v>462790.3</v>
      </c>
    </row>
    <row r="439" spans="1:14" x14ac:dyDescent="0.2">
      <c r="A439" s="1239"/>
      <c r="B439" s="1039">
        <v>53211020000000</v>
      </c>
      <c r="C439" s="1004" t="s">
        <v>41</v>
      </c>
      <c r="D439" s="1069">
        <f>+M429</f>
        <v>294000</v>
      </c>
      <c r="E439" s="1069">
        <v>0</v>
      </c>
      <c r="F439" s="1102">
        <v>0</v>
      </c>
      <c r="G439" s="1008">
        <f t="shared" si="112"/>
        <v>0</v>
      </c>
      <c r="H439" s="1009">
        <f t="shared" si="111"/>
        <v>294000</v>
      </c>
      <c r="K439" s="1004" t="s">
        <v>52</v>
      </c>
      <c r="L439" s="1051">
        <f>'[1]H) Detalle Datos'!AM128</f>
        <v>813982.48400000005</v>
      </c>
      <c r="M439" s="1052">
        <f t="shared" si="110"/>
        <v>569787.73880000005</v>
      </c>
      <c r="N439" s="1052">
        <f t="shared" si="110"/>
        <v>398851.41716000001</v>
      </c>
    </row>
    <row r="440" spans="1:14" x14ac:dyDescent="0.2">
      <c r="A440" s="1239"/>
      <c r="B440" s="1039">
        <v>53101040600000</v>
      </c>
      <c r="C440" s="1004" t="s">
        <v>201</v>
      </c>
      <c r="D440" s="1069">
        <f>+M430</f>
        <v>106132.59999999999</v>
      </c>
      <c r="E440" s="1069">
        <v>0</v>
      </c>
      <c r="F440" s="1102">
        <v>0</v>
      </c>
      <c r="G440" s="1008">
        <f t="shared" si="112"/>
        <v>0</v>
      </c>
      <c r="H440" s="1009">
        <f t="shared" si="111"/>
        <v>106132.59999999999</v>
      </c>
      <c r="K440" s="1101" t="s">
        <v>202</v>
      </c>
      <c r="L440" s="1051">
        <f>50000*1.042*6</f>
        <v>312600</v>
      </c>
      <c r="M440" s="1052">
        <f t="shared" si="110"/>
        <v>218820</v>
      </c>
      <c r="N440" s="1052">
        <f t="shared" si="110"/>
        <v>153174</v>
      </c>
    </row>
    <row r="441" spans="1:14" x14ac:dyDescent="0.2">
      <c r="A441" s="1239"/>
      <c r="B441" s="1037"/>
      <c r="C441" s="1000" t="s">
        <v>42</v>
      </c>
      <c r="D441" s="1001">
        <f>SUM(D442)</f>
        <v>0</v>
      </c>
      <c r="E441" s="1078"/>
      <c r="F441" s="1078"/>
      <c r="G441" s="1025">
        <f>SUM(G442:G442)</f>
        <v>0</v>
      </c>
      <c r="H441" s="1001">
        <f>SUM(H442:H442)</f>
        <v>0</v>
      </c>
      <c r="K441" s="1004" t="s">
        <v>194</v>
      </c>
      <c r="L441" s="1054">
        <f>'[1]H) Detalle Datos'!AM200</f>
        <v>732920</v>
      </c>
      <c r="M441" s="1052">
        <f t="shared" si="110"/>
        <v>513043.99999999994</v>
      </c>
      <c r="N441" s="1052">
        <f t="shared" si="110"/>
        <v>359130.79999999993</v>
      </c>
    </row>
    <row r="442" spans="1:14" x14ac:dyDescent="0.2">
      <c r="A442" s="1239"/>
      <c r="B442" s="1042">
        <v>53205990000000</v>
      </c>
      <c r="C442" s="1004" t="s">
        <v>44</v>
      </c>
      <c r="D442" s="1069">
        <f>+M432</f>
        <v>0</v>
      </c>
      <c r="E442" s="1069">
        <v>0</v>
      </c>
      <c r="F442" s="1102">
        <v>0</v>
      </c>
      <c r="G442" s="1008">
        <f t="shared" ref="G442" si="113">E442*F442</f>
        <v>0</v>
      </c>
      <c r="H442" s="1009">
        <f t="shared" ref="H442" si="114">D442+G442</f>
        <v>0</v>
      </c>
      <c r="K442" s="1000" t="s">
        <v>55</v>
      </c>
      <c r="L442" s="1275"/>
      <c r="M442" s="1275"/>
      <c r="N442" s="1275"/>
    </row>
    <row r="443" spans="1:14" x14ac:dyDescent="0.2">
      <c r="A443" s="1239"/>
      <c r="B443" s="1037"/>
      <c r="C443" s="1000" t="s">
        <v>45</v>
      </c>
      <c r="D443" s="1001">
        <f>SUM(D444:D451)</f>
        <v>4981002.1716</v>
      </c>
      <c r="E443" s="1078"/>
      <c r="F443" s="1078"/>
      <c r="G443" s="1001">
        <f>SUM(G444:G451)</f>
        <v>0</v>
      </c>
      <c r="H443" s="1001">
        <f>SUM(H444:H451)</f>
        <v>4981002.1716</v>
      </c>
      <c r="K443" s="1004" t="s">
        <v>56</v>
      </c>
      <c r="L443" s="1054">
        <v>0</v>
      </c>
      <c r="M443" s="1052">
        <f t="shared" ref="M443:N449" si="115">+L443*0.7</f>
        <v>0</v>
      </c>
      <c r="N443" s="1052">
        <f t="shared" si="115"/>
        <v>0</v>
      </c>
    </row>
    <row r="444" spans="1:14" x14ac:dyDescent="0.2">
      <c r="A444" s="1239"/>
      <c r="B444" s="1039">
        <v>53204010000000</v>
      </c>
      <c r="C444" s="1004" t="s">
        <v>47</v>
      </c>
      <c r="D444" s="1069">
        <f>+M434</f>
        <v>595000</v>
      </c>
      <c r="E444" s="1069">
        <v>0</v>
      </c>
      <c r="F444" s="1102">
        <v>0</v>
      </c>
      <c r="G444" s="1069">
        <f t="shared" ref="G444:G451" si="116">E444*F444</f>
        <v>0</v>
      </c>
      <c r="H444" s="1009">
        <f t="shared" ref="H444:H451" si="117">D444+G444</f>
        <v>595000</v>
      </c>
      <c r="K444" s="1004" t="s">
        <v>57</v>
      </c>
      <c r="L444" s="1054">
        <v>0</v>
      </c>
      <c r="M444" s="1052">
        <f t="shared" si="115"/>
        <v>0</v>
      </c>
      <c r="N444" s="1052">
        <f t="shared" si="115"/>
        <v>0</v>
      </c>
    </row>
    <row r="445" spans="1:14" x14ac:dyDescent="0.2">
      <c r="A445" s="1239"/>
      <c r="B445" s="1042">
        <v>53204040200000</v>
      </c>
      <c r="C445" s="1004" t="s">
        <v>231</v>
      </c>
      <c r="D445" s="1069">
        <f t="shared" ref="D445:D451" si="118">+M435</f>
        <v>103729.4328</v>
      </c>
      <c r="E445" s="1069">
        <v>0</v>
      </c>
      <c r="F445" s="1102">
        <v>0</v>
      </c>
      <c r="G445" s="1069">
        <f t="shared" si="116"/>
        <v>0</v>
      </c>
      <c r="H445" s="1009">
        <f t="shared" si="117"/>
        <v>103729.4328</v>
      </c>
      <c r="K445" s="1004" t="s">
        <v>185</v>
      </c>
      <c r="L445" s="1054">
        <v>0</v>
      </c>
      <c r="M445" s="1052">
        <f t="shared" si="115"/>
        <v>0</v>
      </c>
      <c r="N445" s="1052">
        <f t="shared" si="115"/>
        <v>0</v>
      </c>
    </row>
    <row r="446" spans="1:14" x14ac:dyDescent="0.2">
      <c r="A446" s="1239"/>
      <c r="B446" s="1039">
        <v>53204060000000</v>
      </c>
      <c r="C446" s="1004" t="s">
        <v>49</v>
      </c>
      <c r="D446" s="1069">
        <f t="shared" si="118"/>
        <v>0</v>
      </c>
      <c r="E446" s="1069">
        <v>0</v>
      </c>
      <c r="F446" s="1102">
        <v>0</v>
      </c>
      <c r="G446" s="1069">
        <f t="shared" si="116"/>
        <v>0</v>
      </c>
      <c r="H446" s="1009">
        <f t="shared" si="117"/>
        <v>0</v>
      </c>
      <c r="K446" s="1004" t="s">
        <v>203</v>
      </c>
      <c r="L446" s="1054">
        <f>E192*4</f>
        <v>570836.77600000007</v>
      </c>
      <c r="M446" s="1052">
        <f t="shared" si="115"/>
        <v>399585.74320000003</v>
      </c>
      <c r="N446" s="1052">
        <f t="shared" si="115"/>
        <v>279710.02023999998</v>
      </c>
    </row>
    <row r="447" spans="1:14" x14ac:dyDescent="0.2">
      <c r="A447" s="1239"/>
      <c r="B447" s="1039">
        <v>53204070000000</v>
      </c>
      <c r="C447" s="1004" t="s">
        <v>50</v>
      </c>
      <c r="D447" s="1069">
        <f t="shared" si="118"/>
        <v>2319492</v>
      </c>
      <c r="E447" s="1069">
        <v>0</v>
      </c>
      <c r="F447" s="1102">
        <v>0</v>
      </c>
      <c r="G447" s="1069">
        <f t="shared" si="116"/>
        <v>0</v>
      </c>
      <c r="H447" s="1009">
        <f t="shared" si="117"/>
        <v>2319492</v>
      </c>
      <c r="K447" s="1004" t="s">
        <v>206</v>
      </c>
      <c r="L447" s="1054">
        <v>0</v>
      </c>
      <c r="M447" s="1052">
        <f t="shared" si="115"/>
        <v>0</v>
      </c>
      <c r="N447" s="1052">
        <f t="shared" si="115"/>
        <v>0</v>
      </c>
    </row>
    <row r="448" spans="1:14" x14ac:dyDescent="0.2">
      <c r="A448" s="1239"/>
      <c r="B448" s="1039">
        <v>53204080000000</v>
      </c>
      <c r="C448" s="1004" t="s">
        <v>51</v>
      </c>
      <c r="D448" s="1069">
        <f t="shared" si="118"/>
        <v>661129</v>
      </c>
      <c r="E448" s="1069">
        <v>0</v>
      </c>
      <c r="F448" s="1102">
        <v>0</v>
      </c>
      <c r="G448" s="1069">
        <f t="shared" si="116"/>
        <v>0</v>
      </c>
      <c r="H448" s="1009">
        <f t="shared" si="117"/>
        <v>661129</v>
      </c>
      <c r="K448" s="1004" t="s">
        <v>204</v>
      </c>
      <c r="L448" s="1054">
        <v>0</v>
      </c>
      <c r="M448" s="1052">
        <f t="shared" si="115"/>
        <v>0</v>
      </c>
      <c r="N448" s="1052">
        <f t="shared" si="115"/>
        <v>0</v>
      </c>
    </row>
    <row r="449" spans="1:14" x14ac:dyDescent="0.2">
      <c r="A449" s="1239"/>
      <c r="B449" s="1039">
        <v>53214010000000</v>
      </c>
      <c r="C449" s="1004" t="s">
        <v>52</v>
      </c>
      <c r="D449" s="1069">
        <f t="shared" si="118"/>
        <v>569787.73880000005</v>
      </c>
      <c r="E449" s="1103">
        <v>0</v>
      </c>
      <c r="F449" s="1102">
        <v>0</v>
      </c>
      <c r="G449" s="1069">
        <f t="shared" si="116"/>
        <v>0</v>
      </c>
      <c r="H449" s="1009">
        <f t="shared" si="117"/>
        <v>569787.73880000005</v>
      </c>
      <c r="K449" s="1004" t="s">
        <v>64</v>
      </c>
      <c r="L449" s="1104">
        <v>3145683</v>
      </c>
      <c r="M449" s="1052">
        <f t="shared" si="115"/>
        <v>2201978.0999999996</v>
      </c>
      <c r="N449" s="1052">
        <f t="shared" si="115"/>
        <v>1541384.6699999997</v>
      </c>
    </row>
    <row r="450" spans="1:14" x14ac:dyDescent="0.2">
      <c r="A450" s="1239"/>
      <c r="B450" s="1039">
        <v>53214040000000</v>
      </c>
      <c r="C450" s="1004" t="s">
        <v>202</v>
      </c>
      <c r="D450" s="1069">
        <f t="shared" si="118"/>
        <v>218820</v>
      </c>
      <c r="E450" s="1103">
        <v>0</v>
      </c>
      <c r="F450" s="1102">
        <v>0</v>
      </c>
      <c r="G450" s="1069">
        <f t="shared" si="116"/>
        <v>0</v>
      </c>
      <c r="H450" s="1009">
        <f t="shared" si="117"/>
        <v>218820</v>
      </c>
      <c r="K450" s="1000" t="s">
        <v>65</v>
      </c>
      <c r="L450" s="1275"/>
      <c r="M450" s="1275"/>
      <c r="N450" s="1275"/>
    </row>
    <row r="451" spans="1:14" x14ac:dyDescent="0.2">
      <c r="A451" s="1239"/>
      <c r="B451" s="376">
        <v>53204020100000</v>
      </c>
      <c r="C451" s="1004" t="s">
        <v>194</v>
      </c>
      <c r="D451" s="1069">
        <f t="shared" si="118"/>
        <v>513043.99999999994</v>
      </c>
      <c r="E451" s="1069">
        <v>0</v>
      </c>
      <c r="F451" s="1102">
        <v>0</v>
      </c>
      <c r="G451" s="1069">
        <f t="shared" si="116"/>
        <v>0</v>
      </c>
      <c r="H451" s="1009">
        <f t="shared" si="117"/>
        <v>513043.99999999994</v>
      </c>
      <c r="K451" s="1004" t="s">
        <v>99</v>
      </c>
      <c r="L451" s="1054">
        <v>0</v>
      </c>
      <c r="M451" s="1052">
        <f t="shared" ref="M451:N457" si="119">+L451*0.7</f>
        <v>0</v>
      </c>
      <c r="N451" s="1052">
        <f t="shared" si="119"/>
        <v>0</v>
      </c>
    </row>
    <row r="452" spans="1:14" x14ac:dyDescent="0.2">
      <c r="A452" s="1239"/>
      <c r="B452" s="1037"/>
      <c r="C452" s="1000" t="s">
        <v>55</v>
      </c>
      <c r="D452" s="1001">
        <f>SUM(D453:D460)</f>
        <v>2601563.8431999995</v>
      </c>
      <c r="E452" s="1078"/>
      <c r="F452" s="1078"/>
      <c r="G452" s="1001">
        <f>SUM(G453:G460)</f>
        <v>442820</v>
      </c>
      <c r="H452" s="1038">
        <f>SUM(H453:H460)</f>
        <v>3044383.8431999995</v>
      </c>
      <c r="K452" s="1004" t="s">
        <v>100</v>
      </c>
      <c r="L452" s="1054">
        <v>0</v>
      </c>
      <c r="M452" s="1052">
        <f t="shared" si="119"/>
        <v>0</v>
      </c>
      <c r="N452" s="1052">
        <f t="shared" si="119"/>
        <v>0</v>
      </c>
    </row>
    <row r="453" spans="1:14" x14ac:dyDescent="0.2">
      <c r="A453" s="1239"/>
      <c r="B453" s="1039">
        <v>53207010000000</v>
      </c>
      <c r="C453" s="1004" t="s">
        <v>56</v>
      </c>
      <c r="D453" s="1069">
        <f>+M443</f>
        <v>0</v>
      </c>
      <c r="E453" s="1069">
        <v>0</v>
      </c>
      <c r="F453" s="1102">
        <v>0</v>
      </c>
      <c r="G453" s="1069">
        <f t="shared" ref="G453:G460" si="120">E453*F453</f>
        <v>0</v>
      </c>
      <c r="H453" s="1009">
        <f t="shared" ref="H453:H460" si="121">D453+G453</f>
        <v>0</v>
      </c>
      <c r="K453" s="1004" t="s">
        <v>207</v>
      </c>
      <c r="L453" s="1054">
        <v>450000</v>
      </c>
      <c r="M453" s="1052">
        <f t="shared" si="119"/>
        <v>315000</v>
      </c>
      <c r="N453" s="1052">
        <f t="shared" si="119"/>
        <v>220500</v>
      </c>
    </row>
    <row r="454" spans="1:14" x14ac:dyDescent="0.2">
      <c r="A454" s="1239"/>
      <c r="B454" s="1039">
        <v>53207020000000</v>
      </c>
      <c r="C454" s="1004" t="s">
        <v>57</v>
      </c>
      <c r="D454" s="1069">
        <f t="shared" ref="D454:D456" si="122">+M444</f>
        <v>0</v>
      </c>
      <c r="E454" s="1069">
        <v>0</v>
      </c>
      <c r="F454" s="1102">
        <v>0</v>
      </c>
      <c r="G454" s="1069">
        <f t="shared" si="120"/>
        <v>0</v>
      </c>
      <c r="H454" s="1009">
        <f t="shared" si="121"/>
        <v>0</v>
      </c>
      <c r="K454" s="1004" t="s">
        <v>102</v>
      </c>
      <c r="L454" s="1054">
        <v>0</v>
      </c>
      <c r="M454" s="1052">
        <f t="shared" si="119"/>
        <v>0</v>
      </c>
      <c r="N454" s="1052">
        <f t="shared" si="119"/>
        <v>0</v>
      </c>
    </row>
    <row r="455" spans="1:14" x14ac:dyDescent="0.2">
      <c r="A455" s="1239"/>
      <c r="B455" s="1039">
        <v>53208020000000</v>
      </c>
      <c r="C455" s="1004" t="s">
        <v>185</v>
      </c>
      <c r="D455" s="1069">
        <f t="shared" si="122"/>
        <v>0</v>
      </c>
      <c r="E455" s="1069">
        <v>0</v>
      </c>
      <c r="F455" s="1102">
        <v>0</v>
      </c>
      <c r="G455" s="1069">
        <f t="shared" si="120"/>
        <v>0</v>
      </c>
      <c r="H455" s="1009">
        <f t="shared" si="121"/>
        <v>0</v>
      </c>
      <c r="K455" s="1101" t="s">
        <v>208</v>
      </c>
      <c r="L455" s="1054">
        <v>0</v>
      </c>
      <c r="M455" s="1052">
        <f t="shared" si="119"/>
        <v>0</v>
      </c>
      <c r="N455" s="1052">
        <f t="shared" si="119"/>
        <v>0</v>
      </c>
    </row>
    <row r="456" spans="1:14" x14ac:dyDescent="0.2">
      <c r="A456" s="1239"/>
      <c r="B456" s="1039">
        <v>53208990000000</v>
      </c>
      <c r="C456" s="1004" t="s">
        <v>203</v>
      </c>
      <c r="D456" s="1069">
        <f t="shared" si="122"/>
        <v>399585.74320000003</v>
      </c>
      <c r="E456" s="1069">
        <v>0</v>
      </c>
      <c r="F456" s="1102">
        <v>0</v>
      </c>
      <c r="G456" s="1069">
        <f t="shared" si="120"/>
        <v>0</v>
      </c>
      <c r="H456" s="1009">
        <f t="shared" si="121"/>
        <v>399585.74320000003</v>
      </c>
      <c r="K456" s="1004" t="s">
        <v>104</v>
      </c>
      <c r="L456" s="1054">
        <f>E137*10</f>
        <v>937800</v>
      </c>
      <c r="M456" s="1052">
        <f t="shared" si="119"/>
        <v>656460</v>
      </c>
      <c r="N456" s="1052">
        <f t="shared" si="119"/>
        <v>459521.99999999994</v>
      </c>
    </row>
    <row r="457" spans="1:14" x14ac:dyDescent="0.2">
      <c r="A457" s="1239"/>
      <c r="B457" s="376">
        <v>53210020300000</v>
      </c>
      <c r="C457" s="1004" t="s">
        <v>205</v>
      </c>
      <c r="D457" s="1028">
        <v>0</v>
      </c>
      <c r="E457" s="1028">
        <v>6326</v>
      </c>
      <c r="F457" s="1105">
        <f>+'[1]B) Reajuste Tarifas y Ocupación'!I51</f>
        <v>70</v>
      </c>
      <c r="G457" s="1008">
        <f t="shared" si="120"/>
        <v>442820</v>
      </c>
      <c r="H457" s="1009">
        <f t="shared" si="121"/>
        <v>442820</v>
      </c>
      <c r="K457" s="1004" t="s">
        <v>232</v>
      </c>
      <c r="L457" s="1054">
        <v>0</v>
      </c>
      <c r="M457" s="1052">
        <f t="shared" si="119"/>
        <v>0</v>
      </c>
      <c r="N457" s="1052">
        <f t="shared" si="119"/>
        <v>0</v>
      </c>
    </row>
    <row r="458" spans="1:14" x14ac:dyDescent="0.2">
      <c r="A458" s="1239"/>
      <c r="B458" s="1039">
        <v>53208990000000</v>
      </c>
      <c r="C458" s="1004" t="s">
        <v>206</v>
      </c>
      <c r="D458" s="1008">
        <f>+M447</f>
        <v>0</v>
      </c>
      <c r="E458" s="1008">
        <v>0</v>
      </c>
      <c r="F458" s="1070">
        <v>0</v>
      </c>
      <c r="G458" s="1008">
        <f t="shared" si="120"/>
        <v>0</v>
      </c>
      <c r="H458" s="1009">
        <f t="shared" si="121"/>
        <v>0</v>
      </c>
    </row>
    <row r="459" spans="1:14" x14ac:dyDescent="0.2">
      <c r="A459" s="1239"/>
      <c r="B459" s="1039">
        <v>53209990000000</v>
      </c>
      <c r="C459" s="1004" t="s">
        <v>204</v>
      </c>
      <c r="D459" s="1008">
        <f t="shared" ref="D459" si="123">+M448</f>
        <v>0</v>
      </c>
      <c r="E459" s="1008">
        <v>0</v>
      </c>
      <c r="F459" s="1070">
        <v>0</v>
      </c>
      <c r="G459" s="1008">
        <f t="shared" si="120"/>
        <v>0</v>
      </c>
      <c r="H459" s="1009">
        <f t="shared" si="121"/>
        <v>0</v>
      </c>
    </row>
    <row r="460" spans="1:14" x14ac:dyDescent="0.2">
      <c r="A460" s="1239"/>
      <c r="B460" s="1039">
        <v>53210020100000</v>
      </c>
      <c r="C460" s="1004" t="s">
        <v>64</v>
      </c>
      <c r="D460" s="1008">
        <f>+M449</f>
        <v>2201978.0999999996</v>
      </c>
      <c r="E460" s="1008">
        <v>0</v>
      </c>
      <c r="F460" s="1070">
        <v>0</v>
      </c>
      <c r="G460" s="1008">
        <f t="shared" si="120"/>
        <v>0</v>
      </c>
      <c r="H460" s="1009">
        <f t="shared" si="121"/>
        <v>2201978.0999999996</v>
      </c>
    </row>
    <row r="461" spans="1:14" x14ac:dyDescent="0.2">
      <c r="A461" s="1239"/>
      <c r="B461" s="1037"/>
      <c r="C461" s="1000" t="s">
        <v>65</v>
      </c>
      <c r="D461" s="1001">
        <f>SUM(D462:D468)</f>
        <v>971460</v>
      </c>
      <c r="E461" s="1078"/>
      <c r="F461" s="1078"/>
      <c r="G461" s="1001">
        <f>SUM(G462:G468)</f>
        <v>0</v>
      </c>
      <c r="H461" s="1038">
        <f>SUM(H462:H468)</f>
        <v>971460</v>
      </c>
    </row>
    <row r="462" spans="1:14" x14ac:dyDescent="0.2">
      <c r="A462" s="1239"/>
      <c r="B462" s="1039">
        <v>53206030000000</v>
      </c>
      <c r="C462" s="1004" t="s">
        <v>99</v>
      </c>
      <c r="D462" s="1069">
        <f>+M451</f>
        <v>0</v>
      </c>
      <c r="E462" s="1069">
        <v>0</v>
      </c>
      <c r="F462" s="1102">
        <v>0</v>
      </c>
      <c r="G462" s="1008">
        <f t="shared" ref="G462:G468" si="124">E462*F462</f>
        <v>0</v>
      </c>
      <c r="H462" s="1009">
        <f t="shared" ref="H462:H468" si="125">D462+G462</f>
        <v>0</v>
      </c>
    </row>
    <row r="463" spans="1:14" x14ac:dyDescent="0.2">
      <c r="A463" s="1239"/>
      <c r="B463" s="1039">
        <v>53206040000000</v>
      </c>
      <c r="C463" s="1004" t="s">
        <v>100</v>
      </c>
      <c r="D463" s="1069">
        <f t="shared" ref="D463:D468" si="126">+M452</f>
        <v>0</v>
      </c>
      <c r="E463" s="1069">
        <v>0</v>
      </c>
      <c r="F463" s="1102">
        <v>0</v>
      </c>
      <c r="G463" s="1008">
        <f t="shared" si="124"/>
        <v>0</v>
      </c>
      <c r="H463" s="1009">
        <f t="shared" si="125"/>
        <v>0</v>
      </c>
    </row>
    <row r="464" spans="1:14" x14ac:dyDescent="0.2">
      <c r="A464" s="1239"/>
      <c r="B464" s="1039">
        <v>53206060000000</v>
      </c>
      <c r="C464" s="1004" t="s">
        <v>207</v>
      </c>
      <c r="D464" s="1069">
        <f t="shared" si="126"/>
        <v>315000</v>
      </c>
      <c r="E464" s="1069">
        <v>0</v>
      </c>
      <c r="F464" s="1102">
        <v>0</v>
      </c>
      <c r="G464" s="1008">
        <f t="shared" si="124"/>
        <v>0</v>
      </c>
      <c r="H464" s="1009">
        <f t="shared" si="125"/>
        <v>315000</v>
      </c>
    </row>
    <row r="465" spans="1:10" x14ac:dyDescent="0.2">
      <c r="A465" s="1239"/>
      <c r="B465" s="1039">
        <v>53206070000000</v>
      </c>
      <c r="C465" s="1004" t="s">
        <v>102</v>
      </c>
      <c r="D465" s="1069">
        <f t="shared" si="126"/>
        <v>0</v>
      </c>
      <c r="E465" s="1069">
        <v>0</v>
      </c>
      <c r="F465" s="1102">
        <v>0</v>
      </c>
      <c r="G465" s="1008">
        <f t="shared" si="124"/>
        <v>0</v>
      </c>
      <c r="H465" s="1009">
        <f t="shared" si="125"/>
        <v>0</v>
      </c>
    </row>
    <row r="466" spans="1:10" x14ac:dyDescent="0.2">
      <c r="A466" s="1239"/>
      <c r="B466" s="1039">
        <v>53206990000000</v>
      </c>
      <c r="C466" s="1004" t="s">
        <v>208</v>
      </c>
      <c r="D466" s="1069">
        <f t="shared" si="126"/>
        <v>0</v>
      </c>
      <c r="E466" s="1069">
        <v>0</v>
      </c>
      <c r="F466" s="1102">
        <v>0</v>
      </c>
      <c r="G466" s="1008">
        <f t="shared" si="124"/>
        <v>0</v>
      </c>
      <c r="H466" s="1009">
        <f t="shared" si="125"/>
        <v>0</v>
      </c>
    </row>
    <row r="467" spans="1:10" x14ac:dyDescent="0.2">
      <c r="A467" s="1239"/>
      <c r="B467" s="1039">
        <v>53208030000000</v>
      </c>
      <c r="C467" s="1004" t="s">
        <v>104</v>
      </c>
      <c r="D467" s="1069">
        <f t="shared" si="126"/>
        <v>656460</v>
      </c>
      <c r="E467" s="1069">
        <v>0</v>
      </c>
      <c r="F467" s="1102">
        <v>0</v>
      </c>
      <c r="G467" s="1008">
        <f t="shared" si="124"/>
        <v>0</v>
      </c>
      <c r="H467" s="1009">
        <f t="shared" si="125"/>
        <v>656460</v>
      </c>
    </row>
    <row r="468" spans="1:10" x14ac:dyDescent="0.2">
      <c r="A468" s="1239"/>
      <c r="B468" s="1039">
        <v>53206990000000</v>
      </c>
      <c r="C468" s="1004" t="s">
        <v>232</v>
      </c>
      <c r="D468" s="1069">
        <f t="shared" si="126"/>
        <v>0</v>
      </c>
      <c r="E468" s="1069">
        <v>0</v>
      </c>
      <c r="F468" s="1102">
        <v>0</v>
      </c>
      <c r="G468" s="1008">
        <f t="shared" si="124"/>
        <v>0</v>
      </c>
      <c r="H468" s="1009">
        <f t="shared" si="125"/>
        <v>0</v>
      </c>
    </row>
    <row r="469" spans="1:10" x14ac:dyDescent="0.2">
      <c r="A469" s="1239"/>
      <c r="B469" s="1037"/>
      <c r="C469" s="1000" t="s">
        <v>66</v>
      </c>
      <c r="D469" s="1001">
        <f>SUM(D470:D470)</f>
        <v>0</v>
      </c>
      <c r="E469" s="1078"/>
      <c r="F469" s="1078"/>
      <c r="G469" s="1001">
        <f>SUM(G470:G470)</f>
        <v>840000</v>
      </c>
      <c r="H469" s="1038">
        <f>SUM(H470:H470)</f>
        <v>840000</v>
      </c>
    </row>
    <row r="470" spans="1:10" x14ac:dyDescent="0.2">
      <c r="A470" s="1239"/>
      <c r="B470" s="378"/>
      <c r="C470" s="1043" t="s">
        <v>233</v>
      </c>
      <c r="D470" s="988">
        <v>0</v>
      </c>
      <c r="E470" s="988">
        <v>12000</v>
      </c>
      <c r="F470" s="1064">
        <v>70</v>
      </c>
      <c r="G470" s="1008">
        <f t="shared" ref="G470" si="127">E470*F470</f>
        <v>840000</v>
      </c>
      <c r="H470" s="1044">
        <f t="shared" ref="H470" si="128">D470+G470</f>
        <v>840000</v>
      </c>
      <c r="I470" s="1032" t="s">
        <v>234</v>
      </c>
      <c r="J470" s="1028">
        <f>+H468+H467+H466+H465+H464+H463+H462+H460+H459+H458+H457+H456+H455+H454+H453+H451+H448+H447+H446+H445+H444+H442+H440+H439+H433+H432+H431+H429+H428+H427+H426+H425+H424+H423+H422+H421+H420+H419</f>
        <v>26937678.472997315</v>
      </c>
    </row>
    <row r="471" spans="1:10" x14ac:dyDescent="0.2">
      <c r="A471" s="1239"/>
      <c r="B471" s="1045"/>
      <c r="C471" s="1071" t="s">
        <v>105</v>
      </c>
      <c r="D471" s="1033">
        <f>SUM(D408,D435)</f>
        <v>273040181.15179724</v>
      </c>
      <c r="E471" s="1034"/>
      <c r="F471" s="1034"/>
      <c r="G471" s="1033">
        <f>SUM(G408,G435)</f>
        <v>29453781.34</v>
      </c>
      <c r="H471" s="1047">
        <f>SUM(H408,H435)</f>
        <v>302493962.49179727</v>
      </c>
      <c r="I471" s="1035" t="s">
        <v>235</v>
      </c>
      <c r="J471" s="1036">
        <f>+H471-J470</f>
        <v>275556284.01879996</v>
      </c>
    </row>
    <row r="472" spans="1:10" ht="12.75" customHeight="1" x14ac:dyDescent="0.2">
      <c r="A472" s="1241" t="s">
        <v>82</v>
      </c>
      <c r="B472" s="1247" t="s">
        <v>76</v>
      </c>
      <c r="C472" s="1250" t="s">
        <v>77</v>
      </c>
      <c r="D472" s="1257" t="s">
        <v>78</v>
      </c>
      <c r="E472" s="1260" t="s">
        <v>79</v>
      </c>
      <c r="F472" s="1260"/>
      <c r="G472" s="1260"/>
      <c r="H472" s="1253" t="s">
        <v>283</v>
      </c>
    </row>
    <row r="473" spans="1:10" ht="25.5" x14ac:dyDescent="0.2">
      <c r="A473" s="1242"/>
      <c r="B473" s="1244"/>
      <c r="C473" s="1251"/>
      <c r="D473" s="1257"/>
      <c r="E473" s="992" t="s">
        <v>67</v>
      </c>
      <c r="F473" s="993" t="s">
        <v>68</v>
      </c>
      <c r="G473" s="991" t="s">
        <v>6</v>
      </c>
      <c r="H473" s="1254"/>
    </row>
    <row r="474" spans="1:10" ht="15.75" customHeight="1" x14ac:dyDescent="0.2">
      <c r="A474" s="1238" t="s">
        <v>154</v>
      </c>
      <c r="B474" s="994"/>
      <c r="C474" s="995" t="s">
        <v>11</v>
      </c>
      <c r="D474" s="996">
        <f>+D475+D480</f>
        <v>73823775.661570281</v>
      </c>
      <c r="E474" s="1060"/>
      <c r="F474" s="1060"/>
      <c r="G474" s="998">
        <f>SUM(G475,G480)</f>
        <v>3960462</v>
      </c>
      <c r="H474" s="999">
        <f>SUM(H475,H480)</f>
        <v>77784237.661570281</v>
      </c>
    </row>
    <row r="475" spans="1:10" x14ac:dyDescent="0.2">
      <c r="A475" s="1239"/>
      <c r="B475" s="1037"/>
      <c r="C475" s="1000" t="s">
        <v>12</v>
      </c>
      <c r="D475" s="1001">
        <f>SUM(D476:D479)</f>
        <v>65968358.120000005</v>
      </c>
      <c r="E475" s="1078"/>
      <c r="F475" s="1078"/>
      <c r="G475" s="1003">
        <f>SUM(G476:G479)</f>
        <v>0</v>
      </c>
      <c r="H475" s="1038">
        <f>SUM(H476:H479)</f>
        <v>65968358.120000005</v>
      </c>
    </row>
    <row r="476" spans="1:10" x14ac:dyDescent="0.2">
      <c r="A476" s="1239"/>
      <c r="B476" s="1039">
        <v>53103040100000</v>
      </c>
      <c r="C476" s="1004" t="s">
        <v>95</v>
      </c>
      <c r="D476" s="1005">
        <f>+'[1]F) Remuneraciones'!L129</f>
        <v>65350755.120000005</v>
      </c>
      <c r="E476" s="1008">
        <v>0</v>
      </c>
      <c r="F476" s="1062">
        <v>0</v>
      </c>
      <c r="G476" s="1008">
        <f>E476*F476</f>
        <v>0</v>
      </c>
      <c r="H476" s="1009">
        <f>D476+G476</f>
        <v>65350755.120000005</v>
      </c>
    </row>
    <row r="477" spans="1:10" x14ac:dyDescent="0.2">
      <c r="A477" s="1239"/>
      <c r="B477" s="1039">
        <v>53103050000000</v>
      </c>
      <c r="C477" s="1004" t="s">
        <v>186</v>
      </c>
      <c r="D477" s="988">
        <v>0</v>
      </c>
      <c r="E477" s="1010">
        <v>0</v>
      </c>
      <c r="F477" s="1011">
        <v>0</v>
      </c>
      <c r="G477" s="1008">
        <f>E477*F477</f>
        <v>0</v>
      </c>
      <c r="H477" s="1009">
        <f>D477+G477</f>
        <v>0</v>
      </c>
    </row>
    <row r="478" spans="1:10" x14ac:dyDescent="0.2">
      <c r="A478" s="1239"/>
      <c r="B478" s="376">
        <v>53103040400000</v>
      </c>
      <c r="C478" s="377" t="s">
        <v>187</v>
      </c>
      <c r="D478" s="988">
        <v>617603</v>
      </c>
      <c r="E478" s="1010">
        <v>0</v>
      </c>
      <c r="F478" s="1011">
        <v>0</v>
      </c>
      <c r="G478" s="1008">
        <f>E478*F478</f>
        <v>0</v>
      </c>
      <c r="H478" s="1009">
        <f>D478+G478</f>
        <v>617603</v>
      </c>
    </row>
    <row r="479" spans="1:10" x14ac:dyDescent="0.2">
      <c r="A479" s="1239"/>
      <c r="B479" s="1039">
        <v>53103080010000</v>
      </c>
      <c r="C479" s="1004" t="s">
        <v>188</v>
      </c>
      <c r="D479" s="988">
        <v>0</v>
      </c>
      <c r="E479" s="1010">
        <v>0</v>
      </c>
      <c r="F479" s="1011">
        <v>0</v>
      </c>
      <c r="G479" s="1008">
        <f>E479*F479</f>
        <v>0</v>
      </c>
      <c r="H479" s="1009">
        <f>D479+G479</f>
        <v>0</v>
      </c>
    </row>
    <row r="480" spans="1:10" x14ac:dyDescent="0.2">
      <c r="A480" s="1239"/>
      <c r="B480" s="1037"/>
      <c r="C480" s="1000" t="s">
        <v>16</v>
      </c>
      <c r="D480" s="1001">
        <f>SUM(D481:D500)</f>
        <v>7855417.5415702797</v>
      </c>
      <c r="E480" s="1078"/>
      <c r="F480" s="1078"/>
      <c r="G480" s="1001">
        <f>SUM(G481:G500)</f>
        <v>3960462</v>
      </c>
      <c r="H480" s="1038">
        <f>SUM(H481:H500)</f>
        <v>11815879.541570282</v>
      </c>
    </row>
    <row r="481" spans="1:8" x14ac:dyDescent="0.2">
      <c r="A481" s="1239"/>
      <c r="B481" s="1039">
        <v>53201010100000</v>
      </c>
      <c r="C481" s="1014" t="s">
        <v>189</v>
      </c>
      <c r="D481" s="988">
        <v>0</v>
      </c>
      <c r="E481" s="1010">
        <f>E283</f>
        <v>1989</v>
      </c>
      <c r="F481" s="1011">
        <f>6*10*11</f>
        <v>660</v>
      </c>
      <c r="G481" s="1008">
        <f t="shared" ref="G481:G500" si="129">E481*F481</f>
        <v>1312740</v>
      </c>
      <c r="H481" s="1009">
        <f t="shared" ref="H481:H486" si="130">D481+G481</f>
        <v>1312740</v>
      </c>
    </row>
    <row r="482" spans="1:8" x14ac:dyDescent="0.2">
      <c r="A482" s="1239"/>
      <c r="B482" s="1039">
        <v>53201010100000</v>
      </c>
      <c r="C482" s="1014" t="s">
        <v>190</v>
      </c>
      <c r="D482" s="988">
        <v>0</v>
      </c>
      <c r="E482" s="1010">
        <f>E416</f>
        <v>1146.2</v>
      </c>
      <c r="F482" s="1011">
        <f>21*10*11</f>
        <v>2310</v>
      </c>
      <c r="G482" s="1008">
        <f t="shared" si="129"/>
        <v>2647722</v>
      </c>
      <c r="H482" s="1009">
        <f t="shared" si="130"/>
        <v>2647722</v>
      </c>
    </row>
    <row r="483" spans="1:8" x14ac:dyDescent="0.2">
      <c r="A483" s="1239"/>
      <c r="B483" s="1039">
        <v>53201010100000</v>
      </c>
      <c r="C483" s="1014" t="s">
        <v>191</v>
      </c>
      <c r="D483" s="988">
        <v>0</v>
      </c>
      <c r="E483" s="1010">
        <v>0</v>
      </c>
      <c r="F483" s="1011">
        <v>0</v>
      </c>
      <c r="G483" s="1008">
        <f t="shared" si="129"/>
        <v>0</v>
      </c>
      <c r="H483" s="1009">
        <f t="shared" si="130"/>
        <v>0</v>
      </c>
    </row>
    <row r="484" spans="1:8" x14ac:dyDescent="0.2">
      <c r="A484" s="1239"/>
      <c r="B484" s="1039">
        <v>53202010100000</v>
      </c>
      <c r="C484" s="1004" t="s">
        <v>192</v>
      </c>
      <c r="D484" s="1008">
        <f>+N410</f>
        <v>0</v>
      </c>
      <c r="E484" s="1008">
        <v>0</v>
      </c>
      <c r="F484" s="1070">
        <v>0</v>
      </c>
      <c r="G484" s="1008">
        <f t="shared" si="129"/>
        <v>0</v>
      </c>
      <c r="H484" s="1009">
        <f t="shared" si="130"/>
        <v>0</v>
      </c>
    </row>
    <row r="485" spans="1:8" x14ac:dyDescent="0.2">
      <c r="A485" s="1239"/>
      <c r="B485" s="1039">
        <v>53203010100000</v>
      </c>
      <c r="C485" s="1004" t="s">
        <v>19</v>
      </c>
      <c r="D485" s="1008">
        <f t="shared" ref="D485:D500" si="131">+N411</f>
        <v>0</v>
      </c>
      <c r="E485" s="1008">
        <v>0</v>
      </c>
      <c r="F485" s="1070">
        <v>0</v>
      </c>
      <c r="G485" s="1008">
        <f t="shared" si="129"/>
        <v>0</v>
      </c>
      <c r="H485" s="1009">
        <f t="shared" si="130"/>
        <v>0</v>
      </c>
    </row>
    <row r="486" spans="1:8" x14ac:dyDescent="0.2">
      <c r="A486" s="1239"/>
      <c r="B486" s="1039">
        <v>53203030000000</v>
      </c>
      <c r="C486" s="1004" t="s">
        <v>193</v>
      </c>
      <c r="D486" s="1008">
        <f t="shared" si="131"/>
        <v>0</v>
      </c>
      <c r="E486" s="1008">
        <v>0</v>
      </c>
      <c r="F486" s="1070">
        <v>0</v>
      </c>
      <c r="G486" s="1008">
        <f t="shared" si="129"/>
        <v>0</v>
      </c>
      <c r="H486" s="1009">
        <f t="shared" si="130"/>
        <v>0</v>
      </c>
    </row>
    <row r="487" spans="1:8" x14ac:dyDescent="0.2">
      <c r="A487" s="1239"/>
      <c r="B487" s="1039">
        <v>53204030000000</v>
      </c>
      <c r="C487" s="1004" t="s">
        <v>230</v>
      </c>
      <c r="D487" s="1008">
        <f t="shared" si="131"/>
        <v>37575.770400000001</v>
      </c>
      <c r="E487" s="1008">
        <v>0</v>
      </c>
      <c r="F487" s="1070">
        <v>0</v>
      </c>
      <c r="G487" s="1008">
        <f t="shared" si="129"/>
        <v>0</v>
      </c>
      <c r="H487" s="1009">
        <f>D487+G487</f>
        <v>37575.770400000001</v>
      </c>
    </row>
    <row r="488" spans="1:8" x14ac:dyDescent="0.2">
      <c r="A488" s="1239"/>
      <c r="B488" s="1039">
        <v>53204100100001</v>
      </c>
      <c r="C488" s="1004" t="s">
        <v>22</v>
      </c>
      <c r="D488" s="1008">
        <f t="shared" si="131"/>
        <v>1453086</v>
      </c>
      <c r="E488" s="1008">
        <v>0</v>
      </c>
      <c r="F488" s="1070">
        <v>0</v>
      </c>
      <c r="G488" s="1008">
        <f t="shared" si="129"/>
        <v>0</v>
      </c>
      <c r="H488" s="1009">
        <f t="shared" ref="H488:H500" si="132">D488+G488</f>
        <v>1453086</v>
      </c>
    </row>
    <row r="489" spans="1:8" x14ac:dyDescent="0.2">
      <c r="A489" s="1239"/>
      <c r="B489" s="1039">
        <v>53204130100000</v>
      </c>
      <c r="C489" s="1004" t="s">
        <v>195</v>
      </c>
      <c r="D489" s="1008">
        <f t="shared" si="131"/>
        <v>881335.79999999993</v>
      </c>
      <c r="E489" s="1008">
        <v>0</v>
      </c>
      <c r="F489" s="1070">
        <v>0</v>
      </c>
      <c r="G489" s="1008">
        <f t="shared" si="129"/>
        <v>0</v>
      </c>
      <c r="H489" s="1009">
        <f t="shared" si="132"/>
        <v>881335.79999999993</v>
      </c>
    </row>
    <row r="490" spans="1:8" x14ac:dyDescent="0.2">
      <c r="A490" s="1239"/>
      <c r="B490" s="1039">
        <v>53205010100000</v>
      </c>
      <c r="C490" s="1004" t="s">
        <v>24</v>
      </c>
      <c r="D490" s="1008">
        <f t="shared" si="131"/>
        <v>1717302.7711702797</v>
      </c>
      <c r="E490" s="1008">
        <v>0</v>
      </c>
      <c r="F490" s="1070">
        <v>0</v>
      </c>
      <c r="G490" s="1008">
        <f t="shared" si="129"/>
        <v>0</v>
      </c>
      <c r="H490" s="1009">
        <f t="shared" si="132"/>
        <v>1717302.7711702797</v>
      </c>
    </row>
    <row r="491" spans="1:8" x14ac:dyDescent="0.2">
      <c r="A491" s="1239"/>
      <c r="B491" s="1039">
        <v>53205020100000</v>
      </c>
      <c r="C491" s="1004" t="s">
        <v>25</v>
      </c>
      <c r="D491" s="1008">
        <f t="shared" si="131"/>
        <v>448948.5</v>
      </c>
      <c r="E491" s="1008">
        <v>0</v>
      </c>
      <c r="F491" s="1070">
        <v>0</v>
      </c>
      <c r="G491" s="1008">
        <f t="shared" si="129"/>
        <v>0</v>
      </c>
      <c r="H491" s="1009">
        <f t="shared" si="132"/>
        <v>448948.5</v>
      </c>
    </row>
    <row r="492" spans="1:8" x14ac:dyDescent="0.2">
      <c r="A492" s="1239"/>
      <c r="B492" s="1039">
        <v>53205030100000</v>
      </c>
      <c r="C492" s="1004" t="s">
        <v>26</v>
      </c>
      <c r="D492" s="1008">
        <f t="shared" si="131"/>
        <v>926158.5</v>
      </c>
      <c r="E492" s="1008">
        <v>0</v>
      </c>
      <c r="F492" s="1070">
        <v>0</v>
      </c>
      <c r="G492" s="1008">
        <f t="shared" si="129"/>
        <v>0</v>
      </c>
      <c r="H492" s="1009">
        <f t="shared" si="132"/>
        <v>926158.5</v>
      </c>
    </row>
    <row r="493" spans="1:8" x14ac:dyDescent="0.2">
      <c r="A493" s="1239"/>
      <c r="B493" s="1039">
        <v>53205050100000</v>
      </c>
      <c r="C493" s="1004" t="s">
        <v>27</v>
      </c>
      <c r="D493" s="1008">
        <f t="shared" si="131"/>
        <v>132094.79999999999</v>
      </c>
      <c r="E493" s="1008">
        <v>0</v>
      </c>
      <c r="F493" s="1070">
        <v>0</v>
      </c>
      <c r="G493" s="1008">
        <f t="shared" si="129"/>
        <v>0</v>
      </c>
      <c r="H493" s="1009">
        <f t="shared" si="132"/>
        <v>132094.79999999999</v>
      </c>
    </row>
    <row r="494" spans="1:8" x14ac:dyDescent="0.2">
      <c r="A494" s="1239"/>
      <c r="B494" s="1039">
        <v>53205070100000</v>
      </c>
      <c r="C494" s="1004" t="s">
        <v>29</v>
      </c>
      <c r="D494" s="1008">
        <f t="shared" si="131"/>
        <v>0</v>
      </c>
      <c r="E494" s="1008">
        <v>0</v>
      </c>
      <c r="F494" s="1070">
        <v>0</v>
      </c>
      <c r="G494" s="1008">
        <f t="shared" si="129"/>
        <v>0</v>
      </c>
      <c r="H494" s="1009">
        <f t="shared" si="132"/>
        <v>0</v>
      </c>
    </row>
    <row r="495" spans="1:8" x14ac:dyDescent="0.2">
      <c r="A495" s="1239"/>
      <c r="B495" s="1039">
        <v>53208010100000</v>
      </c>
      <c r="C495" s="1004" t="s">
        <v>30</v>
      </c>
      <c r="D495" s="1008">
        <f t="shared" si="131"/>
        <v>1191335.3999999999</v>
      </c>
      <c r="E495" s="1008">
        <v>0</v>
      </c>
      <c r="F495" s="1070">
        <v>0</v>
      </c>
      <c r="G495" s="1008">
        <f t="shared" si="129"/>
        <v>0</v>
      </c>
      <c r="H495" s="1009">
        <f t="shared" si="132"/>
        <v>1191335.3999999999</v>
      </c>
    </row>
    <row r="496" spans="1:8" x14ac:dyDescent="0.2">
      <c r="A496" s="1239"/>
      <c r="B496" s="1039">
        <v>53208070100001</v>
      </c>
      <c r="C496" s="1004" t="s">
        <v>31</v>
      </c>
      <c r="D496" s="1008">
        <f t="shared" si="131"/>
        <v>0</v>
      </c>
      <c r="E496" s="1008">
        <v>0</v>
      </c>
      <c r="F496" s="1070">
        <v>0</v>
      </c>
      <c r="G496" s="1008">
        <f t="shared" si="129"/>
        <v>0</v>
      </c>
      <c r="H496" s="1009">
        <f t="shared" si="132"/>
        <v>0</v>
      </c>
    </row>
    <row r="497" spans="1:8" x14ac:dyDescent="0.2">
      <c r="A497" s="1239"/>
      <c r="B497" s="1039">
        <v>53208100100001</v>
      </c>
      <c r="C497" s="1004" t="s">
        <v>196</v>
      </c>
      <c r="D497" s="1008">
        <f t="shared" si="131"/>
        <v>0</v>
      </c>
      <c r="E497" s="1008">
        <v>0</v>
      </c>
      <c r="F497" s="1070">
        <v>0</v>
      </c>
      <c r="G497" s="1008">
        <f t="shared" si="129"/>
        <v>0</v>
      </c>
      <c r="H497" s="1009">
        <f t="shared" si="132"/>
        <v>0</v>
      </c>
    </row>
    <row r="498" spans="1:8" x14ac:dyDescent="0.2">
      <c r="A498" s="1239"/>
      <c r="B498" s="1039">
        <v>53211030000000</v>
      </c>
      <c r="C498" s="1004" t="s">
        <v>32</v>
      </c>
      <c r="D498" s="1008">
        <f t="shared" si="131"/>
        <v>0</v>
      </c>
      <c r="E498" s="1008">
        <v>0</v>
      </c>
      <c r="F498" s="1070">
        <v>0</v>
      </c>
      <c r="G498" s="1008">
        <f t="shared" si="129"/>
        <v>0</v>
      </c>
      <c r="H498" s="1009">
        <f t="shared" si="132"/>
        <v>0</v>
      </c>
    </row>
    <row r="499" spans="1:8" x14ac:dyDescent="0.2">
      <c r="A499" s="1239"/>
      <c r="B499" s="1039">
        <v>53212020100000</v>
      </c>
      <c r="C499" s="1004" t="s">
        <v>197</v>
      </c>
      <c r="D499" s="1008">
        <f t="shared" si="131"/>
        <v>1067580</v>
      </c>
      <c r="E499" s="1008">
        <v>0</v>
      </c>
      <c r="F499" s="1070">
        <v>0</v>
      </c>
      <c r="G499" s="1008">
        <f t="shared" si="129"/>
        <v>0</v>
      </c>
      <c r="H499" s="1009">
        <f t="shared" si="132"/>
        <v>1067580</v>
      </c>
    </row>
    <row r="500" spans="1:8" ht="15.75" customHeight="1" x14ac:dyDescent="0.2">
      <c r="A500" s="1239"/>
      <c r="B500" s="1039">
        <v>53214020000000</v>
      </c>
      <c r="C500" s="1004" t="s">
        <v>198</v>
      </c>
      <c r="D500" s="1008">
        <f t="shared" si="131"/>
        <v>0</v>
      </c>
      <c r="E500" s="1008">
        <v>0</v>
      </c>
      <c r="F500" s="1070">
        <v>0</v>
      </c>
      <c r="G500" s="1008">
        <f t="shared" si="129"/>
        <v>0</v>
      </c>
      <c r="H500" s="1009">
        <f t="shared" si="132"/>
        <v>0</v>
      </c>
    </row>
    <row r="501" spans="1:8" x14ac:dyDescent="0.2">
      <c r="A501" s="1239"/>
      <c r="B501" s="994"/>
      <c r="C501" s="995" t="s">
        <v>34</v>
      </c>
      <c r="D501" s="1068">
        <f>+D502+D507+D509+D518+D527+D535</f>
        <v>6267911.0303599993</v>
      </c>
      <c r="E501" s="1090"/>
      <c r="F501" s="1090"/>
      <c r="G501" s="996">
        <f>SUM(G502,G507,G509,G518,G527,G535)</f>
        <v>124977.48000000001</v>
      </c>
      <c r="H501" s="1068">
        <f>SUM(H502,H507,H509,H518,H527,H535)</f>
        <v>6392888.5103599988</v>
      </c>
    </row>
    <row r="502" spans="1:8" x14ac:dyDescent="0.2">
      <c r="A502" s="1239"/>
      <c r="B502" s="1037"/>
      <c r="C502" s="1000" t="s">
        <v>35</v>
      </c>
      <c r="D502" s="1001">
        <f>SUM(D503:D506)</f>
        <v>280092.82</v>
      </c>
      <c r="E502" s="1078"/>
      <c r="F502" s="1078"/>
      <c r="G502" s="1001">
        <f>SUM(G503:G506)</f>
        <v>124977.48000000001</v>
      </c>
      <c r="H502" s="1001">
        <f>SUM(H503:H506)</f>
        <v>405070.3</v>
      </c>
    </row>
    <row r="503" spans="1:8" x14ac:dyDescent="0.2">
      <c r="A503" s="1239"/>
      <c r="B503" s="1039">
        <v>53202020100000</v>
      </c>
      <c r="C503" s="1004" t="s">
        <v>199</v>
      </c>
      <c r="D503" s="988">
        <v>0</v>
      </c>
      <c r="E503" s="1010">
        <f>E437</f>
        <v>20829.580000000002</v>
      </c>
      <c r="F503" s="1064">
        <v>6</v>
      </c>
      <c r="G503" s="1008">
        <f>E503*F503</f>
        <v>124977.48000000001</v>
      </c>
      <c r="H503" s="1009">
        <f t="shared" ref="H503:H506" si="133">D503+G503</f>
        <v>124977.48000000001</v>
      </c>
    </row>
    <row r="504" spans="1:8" x14ac:dyDescent="0.2">
      <c r="A504" s="1239"/>
      <c r="B504" s="1039">
        <v>53202030000000</v>
      </c>
      <c r="C504" s="1004" t="s">
        <v>200</v>
      </c>
      <c r="D504" s="988">
        <v>0</v>
      </c>
      <c r="E504" s="1010">
        <v>0</v>
      </c>
      <c r="F504" s="1064">
        <v>0</v>
      </c>
      <c r="G504" s="1008">
        <f t="shared" ref="G504:G506" si="134">E504*F504</f>
        <v>0</v>
      </c>
      <c r="H504" s="1009">
        <f t="shared" si="133"/>
        <v>0</v>
      </c>
    </row>
    <row r="505" spans="1:8" x14ac:dyDescent="0.2">
      <c r="A505" s="1239"/>
      <c r="B505" s="1039">
        <v>53211020000000</v>
      </c>
      <c r="C505" s="1004" t="s">
        <v>41</v>
      </c>
      <c r="D505" s="1069">
        <f>+N429</f>
        <v>205800</v>
      </c>
      <c r="E505" s="1069">
        <v>0</v>
      </c>
      <c r="F505" s="1102">
        <v>0</v>
      </c>
      <c r="G505" s="1008">
        <f t="shared" si="134"/>
        <v>0</v>
      </c>
      <c r="H505" s="1009">
        <f t="shared" si="133"/>
        <v>205800</v>
      </c>
    </row>
    <row r="506" spans="1:8" x14ac:dyDescent="0.2">
      <c r="A506" s="1239"/>
      <c r="B506" s="1039">
        <v>53101040600000</v>
      </c>
      <c r="C506" s="1004" t="s">
        <v>201</v>
      </c>
      <c r="D506" s="1069">
        <f>+N430</f>
        <v>74292.819999999992</v>
      </c>
      <c r="E506" s="1069">
        <v>0</v>
      </c>
      <c r="F506" s="1102">
        <v>0</v>
      </c>
      <c r="G506" s="1008">
        <f t="shared" si="134"/>
        <v>0</v>
      </c>
      <c r="H506" s="1009">
        <f t="shared" si="133"/>
        <v>74292.819999999992</v>
      </c>
    </row>
    <row r="507" spans="1:8" x14ac:dyDescent="0.2">
      <c r="A507" s="1239"/>
      <c r="B507" s="1037"/>
      <c r="C507" s="1000" t="s">
        <v>42</v>
      </c>
      <c r="D507" s="1001">
        <f>SUM(D508)</f>
        <v>0</v>
      </c>
      <c r="E507" s="1078"/>
      <c r="F507" s="1078"/>
      <c r="G507" s="1025">
        <f>SUM(G508:G508)</f>
        <v>0</v>
      </c>
      <c r="H507" s="1001">
        <f>SUM(H508:H508)</f>
        <v>0</v>
      </c>
    </row>
    <row r="508" spans="1:8" x14ac:dyDescent="0.2">
      <c r="A508" s="1239"/>
      <c r="B508" s="1042">
        <v>53205990000000</v>
      </c>
      <c r="C508" s="1004" t="s">
        <v>44</v>
      </c>
      <c r="D508" s="1069">
        <f>+N432</f>
        <v>0</v>
      </c>
      <c r="E508" s="1069">
        <v>0</v>
      </c>
      <c r="F508" s="1102">
        <v>0</v>
      </c>
      <c r="G508" s="1008">
        <f t="shared" ref="G508" si="135">E508*F508</f>
        <v>0</v>
      </c>
      <c r="H508" s="1009">
        <f t="shared" ref="H508" si="136">D508+G508</f>
        <v>0</v>
      </c>
    </row>
    <row r="509" spans="1:8" x14ac:dyDescent="0.2">
      <c r="A509" s="1239"/>
      <c r="B509" s="1037"/>
      <c r="C509" s="1000" t="s">
        <v>45</v>
      </c>
      <c r="D509" s="1001">
        <f>SUM(D510:D517)</f>
        <v>3486701.5201199995</v>
      </c>
      <c r="E509" s="1078"/>
      <c r="F509" s="1078"/>
      <c r="G509" s="1001">
        <f>SUM(G510:G517)</f>
        <v>0</v>
      </c>
      <c r="H509" s="1001">
        <f>SUM(H510:H517)</f>
        <v>3486701.5201199995</v>
      </c>
    </row>
    <row r="510" spans="1:8" x14ac:dyDescent="0.2">
      <c r="A510" s="1239"/>
      <c r="B510" s="1039">
        <v>53204010000000</v>
      </c>
      <c r="C510" s="1004" t="s">
        <v>47</v>
      </c>
      <c r="D510" s="1069">
        <f>+N434</f>
        <v>416500</v>
      </c>
      <c r="E510" s="1069">
        <v>0</v>
      </c>
      <c r="F510" s="1102">
        <v>0</v>
      </c>
      <c r="G510" s="1069">
        <f t="shared" ref="G510:G517" si="137">E510*F510</f>
        <v>0</v>
      </c>
      <c r="H510" s="1009">
        <f t="shared" ref="H510:H517" si="138">D510+G510</f>
        <v>416500</v>
      </c>
    </row>
    <row r="511" spans="1:8" x14ac:dyDescent="0.2">
      <c r="A511" s="1239"/>
      <c r="B511" s="1042">
        <v>53204040200000</v>
      </c>
      <c r="C511" s="1004" t="s">
        <v>231</v>
      </c>
      <c r="D511" s="1069">
        <f t="shared" ref="D511:D517" si="139">+N435</f>
        <v>72610.602959999989</v>
      </c>
      <c r="E511" s="1069">
        <v>0</v>
      </c>
      <c r="F511" s="1102">
        <v>0</v>
      </c>
      <c r="G511" s="1069">
        <f t="shared" si="137"/>
        <v>0</v>
      </c>
      <c r="H511" s="1009">
        <f t="shared" si="138"/>
        <v>72610.602959999989</v>
      </c>
    </row>
    <row r="512" spans="1:8" x14ac:dyDescent="0.2">
      <c r="A512" s="1239"/>
      <c r="B512" s="1039">
        <v>53204060000000</v>
      </c>
      <c r="C512" s="1004" t="s">
        <v>49</v>
      </c>
      <c r="D512" s="1069">
        <f t="shared" si="139"/>
        <v>0</v>
      </c>
      <c r="E512" s="1069">
        <v>0</v>
      </c>
      <c r="F512" s="1102">
        <v>0</v>
      </c>
      <c r="G512" s="1069">
        <f t="shared" si="137"/>
        <v>0</v>
      </c>
      <c r="H512" s="1009">
        <f t="shared" si="138"/>
        <v>0</v>
      </c>
    </row>
    <row r="513" spans="1:8" x14ac:dyDescent="0.2">
      <c r="A513" s="1239"/>
      <c r="B513" s="1039">
        <v>53204070000000</v>
      </c>
      <c r="C513" s="1004" t="s">
        <v>50</v>
      </c>
      <c r="D513" s="1069">
        <f t="shared" si="139"/>
        <v>1623644.4</v>
      </c>
      <c r="E513" s="1069">
        <v>0</v>
      </c>
      <c r="F513" s="1102">
        <v>0</v>
      </c>
      <c r="G513" s="1069">
        <f t="shared" si="137"/>
        <v>0</v>
      </c>
      <c r="H513" s="1009">
        <f t="shared" si="138"/>
        <v>1623644.4</v>
      </c>
    </row>
    <row r="514" spans="1:8" x14ac:dyDescent="0.2">
      <c r="A514" s="1239"/>
      <c r="B514" s="1039">
        <v>53204080000000</v>
      </c>
      <c r="C514" s="1004" t="s">
        <v>51</v>
      </c>
      <c r="D514" s="1069">
        <f t="shared" si="139"/>
        <v>462790.3</v>
      </c>
      <c r="E514" s="1069">
        <v>0</v>
      </c>
      <c r="F514" s="1102">
        <v>0</v>
      </c>
      <c r="G514" s="1069">
        <f t="shared" si="137"/>
        <v>0</v>
      </c>
      <c r="H514" s="1009">
        <f t="shared" si="138"/>
        <v>462790.3</v>
      </c>
    </row>
    <row r="515" spans="1:8" x14ac:dyDescent="0.2">
      <c r="A515" s="1239"/>
      <c r="B515" s="1039">
        <v>53214010000000</v>
      </c>
      <c r="C515" s="1004" t="s">
        <v>52</v>
      </c>
      <c r="D515" s="1069">
        <f t="shared" si="139"/>
        <v>398851.41716000001</v>
      </c>
      <c r="E515" s="1103">
        <v>0</v>
      </c>
      <c r="F515" s="1102">
        <v>0</v>
      </c>
      <c r="G515" s="1069">
        <f t="shared" si="137"/>
        <v>0</v>
      </c>
      <c r="H515" s="1009">
        <f t="shared" si="138"/>
        <v>398851.41716000001</v>
      </c>
    </row>
    <row r="516" spans="1:8" x14ac:dyDescent="0.2">
      <c r="A516" s="1239"/>
      <c r="B516" s="1039">
        <v>53214040000000</v>
      </c>
      <c r="C516" s="1004" t="s">
        <v>202</v>
      </c>
      <c r="D516" s="1069">
        <f t="shared" si="139"/>
        <v>153174</v>
      </c>
      <c r="E516" s="1103">
        <v>0</v>
      </c>
      <c r="F516" s="1102">
        <v>0</v>
      </c>
      <c r="G516" s="1069">
        <f t="shared" si="137"/>
        <v>0</v>
      </c>
      <c r="H516" s="1009">
        <f t="shared" si="138"/>
        <v>153174</v>
      </c>
    </row>
    <row r="517" spans="1:8" x14ac:dyDescent="0.2">
      <c r="A517" s="1239"/>
      <c r="B517" s="376">
        <v>53204020100000</v>
      </c>
      <c r="C517" s="1004" t="s">
        <v>194</v>
      </c>
      <c r="D517" s="1069">
        <f t="shared" si="139"/>
        <v>359130.79999999993</v>
      </c>
      <c r="E517" s="1069">
        <v>0</v>
      </c>
      <c r="F517" s="1102">
        <v>0</v>
      </c>
      <c r="G517" s="1069">
        <f t="shared" si="137"/>
        <v>0</v>
      </c>
      <c r="H517" s="1009">
        <f t="shared" si="138"/>
        <v>359130.79999999993</v>
      </c>
    </row>
    <row r="518" spans="1:8" x14ac:dyDescent="0.2">
      <c r="A518" s="1239"/>
      <c r="B518" s="1037"/>
      <c r="C518" s="1000" t="s">
        <v>55</v>
      </c>
      <c r="D518" s="1001">
        <f>SUM(D519:D526)</f>
        <v>1821094.6902399997</v>
      </c>
      <c r="E518" s="1078"/>
      <c r="F518" s="1078"/>
      <c r="G518" s="1001">
        <f>SUM(G519:G526)</f>
        <v>0</v>
      </c>
      <c r="H518" s="1038">
        <f>SUM(H519:H526)</f>
        <v>1821094.6902399997</v>
      </c>
    </row>
    <row r="519" spans="1:8" x14ac:dyDescent="0.2">
      <c r="A519" s="1239"/>
      <c r="B519" s="1039">
        <v>53207010000000</v>
      </c>
      <c r="C519" s="1004" t="s">
        <v>56</v>
      </c>
      <c r="D519" s="1069">
        <f>+N443</f>
        <v>0</v>
      </c>
      <c r="E519" s="1069">
        <v>0</v>
      </c>
      <c r="F519" s="1102">
        <v>0</v>
      </c>
      <c r="G519" s="1069">
        <f t="shared" ref="G519:G526" si="140">E519*F519</f>
        <v>0</v>
      </c>
      <c r="H519" s="1009">
        <f t="shared" ref="H519:H526" si="141">D519+G519</f>
        <v>0</v>
      </c>
    </row>
    <row r="520" spans="1:8" x14ac:dyDescent="0.2">
      <c r="A520" s="1239"/>
      <c r="B520" s="1039">
        <v>53207020000000</v>
      </c>
      <c r="C520" s="1004" t="s">
        <v>57</v>
      </c>
      <c r="D520" s="1069">
        <f t="shared" ref="D520:D522" si="142">+N444</f>
        <v>0</v>
      </c>
      <c r="E520" s="1069">
        <v>0</v>
      </c>
      <c r="F520" s="1102">
        <v>0</v>
      </c>
      <c r="G520" s="1069">
        <f t="shared" si="140"/>
        <v>0</v>
      </c>
      <c r="H520" s="1009">
        <f t="shared" si="141"/>
        <v>0</v>
      </c>
    </row>
    <row r="521" spans="1:8" x14ac:dyDescent="0.2">
      <c r="A521" s="1239"/>
      <c r="B521" s="1039">
        <v>53208020000000</v>
      </c>
      <c r="C521" s="1004" t="s">
        <v>185</v>
      </c>
      <c r="D521" s="1069">
        <f t="shared" si="142"/>
        <v>0</v>
      </c>
      <c r="E521" s="1069">
        <v>0</v>
      </c>
      <c r="F521" s="1102">
        <v>0</v>
      </c>
      <c r="G521" s="1069">
        <f t="shared" si="140"/>
        <v>0</v>
      </c>
      <c r="H521" s="1009">
        <f t="shared" si="141"/>
        <v>0</v>
      </c>
    </row>
    <row r="522" spans="1:8" x14ac:dyDescent="0.2">
      <c r="A522" s="1239"/>
      <c r="B522" s="1039">
        <v>53208990000000</v>
      </c>
      <c r="C522" s="1004" t="s">
        <v>203</v>
      </c>
      <c r="D522" s="1069">
        <f t="shared" si="142"/>
        <v>279710.02023999998</v>
      </c>
      <c r="E522" s="1069">
        <v>0</v>
      </c>
      <c r="F522" s="1102">
        <v>0</v>
      </c>
      <c r="G522" s="1069">
        <f t="shared" si="140"/>
        <v>0</v>
      </c>
      <c r="H522" s="1009">
        <f t="shared" si="141"/>
        <v>279710.02023999998</v>
      </c>
    </row>
    <row r="523" spans="1:8" x14ac:dyDescent="0.2">
      <c r="A523" s="1239"/>
      <c r="B523" s="376">
        <v>53210020300000</v>
      </c>
      <c r="C523" s="1004" t="s">
        <v>205</v>
      </c>
      <c r="D523" s="1069">
        <v>0</v>
      </c>
      <c r="E523" s="1069">
        <v>0</v>
      </c>
      <c r="F523" s="1102">
        <v>0</v>
      </c>
      <c r="G523" s="1008">
        <f t="shared" si="140"/>
        <v>0</v>
      </c>
      <c r="H523" s="1009">
        <f t="shared" si="141"/>
        <v>0</v>
      </c>
    </row>
    <row r="524" spans="1:8" x14ac:dyDescent="0.2">
      <c r="A524" s="1239"/>
      <c r="B524" s="1039">
        <v>53208990000000</v>
      </c>
      <c r="C524" s="1004" t="s">
        <v>206</v>
      </c>
      <c r="D524" s="1069">
        <f>+N447</f>
        <v>0</v>
      </c>
      <c r="E524" s="1069">
        <v>0</v>
      </c>
      <c r="F524" s="1102">
        <v>0</v>
      </c>
      <c r="G524" s="1008">
        <f t="shared" si="140"/>
        <v>0</v>
      </c>
      <c r="H524" s="1009">
        <f t="shared" si="141"/>
        <v>0</v>
      </c>
    </row>
    <row r="525" spans="1:8" x14ac:dyDescent="0.2">
      <c r="A525" s="1239"/>
      <c r="B525" s="1039">
        <v>53209990000000</v>
      </c>
      <c r="C525" s="1004" t="s">
        <v>204</v>
      </c>
      <c r="D525" s="1069">
        <f t="shared" ref="D525" si="143">+N448</f>
        <v>0</v>
      </c>
      <c r="E525" s="1008">
        <v>0</v>
      </c>
      <c r="F525" s="1070">
        <v>0</v>
      </c>
      <c r="G525" s="1008">
        <f t="shared" si="140"/>
        <v>0</v>
      </c>
      <c r="H525" s="1009">
        <f t="shared" si="141"/>
        <v>0</v>
      </c>
    </row>
    <row r="526" spans="1:8" x14ac:dyDescent="0.2">
      <c r="A526" s="1239"/>
      <c r="B526" s="1039">
        <v>53210020100000</v>
      </c>
      <c r="C526" s="1004" t="s">
        <v>64</v>
      </c>
      <c r="D526" s="1069">
        <f>+N449</f>
        <v>1541384.6699999997</v>
      </c>
      <c r="E526" s="1008">
        <v>0</v>
      </c>
      <c r="F526" s="1070">
        <v>0</v>
      </c>
      <c r="G526" s="1008">
        <f t="shared" si="140"/>
        <v>0</v>
      </c>
      <c r="H526" s="1009">
        <f t="shared" si="141"/>
        <v>1541384.6699999997</v>
      </c>
    </row>
    <row r="527" spans="1:8" x14ac:dyDescent="0.2">
      <c r="A527" s="1239"/>
      <c r="B527" s="1037"/>
      <c r="C527" s="1000" t="s">
        <v>65</v>
      </c>
      <c r="D527" s="1001">
        <f>SUM(D528:D534)</f>
        <v>680022</v>
      </c>
      <c r="E527" s="1078"/>
      <c r="F527" s="1078"/>
      <c r="G527" s="1001">
        <f>SUM(G528:G534)</f>
        <v>0</v>
      </c>
      <c r="H527" s="1038">
        <f>SUM(H528:H534)</f>
        <v>680022</v>
      </c>
    </row>
    <row r="528" spans="1:8" x14ac:dyDescent="0.2">
      <c r="A528" s="1239"/>
      <c r="B528" s="1039">
        <v>53206030000000</v>
      </c>
      <c r="C528" s="1004" t="s">
        <v>99</v>
      </c>
      <c r="D528" s="1069">
        <f>+N451</f>
        <v>0</v>
      </c>
      <c r="E528" s="1069">
        <v>0</v>
      </c>
      <c r="F528" s="1102">
        <v>0</v>
      </c>
      <c r="G528" s="1008">
        <f t="shared" ref="G528:G534" si="144">E528*F528</f>
        <v>0</v>
      </c>
      <c r="H528" s="1009">
        <f t="shared" ref="H528:H534" si="145">D528+G528</f>
        <v>0</v>
      </c>
    </row>
    <row r="529" spans="1:10" x14ac:dyDescent="0.2">
      <c r="A529" s="1239"/>
      <c r="B529" s="1039">
        <v>53206040000000</v>
      </c>
      <c r="C529" s="1004" t="s">
        <v>100</v>
      </c>
      <c r="D529" s="1069">
        <f t="shared" ref="D529:D534" si="146">+N452</f>
        <v>0</v>
      </c>
      <c r="E529" s="1069">
        <v>0</v>
      </c>
      <c r="F529" s="1102">
        <v>0</v>
      </c>
      <c r="G529" s="1008">
        <f t="shared" si="144"/>
        <v>0</v>
      </c>
      <c r="H529" s="1009">
        <f t="shared" si="145"/>
        <v>0</v>
      </c>
    </row>
    <row r="530" spans="1:10" x14ac:dyDescent="0.2">
      <c r="A530" s="1239"/>
      <c r="B530" s="1039">
        <v>53206060000000</v>
      </c>
      <c r="C530" s="1004" t="s">
        <v>207</v>
      </c>
      <c r="D530" s="1069">
        <f t="shared" si="146"/>
        <v>220500</v>
      </c>
      <c r="E530" s="1069">
        <v>0</v>
      </c>
      <c r="F530" s="1102">
        <v>0</v>
      </c>
      <c r="G530" s="1008">
        <f t="shared" si="144"/>
        <v>0</v>
      </c>
      <c r="H530" s="1009">
        <f t="shared" si="145"/>
        <v>220500</v>
      </c>
    </row>
    <row r="531" spans="1:10" x14ac:dyDescent="0.2">
      <c r="A531" s="1239"/>
      <c r="B531" s="1039">
        <v>53206070000000</v>
      </c>
      <c r="C531" s="1004" t="s">
        <v>102</v>
      </c>
      <c r="D531" s="1069">
        <f t="shared" si="146"/>
        <v>0</v>
      </c>
      <c r="E531" s="1069">
        <v>0</v>
      </c>
      <c r="F531" s="1102">
        <v>0</v>
      </c>
      <c r="G531" s="1008">
        <f t="shared" si="144"/>
        <v>0</v>
      </c>
      <c r="H531" s="1009">
        <f t="shared" si="145"/>
        <v>0</v>
      </c>
    </row>
    <row r="532" spans="1:10" x14ac:dyDescent="0.2">
      <c r="A532" s="1239"/>
      <c r="B532" s="1039">
        <v>53206990000000</v>
      </c>
      <c r="C532" s="1004" t="s">
        <v>208</v>
      </c>
      <c r="D532" s="1069">
        <f t="shared" si="146"/>
        <v>0</v>
      </c>
      <c r="E532" s="1069">
        <v>0</v>
      </c>
      <c r="F532" s="1102">
        <v>0</v>
      </c>
      <c r="G532" s="1008">
        <f t="shared" si="144"/>
        <v>0</v>
      </c>
      <c r="H532" s="1009">
        <f t="shared" si="145"/>
        <v>0</v>
      </c>
    </row>
    <row r="533" spans="1:10" x14ac:dyDescent="0.2">
      <c r="A533" s="1239"/>
      <c r="B533" s="1039">
        <v>53208030000000</v>
      </c>
      <c r="C533" s="1004" t="s">
        <v>104</v>
      </c>
      <c r="D533" s="1069">
        <f t="shared" si="146"/>
        <v>459521.99999999994</v>
      </c>
      <c r="E533" s="1069">
        <v>0</v>
      </c>
      <c r="F533" s="1102">
        <v>0</v>
      </c>
      <c r="G533" s="1008">
        <f t="shared" si="144"/>
        <v>0</v>
      </c>
      <c r="H533" s="1009">
        <f t="shared" si="145"/>
        <v>459521.99999999994</v>
      </c>
    </row>
    <row r="534" spans="1:10" x14ac:dyDescent="0.2">
      <c r="A534" s="1239"/>
      <c r="B534" s="1039">
        <v>53206990000000</v>
      </c>
      <c r="C534" s="1004" t="s">
        <v>232</v>
      </c>
      <c r="D534" s="1069">
        <f t="shared" si="146"/>
        <v>0</v>
      </c>
      <c r="E534" s="1069">
        <v>0</v>
      </c>
      <c r="F534" s="1102">
        <v>0</v>
      </c>
      <c r="G534" s="1008">
        <f t="shared" si="144"/>
        <v>0</v>
      </c>
      <c r="H534" s="1009">
        <f t="shared" si="145"/>
        <v>0</v>
      </c>
    </row>
    <row r="535" spans="1:10" x14ac:dyDescent="0.2">
      <c r="A535" s="1239"/>
      <c r="B535" s="1037"/>
      <c r="C535" s="1000" t="s">
        <v>66</v>
      </c>
      <c r="D535" s="1001">
        <f>SUM(D536:D536)</f>
        <v>0</v>
      </c>
      <c r="E535" s="1078"/>
      <c r="F535" s="1078"/>
      <c r="G535" s="1001">
        <f>SUM(G536:G536)</f>
        <v>0</v>
      </c>
      <c r="H535" s="1038">
        <f>SUM(H536:H536)</f>
        <v>0</v>
      </c>
    </row>
    <row r="536" spans="1:10" x14ac:dyDescent="0.2">
      <c r="A536" s="1239"/>
      <c r="B536" s="378"/>
      <c r="C536" s="1043" t="s">
        <v>233</v>
      </c>
      <c r="D536" s="988">
        <v>0</v>
      </c>
      <c r="E536" s="988">
        <v>0</v>
      </c>
      <c r="F536" s="1064">
        <v>0</v>
      </c>
      <c r="G536" s="1008">
        <f t="shared" ref="G536" si="147">E536*F536</f>
        <v>0</v>
      </c>
      <c r="H536" s="1044">
        <f t="shared" ref="H536" si="148">D536+G536</f>
        <v>0</v>
      </c>
      <c r="I536" s="1032" t="s">
        <v>234</v>
      </c>
      <c r="J536" s="1028">
        <f>+H534+H533+H532+H531+H530+H529+H528+H526+H525+H524+H523+H522+H521+H520+H519+H517+H514+H513+H512+H511+H510+H508+H506+H505+H499+H498+H497+H495+H494+H493+H492+H491+H490+H489+H488+H487+H486+H485</f>
        <v>13571303.154770281</v>
      </c>
    </row>
    <row r="537" spans="1:10" x14ac:dyDescent="0.2">
      <c r="A537" s="1239"/>
      <c r="B537" s="1045"/>
      <c r="C537" s="1071" t="s">
        <v>105</v>
      </c>
      <c r="D537" s="1033">
        <f>SUM(D474,D501)</f>
        <v>80091686.691930279</v>
      </c>
      <c r="E537" s="1034"/>
      <c r="F537" s="1034"/>
      <c r="G537" s="1033">
        <f>SUM(G474,G501)</f>
        <v>4085439.48</v>
      </c>
      <c r="H537" s="1047">
        <f>SUM(H474,H501)</f>
        <v>84177126.171930283</v>
      </c>
      <c r="I537" s="1035" t="s">
        <v>235</v>
      </c>
      <c r="J537" s="1036">
        <f>+H537-J536</f>
        <v>70605823.017159998</v>
      </c>
    </row>
    <row r="538" spans="1:10" ht="15.75" customHeight="1" x14ac:dyDescent="0.2">
      <c r="A538" s="1261" t="s">
        <v>109</v>
      </c>
      <c r="B538" s="1261"/>
      <c r="C538" s="1261"/>
      <c r="D538" s="1261"/>
      <c r="E538" s="1261"/>
      <c r="F538" s="1261"/>
      <c r="G538" s="1262"/>
      <c r="H538" s="1106">
        <f>+H75+H141+H207+H273+H339+H405+H471+H537</f>
        <v>983908356.34772754</v>
      </c>
    </row>
    <row r="545" spans="3:8" x14ac:dyDescent="0.2">
      <c r="D545" s="37"/>
    </row>
    <row r="547" spans="3:8" x14ac:dyDescent="0.2">
      <c r="C547" s="47"/>
      <c r="D547" s="16"/>
      <c r="E547" s="48"/>
      <c r="F547" s="49"/>
      <c r="G547" s="48"/>
      <c r="H547" s="52"/>
    </row>
    <row r="548" spans="3:8" x14ac:dyDescent="0.2">
      <c r="C548" s="47"/>
      <c r="D548" s="16"/>
      <c r="E548" s="48"/>
      <c r="F548" s="49"/>
      <c r="G548" s="48"/>
      <c r="H548" s="52"/>
    </row>
    <row r="549" spans="3:8" x14ac:dyDescent="0.2">
      <c r="C549" s="47"/>
      <c r="E549" s="48"/>
      <c r="F549" s="49"/>
      <c r="G549" s="48"/>
      <c r="H549" s="52"/>
    </row>
    <row r="550" spans="3:8" x14ac:dyDescent="0.2">
      <c r="C550" s="47"/>
      <c r="D550" s="16"/>
      <c r="E550" s="48"/>
      <c r="F550" s="49"/>
      <c r="G550" s="48"/>
      <c r="H550" s="52"/>
    </row>
    <row r="551" spans="3:8" x14ac:dyDescent="0.2">
      <c r="C551" s="47"/>
      <c r="E551" s="48"/>
      <c r="F551" s="49"/>
      <c r="G551" s="48"/>
      <c r="H551" s="52"/>
    </row>
    <row r="552" spans="3:8" x14ac:dyDescent="0.2">
      <c r="C552" s="47"/>
      <c r="D552" s="16"/>
      <c r="E552" s="48"/>
      <c r="F552" s="49"/>
      <c r="G552" s="48"/>
      <c r="H552" s="52"/>
    </row>
    <row r="553" spans="3:8" x14ac:dyDescent="0.2">
      <c r="E553" s="48"/>
      <c r="F553" s="49"/>
      <c r="G553" s="48"/>
      <c r="H553" s="52"/>
    </row>
    <row r="554" spans="3:8" x14ac:dyDescent="0.2">
      <c r="E554" s="48"/>
      <c r="F554" s="49"/>
      <c r="G554" s="48"/>
      <c r="H554" s="52"/>
    </row>
    <row r="555" spans="3:8" x14ac:dyDescent="0.2">
      <c r="E555" s="51"/>
      <c r="F555" s="51"/>
      <c r="G555" s="50"/>
      <c r="H555" s="53"/>
    </row>
  </sheetData>
  <mergeCells count="84">
    <mergeCell ref="L431:N431"/>
    <mergeCell ref="L433:N433"/>
    <mergeCell ref="L442:N442"/>
    <mergeCell ref="L450:N450"/>
    <mergeCell ref="O208:O209"/>
    <mergeCell ref="L252:O252"/>
    <mergeCell ref="L244:O244"/>
    <mergeCell ref="L235:O235"/>
    <mergeCell ref="L233:O233"/>
    <mergeCell ref="L230:O230"/>
    <mergeCell ref="L229:O229"/>
    <mergeCell ref="L210:O210"/>
    <mergeCell ref="L211:O211"/>
    <mergeCell ref="K408:N408"/>
    <mergeCell ref="L409:N409"/>
    <mergeCell ref="L427:N427"/>
    <mergeCell ref="L428:N428"/>
    <mergeCell ref="D4:E4"/>
    <mergeCell ref="K208:K209"/>
    <mergeCell ref="L208:L209"/>
    <mergeCell ref="M208:M209"/>
    <mergeCell ref="N208:N209"/>
    <mergeCell ref="D10:D11"/>
    <mergeCell ref="D76:D77"/>
    <mergeCell ref="K406:K407"/>
    <mergeCell ref="L406:L407"/>
    <mergeCell ref="M406:M407"/>
    <mergeCell ref="N406:N407"/>
    <mergeCell ref="E10:G10"/>
    <mergeCell ref="H10:H11"/>
    <mergeCell ref="H208:H209"/>
    <mergeCell ref="E208:G208"/>
    <mergeCell ref="C10:C11"/>
    <mergeCell ref="E76:G76"/>
    <mergeCell ref="H76:H77"/>
    <mergeCell ref="D142:D143"/>
    <mergeCell ref="E142:G142"/>
    <mergeCell ref="H142:H143"/>
    <mergeCell ref="C340:C341"/>
    <mergeCell ref="D340:D341"/>
    <mergeCell ref="A538:G538"/>
    <mergeCell ref="A472:A473"/>
    <mergeCell ref="B472:B473"/>
    <mergeCell ref="C472:C473"/>
    <mergeCell ref="D472:D473"/>
    <mergeCell ref="E472:G472"/>
    <mergeCell ref="A342:A405"/>
    <mergeCell ref="A408:A471"/>
    <mergeCell ref="A340:A341"/>
    <mergeCell ref="B340:B341"/>
    <mergeCell ref="A406:A407"/>
    <mergeCell ref="B406:B407"/>
    <mergeCell ref="D208:D209"/>
    <mergeCell ref="A276:A339"/>
    <mergeCell ref="H472:H473"/>
    <mergeCell ref="A474:A537"/>
    <mergeCell ref="A274:A275"/>
    <mergeCell ref="B274:B275"/>
    <mergeCell ref="C274:C275"/>
    <mergeCell ref="D274:D275"/>
    <mergeCell ref="E274:G274"/>
    <mergeCell ref="C406:C407"/>
    <mergeCell ref="D406:D407"/>
    <mergeCell ref="E340:G340"/>
    <mergeCell ref="H340:H341"/>
    <mergeCell ref="E406:G406"/>
    <mergeCell ref="H406:H407"/>
    <mergeCell ref="H274:H275"/>
    <mergeCell ref="A8:C8"/>
    <mergeCell ref="A12:A75"/>
    <mergeCell ref="A78:A141"/>
    <mergeCell ref="A144:A207"/>
    <mergeCell ref="A210:A273"/>
    <mergeCell ref="A76:A77"/>
    <mergeCell ref="B76:B77"/>
    <mergeCell ref="C76:C77"/>
    <mergeCell ref="A142:A143"/>
    <mergeCell ref="B142:B143"/>
    <mergeCell ref="C142:C143"/>
    <mergeCell ref="B10:B11"/>
    <mergeCell ref="A10:A11"/>
    <mergeCell ref="A208:A209"/>
    <mergeCell ref="B208:B209"/>
    <mergeCell ref="C208:C209"/>
  </mergeCells>
  <pageMargins left="0.85" right="0.75" top="0.57013888888888886" bottom="0.90972222222222221" header="0" footer="0.51180555555555551"/>
  <pageSetup firstPageNumber="0" fitToHeight="12" orientation="landscape" horizontalDpi="300" verticalDpi="300" r:id="rId1"/>
  <headerFooter alignWithMargins="0">
    <oddHeader>&amp;LSEPT - 2004&amp;CDIRECTIVA D.B.S.A.
ORDINARIO&amp;R02-BS/0307/02
pag &amp;P de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IH98"/>
  <sheetViews>
    <sheetView showGridLines="0" topLeftCell="F1" zoomScale="80" zoomScaleNormal="80" workbookViewId="0">
      <selection activeCell="W83" sqref="W83"/>
    </sheetView>
  </sheetViews>
  <sheetFormatPr baseColWidth="10" defaultColWidth="11.42578125" defaultRowHeight="12.75" x14ac:dyDescent="0.2"/>
  <cols>
    <col min="1" max="1" width="7.140625" style="24" customWidth="1"/>
    <col min="2" max="2" width="28" style="24" customWidth="1"/>
    <col min="3" max="3" width="28.85546875" style="24" customWidth="1"/>
    <col min="4" max="4" width="24.140625" style="24" customWidth="1"/>
    <col min="5" max="5" width="25.140625" style="24" customWidth="1"/>
    <col min="6" max="6" width="22.140625" style="24" customWidth="1"/>
    <col min="7" max="7" width="14.85546875" style="24" customWidth="1"/>
    <col min="8" max="8" width="15" style="24" customWidth="1"/>
    <col min="9" max="9" width="15.140625" style="24" customWidth="1"/>
    <col min="10" max="10" width="17.42578125" style="24" customWidth="1"/>
    <col min="11" max="11" width="19.140625" style="24" customWidth="1"/>
    <col min="12" max="12" width="4.85546875" style="24" customWidth="1"/>
    <col min="13" max="13" width="19.140625" style="24" customWidth="1"/>
    <col min="14" max="14" width="16.140625" style="24" customWidth="1"/>
    <col min="15" max="15" width="17.140625" style="24" customWidth="1"/>
    <col min="16" max="16" width="14.85546875" style="24" customWidth="1"/>
    <col min="17" max="17" width="17.85546875" style="24" customWidth="1"/>
    <col min="18" max="18" width="17.140625" style="24" customWidth="1"/>
    <col min="19" max="19" width="17.42578125" style="24" customWidth="1"/>
    <col min="20" max="20" width="5" style="24" customWidth="1"/>
    <col min="21" max="21" width="19.85546875" style="24" bestFit="1" customWidth="1"/>
    <col min="22" max="22" width="52.140625" style="24" bestFit="1" customWidth="1"/>
    <col min="23" max="23" width="18.140625" style="24" customWidth="1"/>
    <col min="24" max="24" width="5.85546875" style="24" customWidth="1"/>
    <col min="25" max="25" width="11.42578125" style="24" customWidth="1"/>
    <col min="26" max="31" width="14.140625" style="24" customWidth="1"/>
    <col min="32" max="32" width="11.140625" style="24" customWidth="1"/>
    <col min="33" max="38" width="14.140625" style="24" customWidth="1"/>
    <col min="39" max="39" width="11.42578125" style="24"/>
    <col min="40" max="45" width="14.140625" style="24" customWidth="1"/>
    <col min="46" max="16384" width="11.42578125" style="24"/>
  </cols>
  <sheetData>
    <row r="1" spans="1:242" s="4" customFormat="1" x14ac:dyDescent="0.2">
      <c r="E1" s="37" t="s">
        <v>224</v>
      </c>
      <c r="F1" s="37"/>
      <c r="G1" s="37"/>
      <c r="H1" s="37"/>
      <c r="I1" s="37"/>
      <c r="IG1" s="2"/>
      <c r="IH1" s="2"/>
    </row>
    <row r="2" spans="1:242" s="4" customFormat="1" x14ac:dyDescent="0.2">
      <c r="E2" s="37" t="s">
        <v>216</v>
      </c>
      <c r="F2" s="37"/>
      <c r="G2" s="37"/>
      <c r="H2" s="37"/>
      <c r="I2" s="37"/>
      <c r="IG2" s="2"/>
      <c r="IH2" s="2"/>
    </row>
    <row r="3" spans="1:242" s="4" customFormat="1" x14ac:dyDescent="0.2">
      <c r="B3" s="20"/>
      <c r="HX3" s="2"/>
      <c r="HY3" s="2"/>
      <c r="HZ3" s="2"/>
      <c r="IA3" s="2"/>
      <c r="IB3" s="2"/>
      <c r="IC3" s="2"/>
    </row>
    <row r="4" spans="1:242" s="4" customFormat="1" ht="18.75" customHeight="1" x14ac:dyDescent="0.2">
      <c r="B4" s="20"/>
      <c r="D4" s="125" t="s">
        <v>0</v>
      </c>
      <c r="E4" s="251" t="str">
        <f>+'B) Reajuste Tarifas y Ocupación'!F5</f>
        <v>BIENVALP</v>
      </c>
      <c r="F4" s="70"/>
      <c r="G4" s="71"/>
      <c r="H4" s="71"/>
      <c r="I4" s="71"/>
      <c r="J4" s="71"/>
      <c r="O4" s="1"/>
      <c r="HX4" s="2"/>
      <c r="HY4" s="2"/>
      <c r="HZ4" s="2"/>
      <c r="IA4" s="2"/>
      <c r="IB4" s="2"/>
      <c r="IC4" s="2"/>
    </row>
    <row r="5" spans="1:242" s="4" customFormat="1" x14ac:dyDescent="0.2">
      <c r="B5" s="20"/>
      <c r="D5" s="6"/>
      <c r="E5" s="37"/>
      <c r="F5" s="37"/>
      <c r="G5" s="37"/>
      <c r="H5" s="37"/>
      <c r="I5" s="37"/>
      <c r="J5" s="37"/>
      <c r="O5" s="1"/>
      <c r="HX5" s="2"/>
      <c r="HY5" s="2"/>
      <c r="HZ5" s="2"/>
      <c r="IA5" s="2"/>
      <c r="IB5" s="2"/>
      <c r="IC5" s="2"/>
    </row>
    <row r="6" spans="1:242" s="4" customFormat="1" ht="13.5" thickBot="1" x14ac:dyDescent="0.25">
      <c r="B6" s="20"/>
      <c r="D6" s="6"/>
      <c r="E6" s="37"/>
      <c r="F6" s="37"/>
      <c r="G6" s="37"/>
      <c r="H6" s="37"/>
      <c r="I6" s="37"/>
      <c r="J6" s="37"/>
      <c r="O6" s="1"/>
      <c r="HX6" s="2"/>
      <c r="HY6" s="2"/>
      <c r="HZ6" s="2"/>
      <c r="IA6" s="2"/>
      <c r="IB6" s="2"/>
      <c r="IC6" s="2"/>
    </row>
    <row r="7" spans="1:242" x14ac:dyDescent="0.2">
      <c r="B7" s="22"/>
      <c r="C7" s="22"/>
      <c r="D7" s="22"/>
      <c r="E7" s="22"/>
      <c r="F7" s="22"/>
      <c r="G7" s="22"/>
      <c r="H7" s="22"/>
      <c r="I7" s="22"/>
      <c r="J7" s="32"/>
      <c r="K7" s="32"/>
      <c r="L7" s="32"/>
      <c r="M7" s="32"/>
      <c r="N7" s="32"/>
      <c r="O7" s="32"/>
      <c r="P7" s="32"/>
      <c r="Q7" s="32"/>
      <c r="R7" s="32"/>
      <c r="Y7" s="274"/>
      <c r="Z7" s="275"/>
      <c r="AA7" s="275"/>
      <c r="AB7" s="275"/>
      <c r="AC7" s="275"/>
      <c r="AD7" s="275"/>
      <c r="AE7" s="275"/>
      <c r="AF7" s="275"/>
      <c r="AG7" s="275"/>
      <c r="AH7" s="275"/>
      <c r="AI7" s="275"/>
      <c r="AJ7" s="275"/>
      <c r="AK7" s="275"/>
      <c r="AL7" s="275"/>
      <c r="AM7" s="275"/>
      <c r="AN7" s="275"/>
      <c r="AO7" s="275"/>
      <c r="AP7" s="275"/>
      <c r="AQ7" s="275"/>
      <c r="AR7" s="275"/>
      <c r="AS7" s="275"/>
      <c r="AT7" s="276"/>
    </row>
    <row r="8" spans="1:242" x14ac:dyDescent="0.2">
      <c r="B8" s="22"/>
      <c r="C8" s="22"/>
      <c r="D8" s="22"/>
      <c r="E8" s="22"/>
      <c r="F8" s="22"/>
      <c r="G8" s="22"/>
      <c r="H8" s="22"/>
      <c r="I8" s="22"/>
      <c r="J8" s="32"/>
      <c r="K8" s="32"/>
      <c r="L8" s="32"/>
      <c r="M8" s="32"/>
      <c r="N8" s="32"/>
      <c r="O8" s="32"/>
      <c r="P8" s="32"/>
      <c r="Q8" s="32"/>
      <c r="R8" s="32"/>
      <c r="Y8" s="277"/>
      <c r="AT8" s="278"/>
    </row>
    <row r="9" spans="1:242" ht="15.75" customHeight="1" x14ac:dyDescent="0.2">
      <c r="A9" s="1340" t="s">
        <v>168</v>
      </c>
      <c r="B9" s="1340"/>
      <c r="C9" s="1340"/>
      <c r="D9" s="1340"/>
      <c r="E9" s="1340"/>
      <c r="F9" s="1340"/>
      <c r="G9" s="1340"/>
      <c r="H9" s="1340"/>
      <c r="I9" s="127"/>
      <c r="J9" s="127"/>
      <c r="K9" s="127"/>
      <c r="L9" s="127"/>
      <c r="M9" s="1305" t="s">
        <v>169</v>
      </c>
      <c r="N9" s="1305"/>
      <c r="O9" s="1305"/>
      <c r="P9" s="1305"/>
      <c r="Q9" s="1305"/>
      <c r="R9" s="1305"/>
      <c r="S9" s="1305"/>
      <c r="U9" s="1305" t="s">
        <v>170</v>
      </c>
      <c r="V9" s="1305"/>
      <c r="W9" s="1305"/>
      <c r="X9" s="150"/>
      <c r="Y9" s="279"/>
      <c r="Z9" s="1305" t="s">
        <v>171</v>
      </c>
      <c r="AA9" s="1305"/>
      <c r="AB9" s="1305"/>
      <c r="AC9" s="1305"/>
      <c r="AD9" s="1305"/>
      <c r="AE9" s="1305"/>
      <c r="AF9" s="150"/>
      <c r="AG9" s="1305" t="s">
        <v>172</v>
      </c>
      <c r="AH9" s="1305"/>
      <c r="AI9" s="1305"/>
      <c r="AJ9" s="1305"/>
      <c r="AK9" s="1305"/>
      <c r="AL9" s="1305"/>
      <c r="AN9" s="1305" t="s">
        <v>173</v>
      </c>
      <c r="AO9" s="1305"/>
      <c r="AP9" s="1305"/>
      <c r="AQ9" s="1305"/>
      <c r="AR9" s="1305"/>
      <c r="AS9" s="1305"/>
      <c r="AT9" s="278"/>
    </row>
    <row r="10" spans="1:242" ht="13.5" customHeight="1" x14ac:dyDescent="0.2">
      <c r="B10" s="20"/>
      <c r="C10" s="6"/>
      <c r="D10" s="6"/>
      <c r="E10" s="37"/>
      <c r="F10" s="37"/>
      <c r="G10" s="37"/>
      <c r="H10" s="37"/>
      <c r="I10" s="37"/>
      <c r="J10" s="37"/>
      <c r="M10" s="1305"/>
      <c r="N10" s="1305"/>
      <c r="O10" s="1305"/>
      <c r="P10" s="1305"/>
      <c r="Q10" s="1305"/>
      <c r="R10" s="1305"/>
      <c r="S10" s="1305"/>
      <c r="U10" s="1305"/>
      <c r="V10" s="1305"/>
      <c r="W10" s="1305"/>
      <c r="Y10" s="277"/>
      <c r="Z10" s="1305"/>
      <c r="AA10" s="1305"/>
      <c r="AB10" s="1305"/>
      <c r="AC10" s="1305"/>
      <c r="AD10" s="1305"/>
      <c r="AE10" s="1305"/>
      <c r="AG10" s="1305"/>
      <c r="AH10" s="1305"/>
      <c r="AI10" s="1305"/>
      <c r="AJ10" s="1305"/>
      <c r="AK10" s="1305"/>
      <c r="AL10" s="1305"/>
      <c r="AN10" s="1305"/>
      <c r="AO10" s="1305"/>
      <c r="AP10" s="1305"/>
      <c r="AQ10" s="1305"/>
      <c r="AR10" s="1305"/>
      <c r="AS10" s="1305"/>
      <c r="AT10" s="278"/>
    </row>
    <row r="11" spans="1:242" x14ac:dyDescent="0.2">
      <c r="J11" s="73" t="s">
        <v>4</v>
      </c>
      <c r="K11" s="72">
        <v>0.11</v>
      </c>
      <c r="Y11" s="277"/>
      <c r="AT11" s="278"/>
    </row>
    <row r="12" spans="1:242" ht="12.75" customHeight="1" thickBot="1" x14ac:dyDescent="0.25">
      <c r="M12" s="1333"/>
      <c r="N12" s="1333"/>
      <c r="O12" s="1333"/>
      <c r="P12" s="1333"/>
      <c r="Q12" s="1333"/>
      <c r="R12" s="1333"/>
      <c r="Y12" s="277"/>
      <c r="AT12" s="278"/>
    </row>
    <row r="13" spans="1:242" ht="21.75" customHeight="1" x14ac:dyDescent="0.2">
      <c r="A13" s="1349" t="s">
        <v>118</v>
      </c>
      <c r="B13" s="1350"/>
      <c r="C13" s="1353" t="s">
        <v>74</v>
      </c>
      <c r="D13" s="1353" t="s">
        <v>75</v>
      </c>
      <c r="E13" s="1355" t="s">
        <v>3</v>
      </c>
      <c r="F13" s="1355" t="s">
        <v>82</v>
      </c>
      <c r="G13" s="1321" t="s">
        <v>278</v>
      </c>
      <c r="H13" s="1321"/>
      <c r="I13" s="1321"/>
      <c r="J13" s="1322"/>
      <c r="K13" s="1345" t="s">
        <v>280</v>
      </c>
      <c r="L13" s="32"/>
      <c r="M13" s="1319" t="s">
        <v>69</v>
      </c>
      <c r="N13" s="1347"/>
      <c r="O13" s="1307" t="s">
        <v>70</v>
      </c>
      <c r="P13" s="1308"/>
      <c r="Q13" s="1348" t="s">
        <v>71</v>
      </c>
      <c r="R13" s="1310"/>
      <c r="S13" s="1303" t="s">
        <v>159</v>
      </c>
      <c r="U13" s="1341" t="s">
        <v>76</v>
      </c>
      <c r="V13" s="1343" t="s">
        <v>77</v>
      </c>
      <c r="W13" s="1306" t="s">
        <v>281</v>
      </c>
      <c r="Y13" s="277"/>
      <c r="Z13" s="1313" t="s">
        <v>69</v>
      </c>
      <c r="AA13" s="1314"/>
      <c r="AB13" s="1315" t="s">
        <v>70</v>
      </c>
      <c r="AC13" s="1316"/>
      <c r="AD13" s="1317" t="s">
        <v>71</v>
      </c>
      <c r="AE13" s="1318"/>
      <c r="AG13" s="1319" t="s">
        <v>69</v>
      </c>
      <c r="AH13" s="1320"/>
      <c r="AI13" s="1307" t="s">
        <v>70</v>
      </c>
      <c r="AJ13" s="1308"/>
      <c r="AK13" s="1309" t="s">
        <v>71</v>
      </c>
      <c r="AL13" s="1310"/>
      <c r="AN13" s="1319" t="s">
        <v>69</v>
      </c>
      <c r="AO13" s="1320"/>
      <c r="AP13" s="1307" t="s">
        <v>70</v>
      </c>
      <c r="AQ13" s="1308"/>
      <c r="AR13" s="1309" t="s">
        <v>71</v>
      </c>
      <c r="AS13" s="1310"/>
      <c r="AT13" s="278"/>
    </row>
    <row r="14" spans="1:242" ht="39" thickBot="1" x14ac:dyDescent="0.25">
      <c r="A14" s="1351"/>
      <c r="B14" s="1352"/>
      <c r="C14" s="1354"/>
      <c r="D14" s="1354"/>
      <c r="E14" s="1356"/>
      <c r="F14" s="1356"/>
      <c r="G14" s="379" t="s">
        <v>236</v>
      </c>
      <c r="H14" s="380" t="s">
        <v>116</v>
      </c>
      <c r="I14" s="380" t="s">
        <v>117</v>
      </c>
      <c r="J14" s="295" t="s">
        <v>279</v>
      </c>
      <c r="K14" s="1346"/>
      <c r="L14" s="32"/>
      <c r="M14" s="259" t="s">
        <v>36</v>
      </c>
      <c r="N14" s="261" t="s">
        <v>37</v>
      </c>
      <c r="O14" s="268" t="s">
        <v>36</v>
      </c>
      <c r="P14" s="269" t="s">
        <v>37</v>
      </c>
      <c r="Q14" s="262" t="s">
        <v>36</v>
      </c>
      <c r="R14" s="260" t="s">
        <v>37</v>
      </c>
      <c r="S14" s="1304"/>
      <c r="U14" s="1342"/>
      <c r="V14" s="1344"/>
      <c r="W14" s="1306"/>
      <c r="Y14" s="277"/>
      <c r="Z14" s="259" t="s">
        <v>36</v>
      </c>
      <c r="AA14" s="261" t="s">
        <v>37</v>
      </c>
      <c r="AB14" s="268" t="s">
        <v>36</v>
      </c>
      <c r="AC14" s="269" t="s">
        <v>37</v>
      </c>
      <c r="AD14" s="262" t="s">
        <v>36</v>
      </c>
      <c r="AE14" s="260" t="s">
        <v>37</v>
      </c>
      <c r="AG14" s="280" t="s">
        <v>36</v>
      </c>
      <c r="AH14" s="281" t="s">
        <v>37</v>
      </c>
      <c r="AI14" s="282" t="s">
        <v>36</v>
      </c>
      <c r="AJ14" s="283" t="s">
        <v>37</v>
      </c>
      <c r="AK14" s="284" t="s">
        <v>36</v>
      </c>
      <c r="AL14" s="285" t="s">
        <v>37</v>
      </c>
      <c r="AN14" s="1311" t="s">
        <v>160</v>
      </c>
      <c r="AO14" s="1312"/>
      <c r="AP14" s="1299" t="s">
        <v>160</v>
      </c>
      <c r="AQ14" s="1300"/>
      <c r="AR14" s="1301" t="s">
        <v>161</v>
      </c>
      <c r="AS14" s="1302"/>
      <c r="AT14" s="278"/>
    </row>
    <row r="15" spans="1:242" ht="12.75" customHeight="1" thickBot="1" x14ac:dyDescent="0.25">
      <c r="A15" s="1323" t="s">
        <v>155</v>
      </c>
      <c r="B15" s="1326" t="s">
        <v>93</v>
      </c>
      <c r="C15" s="966" t="s">
        <v>795</v>
      </c>
      <c r="D15" s="650" t="s">
        <v>796</v>
      </c>
      <c r="E15" s="967" t="s">
        <v>797</v>
      </c>
      <c r="F15" s="968" t="s">
        <v>119</v>
      </c>
      <c r="G15" s="651">
        <v>10206204</v>
      </c>
      <c r="H15" s="651">
        <v>304800</v>
      </c>
      <c r="I15" s="969">
        <v>158264.64000000001</v>
      </c>
      <c r="J15" s="142">
        <f>SUM(G15:I15)</f>
        <v>10669268.640000001</v>
      </c>
      <c r="K15" s="138">
        <f t="shared" ref="K15:K61" si="0">+J15*(1+$K$11)</f>
        <v>11842888.190400003</v>
      </c>
      <c r="L15" s="32"/>
      <c r="M15" s="985">
        <v>0.25</v>
      </c>
      <c r="N15" s="255">
        <f t="shared" ref="N15:N61" si="1">+$K15*M15</f>
        <v>2960722.0476000006</v>
      </c>
      <c r="O15" s="985">
        <v>0.25</v>
      </c>
      <c r="P15" s="265">
        <f t="shared" ref="P15:P61" si="2">+$K15*O15</f>
        <v>2960722.0476000006</v>
      </c>
      <c r="Q15" s="986">
        <v>0.5</v>
      </c>
      <c r="R15" s="255">
        <f t="shared" ref="R15:R61" si="3">+$K15*Q15</f>
        <v>5921444.0952000013</v>
      </c>
      <c r="S15" s="511">
        <f>+M15+O15+Q15</f>
        <v>1</v>
      </c>
      <c r="U15" s="154"/>
      <c r="V15" s="151" t="s">
        <v>11</v>
      </c>
      <c r="W15" s="157">
        <f>SUM(W16,W20)</f>
        <v>112023044</v>
      </c>
      <c r="Y15" s="277"/>
      <c r="Z15" s="270">
        <f t="shared" ref="Z15:AE15" si="4">+M62</f>
        <v>0.25</v>
      </c>
      <c r="AA15" s="272">
        <f t="shared" si="4"/>
        <v>41643762.185700007</v>
      </c>
      <c r="AB15" s="270">
        <f t="shared" si="4"/>
        <v>0.25</v>
      </c>
      <c r="AC15" s="273">
        <f t="shared" si="4"/>
        <v>41643762.185700007</v>
      </c>
      <c r="AD15" s="271">
        <f t="shared" si="4"/>
        <v>0.5</v>
      </c>
      <c r="AE15" s="273">
        <f t="shared" si="4"/>
        <v>83287524.371400014</v>
      </c>
      <c r="AG15" s="371">
        <f>+Z15</f>
        <v>0.25</v>
      </c>
      <c r="AH15" s="372">
        <f>+AG15*W80</f>
        <v>42815706</v>
      </c>
      <c r="AI15" s="373">
        <f>+AB15</f>
        <v>0.25</v>
      </c>
      <c r="AJ15" s="372">
        <f>+AI15*W80</f>
        <v>42815706</v>
      </c>
      <c r="AK15" s="374">
        <f>+AD15</f>
        <v>0.5</v>
      </c>
      <c r="AL15" s="375">
        <f>+AK15*W80</f>
        <v>85631412</v>
      </c>
      <c r="AN15" s="1297">
        <f>+AH15+AA15</f>
        <v>84459468.185699999</v>
      </c>
      <c r="AO15" s="1298"/>
      <c r="AP15" s="1297">
        <f>+AJ15+AC15+K70</f>
        <v>114514640.6613</v>
      </c>
      <c r="AQ15" s="1298"/>
      <c r="AR15" s="1297">
        <f>+AL15+AE15</f>
        <v>168918936.3714</v>
      </c>
      <c r="AS15" s="1298"/>
      <c r="AT15" s="278"/>
    </row>
    <row r="16" spans="1:242" x14ac:dyDescent="0.2">
      <c r="A16" s="1324"/>
      <c r="B16" s="1327"/>
      <c r="C16" s="966" t="s">
        <v>798</v>
      </c>
      <c r="D16" s="650" t="s">
        <v>799</v>
      </c>
      <c r="E16" s="967" t="s">
        <v>800</v>
      </c>
      <c r="F16" s="968" t="s">
        <v>119</v>
      </c>
      <c r="G16" s="651">
        <v>16125720</v>
      </c>
      <c r="H16" s="651">
        <v>204800</v>
      </c>
      <c r="I16" s="969">
        <v>158264.64000000001</v>
      </c>
      <c r="J16" s="143">
        <f t="shared" ref="J16:J39" si="5">SUM(G16:I16)</f>
        <v>16488784.640000001</v>
      </c>
      <c r="K16" s="139">
        <f t="shared" si="0"/>
        <v>18302550.950400002</v>
      </c>
      <c r="L16" s="32"/>
      <c r="M16" s="985">
        <v>0.25</v>
      </c>
      <c r="N16" s="256">
        <f t="shared" si="1"/>
        <v>4575637.7376000006</v>
      </c>
      <c r="O16" s="985">
        <v>0.25</v>
      </c>
      <c r="P16" s="254">
        <f t="shared" si="2"/>
        <v>4575637.7376000006</v>
      </c>
      <c r="Q16" s="987">
        <v>0.5</v>
      </c>
      <c r="R16" s="256">
        <f t="shared" si="3"/>
        <v>9151275.4752000012</v>
      </c>
      <c r="S16" s="512">
        <f t="shared" ref="S16:S61" si="6">+M16+O16+Q16</f>
        <v>1</v>
      </c>
      <c r="U16" s="155"/>
      <c r="V16" s="152" t="s">
        <v>12</v>
      </c>
      <c r="W16" s="158">
        <f>SUM(W17:W19)</f>
        <v>800000</v>
      </c>
      <c r="Y16" s="277"/>
      <c r="AT16" s="278"/>
    </row>
    <row r="17" spans="1:46" ht="12.75" customHeight="1" x14ac:dyDescent="0.2">
      <c r="A17" s="1324"/>
      <c r="B17" s="1327"/>
      <c r="C17" s="966" t="s">
        <v>801</v>
      </c>
      <c r="D17" s="650" t="s">
        <v>802</v>
      </c>
      <c r="E17" s="967" t="s">
        <v>803</v>
      </c>
      <c r="F17" s="968" t="s">
        <v>119</v>
      </c>
      <c r="G17" s="651">
        <v>33230196</v>
      </c>
      <c r="H17" s="651">
        <v>204800</v>
      </c>
      <c r="I17" s="969">
        <v>154661.52000000002</v>
      </c>
      <c r="J17" s="143">
        <f t="shared" si="5"/>
        <v>33589657.520000003</v>
      </c>
      <c r="K17" s="139">
        <f t="shared" si="0"/>
        <v>37284519.847200006</v>
      </c>
      <c r="L17" s="32"/>
      <c r="M17" s="985">
        <v>0.25</v>
      </c>
      <c r="N17" s="256">
        <f t="shared" si="1"/>
        <v>9321129.9618000016</v>
      </c>
      <c r="O17" s="985">
        <v>0.25</v>
      </c>
      <c r="P17" s="254">
        <f t="shared" si="2"/>
        <v>9321129.9618000016</v>
      </c>
      <c r="Q17" s="987">
        <v>0.5</v>
      </c>
      <c r="R17" s="256">
        <f t="shared" si="3"/>
        <v>18642259.923600003</v>
      </c>
      <c r="S17" s="512">
        <f t="shared" si="6"/>
        <v>1</v>
      </c>
      <c r="U17" s="156">
        <v>53103050000000</v>
      </c>
      <c r="V17" s="153" t="s">
        <v>13</v>
      </c>
      <c r="W17" s="159">
        <v>0</v>
      </c>
      <c r="Y17" s="277"/>
      <c r="AT17" s="278"/>
    </row>
    <row r="18" spans="1:46" ht="13.5" customHeight="1" thickBot="1" x14ac:dyDescent="0.25">
      <c r="A18" s="1324"/>
      <c r="B18" s="1327"/>
      <c r="C18" s="966" t="s">
        <v>246</v>
      </c>
      <c r="D18" s="650" t="s">
        <v>804</v>
      </c>
      <c r="E18" s="967" t="s">
        <v>805</v>
      </c>
      <c r="F18" s="968" t="s">
        <v>119</v>
      </c>
      <c r="G18" s="651">
        <v>15885636</v>
      </c>
      <c r="H18" s="651">
        <v>204800</v>
      </c>
      <c r="I18" s="969">
        <v>158264.64000000001</v>
      </c>
      <c r="J18" s="143">
        <f t="shared" si="5"/>
        <v>16248700.640000001</v>
      </c>
      <c r="K18" s="139">
        <f t="shared" si="0"/>
        <v>18036057.710400004</v>
      </c>
      <c r="L18" s="32"/>
      <c r="M18" s="985">
        <v>0.25</v>
      </c>
      <c r="N18" s="256">
        <f t="shared" si="1"/>
        <v>4509014.427600001</v>
      </c>
      <c r="O18" s="985">
        <v>0.25</v>
      </c>
      <c r="P18" s="254">
        <f t="shared" si="2"/>
        <v>4509014.427600001</v>
      </c>
      <c r="Q18" s="987">
        <v>0.5</v>
      </c>
      <c r="R18" s="256">
        <f t="shared" si="3"/>
        <v>9018028.855200002</v>
      </c>
      <c r="S18" s="512">
        <f t="shared" si="6"/>
        <v>1</v>
      </c>
      <c r="U18" s="156">
        <v>53103060000000</v>
      </c>
      <c r="V18" s="153" t="s">
        <v>14</v>
      </c>
      <c r="W18" s="159">
        <v>0</v>
      </c>
      <c r="Y18" s="286"/>
      <c r="Z18" s="287"/>
      <c r="AA18" s="287"/>
      <c r="AB18" s="287"/>
      <c r="AC18" s="287"/>
      <c r="AD18" s="287"/>
      <c r="AE18" s="287"/>
      <c r="AF18" s="287"/>
      <c r="AG18" s="287"/>
      <c r="AH18" s="287"/>
      <c r="AI18" s="287"/>
      <c r="AJ18" s="287"/>
      <c r="AK18" s="287"/>
      <c r="AL18" s="287"/>
      <c r="AM18" s="287"/>
      <c r="AN18" s="287"/>
      <c r="AO18" s="287"/>
      <c r="AP18" s="287"/>
      <c r="AQ18" s="287"/>
      <c r="AR18" s="287"/>
      <c r="AS18" s="287"/>
      <c r="AT18" s="288"/>
    </row>
    <row r="19" spans="1:46" x14ac:dyDescent="0.2">
      <c r="A19" s="1324"/>
      <c r="B19" s="1327"/>
      <c r="C19" s="966" t="s">
        <v>806</v>
      </c>
      <c r="D19" s="650" t="s">
        <v>807</v>
      </c>
      <c r="E19" s="967" t="s">
        <v>808</v>
      </c>
      <c r="F19" s="968" t="s">
        <v>119</v>
      </c>
      <c r="G19" s="651">
        <v>12677832</v>
      </c>
      <c r="H19" s="651">
        <v>204800</v>
      </c>
      <c r="I19" s="969">
        <v>158264.64000000001</v>
      </c>
      <c r="J19" s="143">
        <f t="shared" si="5"/>
        <v>13040896.640000001</v>
      </c>
      <c r="K19" s="139">
        <f t="shared" si="0"/>
        <v>14475395.270400003</v>
      </c>
      <c r="L19" s="32"/>
      <c r="M19" s="985">
        <v>0.25</v>
      </c>
      <c r="N19" s="256">
        <f t="shared" si="1"/>
        <v>3618848.8176000006</v>
      </c>
      <c r="O19" s="985">
        <v>0.25</v>
      </c>
      <c r="P19" s="254">
        <f t="shared" si="2"/>
        <v>3618848.8176000006</v>
      </c>
      <c r="Q19" s="987">
        <v>0.5</v>
      </c>
      <c r="R19" s="256">
        <f t="shared" si="3"/>
        <v>7237697.6352000013</v>
      </c>
      <c r="S19" s="512">
        <f t="shared" si="6"/>
        <v>1</v>
      </c>
      <c r="U19" s="156">
        <v>53103080010000</v>
      </c>
      <c r="V19" s="153" t="s">
        <v>15</v>
      </c>
      <c r="W19" s="159">
        <v>800000</v>
      </c>
    </row>
    <row r="20" spans="1:46" x14ac:dyDescent="0.2">
      <c r="A20" s="1324"/>
      <c r="B20" s="1327"/>
      <c r="C20" s="83"/>
      <c r="D20" s="134"/>
      <c r="E20" s="135"/>
      <c r="F20" s="136" t="s">
        <v>119</v>
      </c>
      <c r="G20" s="129">
        <v>0</v>
      </c>
      <c r="H20" s="129">
        <v>0</v>
      </c>
      <c r="I20" s="140">
        <v>0</v>
      </c>
      <c r="J20" s="143">
        <f t="shared" si="5"/>
        <v>0</v>
      </c>
      <c r="K20" s="139">
        <f t="shared" si="0"/>
        <v>0</v>
      </c>
      <c r="L20" s="32"/>
      <c r="M20" s="253">
        <v>0</v>
      </c>
      <c r="N20" s="256">
        <f t="shared" si="1"/>
        <v>0</v>
      </c>
      <c r="O20" s="253">
        <v>0</v>
      </c>
      <c r="P20" s="254">
        <f t="shared" si="2"/>
        <v>0</v>
      </c>
      <c r="Q20" s="263">
        <v>0</v>
      </c>
      <c r="R20" s="256">
        <f t="shared" si="3"/>
        <v>0</v>
      </c>
      <c r="S20" s="512">
        <f t="shared" si="6"/>
        <v>0</v>
      </c>
      <c r="U20" s="155"/>
      <c r="V20" s="152" t="s">
        <v>16</v>
      </c>
      <c r="W20" s="289">
        <f>SUM(W21:W39)</f>
        <v>111223044</v>
      </c>
    </row>
    <row r="21" spans="1:46" x14ac:dyDescent="0.2">
      <c r="A21" s="1324"/>
      <c r="B21" s="1327"/>
      <c r="C21" s="83"/>
      <c r="D21" s="134"/>
      <c r="E21" s="135"/>
      <c r="F21" s="136" t="s">
        <v>119</v>
      </c>
      <c r="G21" s="129">
        <v>0</v>
      </c>
      <c r="H21" s="129">
        <v>0</v>
      </c>
      <c r="I21" s="140">
        <v>0</v>
      </c>
      <c r="J21" s="143">
        <f t="shared" si="5"/>
        <v>0</v>
      </c>
      <c r="K21" s="139">
        <f t="shared" si="0"/>
        <v>0</v>
      </c>
      <c r="L21" s="32"/>
      <c r="M21" s="253">
        <v>0</v>
      </c>
      <c r="N21" s="256">
        <f t="shared" si="1"/>
        <v>0</v>
      </c>
      <c r="O21" s="253">
        <v>0</v>
      </c>
      <c r="P21" s="254">
        <f t="shared" si="2"/>
        <v>0</v>
      </c>
      <c r="Q21" s="263">
        <v>0</v>
      </c>
      <c r="R21" s="256">
        <f t="shared" si="3"/>
        <v>0</v>
      </c>
      <c r="S21" s="512">
        <f t="shared" si="6"/>
        <v>0</v>
      </c>
      <c r="U21" s="156">
        <v>53201010100000</v>
      </c>
      <c r="V21" s="153" t="s">
        <v>17</v>
      </c>
      <c r="W21" s="988">
        <v>22000000</v>
      </c>
    </row>
    <row r="22" spans="1:46" x14ac:dyDescent="0.2">
      <c r="A22" s="1324"/>
      <c r="B22" s="1327"/>
      <c r="C22" s="83"/>
      <c r="D22" s="134"/>
      <c r="E22" s="135"/>
      <c r="F22" s="136" t="s">
        <v>119</v>
      </c>
      <c r="G22" s="129">
        <v>0</v>
      </c>
      <c r="H22" s="129">
        <v>0</v>
      </c>
      <c r="I22" s="140">
        <v>0</v>
      </c>
      <c r="J22" s="143">
        <f t="shared" si="5"/>
        <v>0</v>
      </c>
      <c r="K22" s="139">
        <f t="shared" si="0"/>
        <v>0</v>
      </c>
      <c r="L22" s="32"/>
      <c r="M22" s="253">
        <v>0</v>
      </c>
      <c r="N22" s="256">
        <f t="shared" si="1"/>
        <v>0</v>
      </c>
      <c r="O22" s="253">
        <v>0</v>
      </c>
      <c r="P22" s="254">
        <f t="shared" si="2"/>
        <v>0</v>
      </c>
      <c r="Q22" s="263">
        <v>0</v>
      </c>
      <c r="R22" s="256">
        <f t="shared" si="3"/>
        <v>0</v>
      </c>
      <c r="S22" s="512">
        <f t="shared" si="6"/>
        <v>0</v>
      </c>
      <c r="U22" s="156">
        <v>53202010100000</v>
      </c>
      <c r="V22" s="153" t="s">
        <v>18</v>
      </c>
      <c r="W22" s="988">
        <v>800000</v>
      </c>
    </row>
    <row r="23" spans="1:46" x14ac:dyDescent="0.2">
      <c r="A23" s="1324"/>
      <c r="B23" s="1327"/>
      <c r="C23" s="83"/>
      <c r="D23" s="134"/>
      <c r="E23" s="135"/>
      <c r="F23" s="136" t="s">
        <v>119</v>
      </c>
      <c r="G23" s="129">
        <v>0</v>
      </c>
      <c r="H23" s="129">
        <v>0</v>
      </c>
      <c r="I23" s="140">
        <v>0</v>
      </c>
      <c r="J23" s="143">
        <f t="shared" si="5"/>
        <v>0</v>
      </c>
      <c r="K23" s="139">
        <f t="shared" si="0"/>
        <v>0</v>
      </c>
      <c r="L23" s="32"/>
      <c r="M23" s="253">
        <v>0</v>
      </c>
      <c r="N23" s="256">
        <f t="shared" si="1"/>
        <v>0</v>
      </c>
      <c r="O23" s="253">
        <v>0</v>
      </c>
      <c r="P23" s="254">
        <f t="shared" si="2"/>
        <v>0</v>
      </c>
      <c r="Q23" s="263">
        <v>0</v>
      </c>
      <c r="R23" s="256">
        <f t="shared" si="3"/>
        <v>0</v>
      </c>
      <c r="S23" s="512">
        <f t="shared" si="6"/>
        <v>0</v>
      </c>
      <c r="U23" s="156">
        <v>53203010100000</v>
      </c>
      <c r="V23" s="153" t="s">
        <v>19</v>
      </c>
      <c r="W23" s="988">
        <v>8800000</v>
      </c>
    </row>
    <row r="24" spans="1:46" ht="13.5" thickBot="1" x14ac:dyDescent="0.25">
      <c r="A24" s="1324"/>
      <c r="B24" s="1328"/>
      <c r="C24" s="149"/>
      <c r="D24" s="130"/>
      <c r="E24" s="131"/>
      <c r="F24" s="132" t="s">
        <v>119</v>
      </c>
      <c r="G24" s="133">
        <v>0</v>
      </c>
      <c r="H24" s="133">
        <v>0</v>
      </c>
      <c r="I24" s="141">
        <v>0</v>
      </c>
      <c r="J24" s="144">
        <f t="shared" si="5"/>
        <v>0</v>
      </c>
      <c r="K24" s="137">
        <f t="shared" si="0"/>
        <v>0</v>
      </c>
      <c r="L24" s="32"/>
      <c r="M24" s="258">
        <v>0</v>
      </c>
      <c r="N24" s="257">
        <f t="shared" si="1"/>
        <v>0</v>
      </c>
      <c r="O24" s="258">
        <v>0</v>
      </c>
      <c r="P24" s="266">
        <f t="shared" si="2"/>
        <v>0</v>
      </c>
      <c r="Q24" s="264">
        <v>0</v>
      </c>
      <c r="R24" s="257">
        <f t="shared" si="3"/>
        <v>0</v>
      </c>
      <c r="S24" s="513">
        <f t="shared" si="6"/>
        <v>0</v>
      </c>
      <c r="U24" s="156">
        <v>53203030000000</v>
      </c>
      <c r="V24" s="153" t="s">
        <v>20</v>
      </c>
      <c r="W24" s="988">
        <v>0</v>
      </c>
    </row>
    <row r="25" spans="1:46" ht="12.75" customHeight="1" x14ac:dyDescent="0.2">
      <c r="A25" s="1324"/>
      <c r="B25" s="1326" t="s">
        <v>92</v>
      </c>
      <c r="C25" s="970" t="s">
        <v>809</v>
      </c>
      <c r="D25" s="970" t="s">
        <v>810</v>
      </c>
      <c r="E25" s="971" t="s">
        <v>811</v>
      </c>
      <c r="F25" s="972" t="s">
        <v>119</v>
      </c>
      <c r="G25" s="973">
        <v>15919800</v>
      </c>
      <c r="H25" s="973">
        <v>204800</v>
      </c>
      <c r="I25" s="974">
        <v>158264.64000000001</v>
      </c>
      <c r="J25" s="142">
        <f t="shared" si="5"/>
        <v>16282864.640000001</v>
      </c>
      <c r="K25" s="138">
        <f t="shared" si="0"/>
        <v>18073979.750400003</v>
      </c>
      <c r="L25" s="32"/>
      <c r="M25" s="985">
        <v>0.25</v>
      </c>
      <c r="N25" s="255">
        <f t="shared" si="1"/>
        <v>4518494.9376000008</v>
      </c>
      <c r="O25" s="985">
        <v>0.25</v>
      </c>
      <c r="P25" s="265">
        <f t="shared" si="2"/>
        <v>4518494.9376000008</v>
      </c>
      <c r="Q25" s="986">
        <v>0.5</v>
      </c>
      <c r="R25" s="255">
        <f t="shared" si="3"/>
        <v>9036989.8752000015</v>
      </c>
      <c r="S25" s="511">
        <f t="shared" si="6"/>
        <v>1</v>
      </c>
      <c r="U25" s="156">
        <v>53204030000000</v>
      </c>
      <c r="V25" s="153" t="s">
        <v>21</v>
      </c>
      <c r="W25" s="988">
        <v>1300000</v>
      </c>
    </row>
    <row r="26" spans="1:46" ht="12.75" customHeight="1" x14ac:dyDescent="0.2">
      <c r="A26" s="1324"/>
      <c r="B26" s="1327"/>
      <c r="C26" s="975" t="s">
        <v>812</v>
      </c>
      <c r="D26" s="975" t="s">
        <v>813</v>
      </c>
      <c r="E26" s="976" t="s">
        <v>814</v>
      </c>
      <c r="F26" s="968" t="s">
        <v>119</v>
      </c>
      <c r="G26" s="651">
        <v>9835368</v>
      </c>
      <c r="H26" s="651">
        <v>304800</v>
      </c>
      <c r="I26" s="969">
        <v>158264.64000000001</v>
      </c>
      <c r="J26" s="143">
        <f t="shared" si="5"/>
        <v>10298432.640000001</v>
      </c>
      <c r="K26" s="139">
        <f t="shared" si="0"/>
        <v>11431260.230400002</v>
      </c>
      <c r="L26" s="32"/>
      <c r="M26" s="985">
        <v>0.25</v>
      </c>
      <c r="N26" s="256">
        <f t="shared" si="1"/>
        <v>2857815.0576000004</v>
      </c>
      <c r="O26" s="985">
        <v>0.25</v>
      </c>
      <c r="P26" s="254">
        <f t="shared" si="2"/>
        <v>2857815.0576000004</v>
      </c>
      <c r="Q26" s="987">
        <v>0.5</v>
      </c>
      <c r="R26" s="256">
        <f t="shared" si="3"/>
        <v>5715630.1152000008</v>
      </c>
      <c r="S26" s="512">
        <f t="shared" si="6"/>
        <v>1</v>
      </c>
      <c r="U26" s="156">
        <v>53204100100001</v>
      </c>
      <c r="V26" s="153" t="s">
        <v>22</v>
      </c>
      <c r="W26" s="988">
        <v>21500000</v>
      </c>
    </row>
    <row r="27" spans="1:46" ht="12.75" customHeight="1" x14ac:dyDescent="0.2">
      <c r="A27" s="1324"/>
      <c r="B27" s="1327"/>
      <c r="C27" s="83"/>
      <c r="D27" s="134"/>
      <c r="E27" s="135"/>
      <c r="F27" s="136" t="s">
        <v>119</v>
      </c>
      <c r="G27" s="129">
        <v>0</v>
      </c>
      <c r="H27" s="129">
        <v>0</v>
      </c>
      <c r="I27" s="140">
        <v>0</v>
      </c>
      <c r="J27" s="143">
        <f t="shared" si="5"/>
        <v>0</v>
      </c>
      <c r="K27" s="139">
        <f t="shared" si="0"/>
        <v>0</v>
      </c>
      <c r="L27" s="32"/>
      <c r="M27" s="253">
        <v>0</v>
      </c>
      <c r="N27" s="256">
        <f t="shared" si="1"/>
        <v>0</v>
      </c>
      <c r="O27" s="253">
        <v>0</v>
      </c>
      <c r="P27" s="254">
        <f t="shared" si="2"/>
        <v>0</v>
      </c>
      <c r="Q27" s="263">
        <v>0</v>
      </c>
      <c r="R27" s="256">
        <f t="shared" si="3"/>
        <v>0</v>
      </c>
      <c r="S27" s="512">
        <f t="shared" si="6"/>
        <v>0</v>
      </c>
      <c r="U27" s="156">
        <v>53204130100000</v>
      </c>
      <c r="V27" s="153" t="s">
        <v>23</v>
      </c>
      <c r="W27" s="988">
        <v>0</v>
      </c>
    </row>
    <row r="28" spans="1:46" ht="12.75" customHeight="1" x14ac:dyDescent="0.2">
      <c r="A28" s="1324"/>
      <c r="B28" s="1327"/>
      <c r="C28" s="83"/>
      <c r="D28" s="134"/>
      <c r="E28" s="135"/>
      <c r="F28" s="136" t="s">
        <v>119</v>
      </c>
      <c r="G28" s="129">
        <v>0</v>
      </c>
      <c r="H28" s="129">
        <v>0</v>
      </c>
      <c r="I28" s="140">
        <v>0</v>
      </c>
      <c r="J28" s="143">
        <f t="shared" si="5"/>
        <v>0</v>
      </c>
      <c r="K28" s="139">
        <f t="shared" si="0"/>
        <v>0</v>
      </c>
      <c r="L28" s="32"/>
      <c r="M28" s="253">
        <v>0</v>
      </c>
      <c r="N28" s="256">
        <f t="shared" si="1"/>
        <v>0</v>
      </c>
      <c r="O28" s="253">
        <v>0</v>
      </c>
      <c r="P28" s="254">
        <f t="shared" si="2"/>
        <v>0</v>
      </c>
      <c r="Q28" s="263">
        <v>0</v>
      </c>
      <c r="R28" s="256">
        <f t="shared" si="3"/>
        <v>0</v>
      </c>
      <c r="S28" s="512">
        <f t="shared" si="6"/>
        <v>0</v>
      </c>
      <c r="U28" s="156">
        <v>53205010100000</v>
      </c>
      <c r="V28" s="153" t="s">
        <v>24</v>
      </c>
      <c r="W28" s="988">
        <v>17000000</v>
      </c>
    </row>
    <row r="29" spans="1:46" ht="12.75" customHeight="1" x14ac:dyDescent="0.2">
      <c r="A29" s="1324"/>
      <c r="B29" s="1327"/>
      <c r="C29" s="83"/>
      <c r="D29" s="134"/>
      <c r="E29" s="135"/>
      <c r="F29" s="136" t="s">
        <v>119</v>
      </c>
      <c r="G29" s="129">
        <v>0</v>
      </c>
      <c r="H29" s="129">
        <v>0</v>
      </c>
      <c r="I29" s="140">
        <v>0</v>
      </c>
      <c r="J29" s="143">
        <f t="shared" si="5"/>
        <v>0</v>
      </c>
      <c r="K29" s="139">
        <f t="shared" si="0"/>
        <v>0</v>
      </c>
      <c r="L29" s="32"/>
      <c r="M29" s="253">
        <v>0</v>
      </c>
      <c r="N29" s="256">
        <f t="shared" si="1"/>
        <v>0</v>
      </c>
      <c r="O29" s="253">
        <v>0</v>
      </c>
      <c r="P29" s="254">
        <f t="shared" si="2"/>
        <v>0</v>
      </c>
      <c r="Q29" s="263">
        <v>0</v>
      </c>
      <c r="R29" s="256">
        <f t="shared" si="3"/>
        <v>0</v>
      </c>
      <c r="S29" s="512">
        <f t="shared" si="6"/>
        <v>0</v>
      </c>
      <c r="U29" s="156">
        <v>53205020100000</v>
      </c>
      <c r="V29" s="153" t="s">
        <v>25</v>
      </c>
      <c r="W29" s="988">
        <v>400000</v>
      </c>
    </row>
    <row r="30" spans="1:46" ht="12.75" customHeight="1" x14ac:dyDescent="0.2">
      <c r="A30" s="1324"/>
      <c r="B30" s="1327"/>
      <c r="C30" s="83"/>
      <c r="D30" s="134"/>
      <c r="E30" s="135"/>
      <c r="F30" s="136" t="s">
        <v>119</v>
      </c>
      <c r="G30" s="129">
        <v>0</v>
      </c>
      <c r="H30" s="129">
        <v>0</v>
      </c>
      <c r="I30" s="140">
        <v>0</v>
      </c>
      <c r="J30" s="143">
        <f t="shared" si="5"/>
        <v>0</v>
      </c>
      <c r="K30" s="139">
        <f t="shared" si="0"/>
        <v>0</v>
      </c>
      <c r="L30" s="32"/>
      <c r="M30" s="253">
        <v>0</v>
      </c>
      <c r="N30" s="256">
        <f t="shared" si="1"/>
        <v>0</v>
      </c>
      <c r="O30" s="253">
        <v>0</v>
      </c>
      <c r="P30" s="254">
        <f t="shared" si="2"/>
        <v>0</v>
      </c>
      <c r="Q30" s="263">
        <v>0</v>
      </c>
      <c r="R30" s="256">
        <f t="shared" si="3"/>
        <v>0</v>
      </c>
      <c r="S30" s="512">
        <f t="shared" si="6"/>
        <v>0</v>
      </c>
      <c r="U30" s="156">
        <v>53205030100000</v>
      </c>
      <c r="V30" s="153" t="s">
        <v>26</v>
      </c>
      <c r="W30" s="988">
        <v>3100000</v>
      </c>
    </row>
    <row r="31" spans="1:46" ht="12.75" customHeight="1" x14ac:dyDescent="0.2">
      <c r="A31" s="1324"/>
      <c r="B31" s="1327"/>
      <c r="C31" s="83"/>
      <c r="D31" s="134"/>
      <c r="E31" s="135"/>
      <c r="F31" s="136" t="s">
        <v>119</v>
      </c>
      <c r="G31" s="129">
        <v>0</v>
      </c>
      <c r="H31" s="129">
        <v>0</v>
      </c>
      <c r="I31" s="140">
        <v>0</v>
      </c>
      <c r="J31" s="143">
        <f t="shared" si="5"/>
        <v>0</v>
      </c>
      <c r="K31" s="139">
        <f t="shared" si="0"/>
        <v>0</v>
      </c>
      <c r="L31" s="32"/>
      <c r="M31" s="253">
        <v>0</v>
      </c>
      <c r="N31" s="256">
        <f t="shared" si="1"/>
        <v>0</v>
      </c>
      <c r="O31" s="253">
        <v>0</v>
      </c>
      <c r="P31" s="254">
        <f t="shared" si="2"/>
        <v>0</v>
      </c>
      <c r="Q31" s="263">
        <v>0</v>
      </c>
      <c r="R31" s="256">
        <f t="shared" si="3"/>
        <v>0</v>
      </c>
      <c r="S31" s="512">
        <f t="shared" si="6"/>
        <v>0</v>
      </c>
      <c r="U31" s="156">
        <v>53205050100000</v>
      </c>
      <c r="V31" s="153" t="s">
        <v>27</v>
      </c>
      <c r="W31" s="988">
        <v>4600000</v>
      </c>
    </row>
    <row r="32" spans="1:46" ht="12.75" customHeight="1" x14ac:dyDescent="0.2">
      <c r="A32" s="1324"/>
      <c r="B32" s="1327"/>
      <c r="C32" s="83"/>
      <c r="D32" s="134"/>
      <c r="E32" s="135"/>
      <c r="F32" s="136" t="s">
        <v>119</v>
      </c>
      <c r="G32" s="129">
        <v>0</v>
      </c>
      <c r="H32" s="129">
        <v>0</v>
      </c>
      <c r="I32" s="140">
        <v>0</v>
      </c>
      <c r="J32" s="143">
        <f t="shared" si="5"/>
        <v>0</v>
      </c>
      <c r="K32" s="139">
        <f t="shared" si="0"/>
        <v>0</v>
      </c>
      <c r="L32" s="32"/>
      <c r="M32" s="253">
        <v>0</v>
      </c>
      <c r="N32" s="256">
        <f t="shared" si="1"/>
        <v>0</v>
      </c>
      <c r="O32" s="253">
        <v>0</v>
      </c>
      <c r="P32" s="254">
        <f t="shared" si="2"/>
        <v>0</v>
      </c>
      <c r="Q32" s="263">
        <v>0</v>
      </c>
      <c r="R32" s="256">
        <f t="shared" si="3"/>
        <v>0</v>
      </c>
      <c r="S32" s="512">
        <f t="shared" si="6"/>
        <v>0</v>
      </c>
      <c r="U32" s="156">
        <v>53205060100000</v>
      </c>
      <c r="V32" s="153" t="s">
        <v>28</v>
      </c>
      <c r="W32" s="988">
        <v>5800000</v>
      </c>
    </row>
    <row r="33" spans="1:23" ht="12.75" customHeight="1" x14ac:dyDescent="0.2">
      <c r="A33" s="1324"/>
      <c r="B33" s="1327"/>
      <c r="C33" s="83"/>
      <c r="D33" s="134"/>
      <c r="E33" s="135"/>
      <c r="F33" s="136" t="s">
        <v>119</v>
      </c>
      <c r="G33" s="129">
        <v>0</v>
      </c>
      <c r="H33" s="129">
        <v>0</v>
      </c>
      <c r="I33" s="140">
        <v>0</v>
      </c>
      <c r="J33" s="143">
        <f t="shared" si="5"/>
        <v>0</v>
      </c>
      <c r="K33" s="139">
        <f t="shared" si="0"/>
        <v>0</v>
      </c>
      <c r="L33" s="32"/>
      <c r="M33" s="253">
        <v>0</v>
      </c>
      <c r="N33" s="256">
        <f t="shared" si="1"/>
        <v>0</v>
      </c>
      <c r="O33" s="253">
        <v>0</v>
      </c>
      <c r="P33" s="254">
        <f t="shared" si="2"/>
        <v>0</v>
      </c>
      <c r="Q33" s="263">
        <v>0</v>
      </c>
      <c r="R33" s="256">
        <f t="shared" si="3"/>
        <v>0</v>
      </c>
      <c r="S33" s="512">
        <f t="shared" si="6"/>
        <v>0</v>
      </c>
      <c r="U33" s="156">
        <v>53205070100000</v>
      </c>
      <c r="V33" s="153" t="s">
        <v>29</v>
      </c>
      <c r="W33" s="988">
        <v>16098432</v>
      </c>
    </row>
    <row r="34" spans="1:23" ht="12.75" customHeight="1" thickBot="1" x14ac:dyDescent="0.25">
      <c r="A34" s="1324"/>
      <c r="B34" s="1328"/>
      <c r="C34" s="149"/>
      <c r="D34" s="130"/>
      <c r="E34" s="131"/>
      <c r="F34" s="132" t="s">
        <v>119</v>
      </c>
      <c r="G34" s="133">
        <v>0</v>
      </c>
      <c r="H34" s="133">
        <v>0</v>
      </c>
      <c r="I34" s="141">
        <v>0</v>
      </c>
      <c r="J34" s="144">
        <f t="shared" si="5"/>
        <v>0</v>
      </c>
      <c r="K34" s="137">
        <f t="shared" si="0"/>
        <v>0</v>
      </c>
      <c r="L34" s="32"/>
      <c r="M34" s="258">
        <v>0</v>
      </c>
      <c r="N34" s="257">
        <f t="shared" si="1"/>
        <v>0</v>
      </c>
      <c r="O34" s="258">
        <v>0</v>
      </c>
      <c r="P34" s="266">
        <f t="shared" si="2"/>
        <v>0</v>
      </c>
      <c r="Q34" s="264">
        <v>0</v>
      </c>
      <c r="R34" s="257">
        <f t="shared" si="3"/>
        <v>0</v>
      </c>
      <c r="S34" s="513">
        <f t="shared" si="6"/>
        <v>0</v>
      </c>
      <c r="U34" s="156">
        <v>53208010100000</v>
      </c>
      <c r="V34" s="153" t="s">
        <v>30</v>
      </c>
      <c r="W34" s="988">
        <v>1724832</v>
      </c>
    </row>
    <row r="35" spans="1:23" ht="12.75" customHeight="1" x14ac:dyDescent="0.2">
      <c r="A35" s="1324"/>
      <c r="B35" s="1326" t="s">
        <v>91</v>
      </c>
      <c r="C35" s="977" t="s">
        <v>815</v>
      </c>
      <c r="D35" s="978" t="s">
        <v>816</v>
      </c>
      <c r="E35" s="979" t="s">
        <v>817</v>
      </c>
      <c r="F35" s="980" t="s">
        <v>119</v>
      </c>
      <c r="G35" s="649">
        <v>13462320</v>
      </c>
      <c r="H35" s="649">
        <v>204800</v>
      </c>
      <c r="I35" s="981">
        <v>158264.64000000001</v>
      </c>
      <c r="J35" s="142">
        <f t="shared" si="5"/>
        <v>13825384.640000001</v>
      </c>
      <c r="K35" s="138">
        <f t="shared" si="0"/>
        <v>15346176.950400002</v>
      </c>
      <c r="L35" s="32"/>
      <c r="M35" s="985">
        <v>0.25</v>
      </c>
      <c r="N35" s="255">
        <f t="shared" si="1"/>
        <v>3836544.2376000006</v>
      </c>
      <c r="O35" s="985">
        <v>0.25</v>
      </c>
      <c r="P35" s="265">
        <f t="shared" si="2"/>
        <v>3836544.2376000006</v>
      </c>
      <c r="Q35" s="986">
        <v>0.5</v>
      </c>
      <c r="R35" s="255">
        <f t="shared" si="3"/>
        <v>7673088.4752000012</v>
      </c>
      <c r="S35" s="511">
        <f t="shared" si="6"/>
        <v>1</v>
      </c>
      <c r="U35" s="156">
        <v>53208070100001</v>
      </c>
      <c r="V35" s="153" t="s">
        <v>31</v>
      </c>
      <c r="W35" s="988">
        <v>180000</v>
      </c>
    </row>
    <row r="36" spans="1:23" ht="12.75" customHeight="1" x14ac:dyDescent="0.2">
      <c r="A36" s="1324"/>
      <c r="B36" s="1327"/>
      <c r="C36" s="83"/>
      <c r="D36" s="134"/>
      <c r="E36" s="135"/>
      <c r="F36" s="136" t="s">
        <v>119</v>
      </c>
      <c r="G36" s="129">
        <v>0</v>
      </c>
      <c r="H36" s="129">
        <v>0</v>
      </c>
      <c r="I36" s="140">
        <v>0</v>
      </c>
      <c r="J36" s="143">
        <f t="shared" si="5"/>
        <v>0</v>
      </c>
      <c r="K36" s="139">
        <f t="shared" si="0"/>
        <v>0</v>
      </c>
      <c r="L36" s="32"/>
      <c r="M36" s="253">
        <v>0</v>
      </c>
      <c r="N36" s="256">
        <f t="shared" si="1"/>
        <v>0</v>
      </c>
      <c r="O36" s="253">
        <v>0</v>
      </c>
      <c r="P36" s="254">
        <f t="shared" si="2"/>
        <v>0</v>
      </c>
      <c r="Q36" s="263">
        <v>0</v>
      </c>
      <c r="R36" s="256">
        <f t="shared" si="3"/>
        <v>0</v>
      </c>
      <c r="S36" s="512">
        <f t="shared" si="6"/>
        <v>0</v>
      </c>
      <c r="U36" s="156">
        <v>53208100100001</v>
      </c>
      <c r="V36" s="153" t="s">
        <v>133</v>
      </c>
      <c r="W36" s="988">
        <v>0</v>
      </c>
    </row>
    <row r="37" spans="1:23" ht="12.75" customHeight="1" x14ac:dyDescent="0.2">
      <c r="A37" s="1324"/>
      <c r="B37" s="1327"/>
      <c r="C37" s="83"/>
      <c r="D37" s="134" t="s">
        <v>825</v>
      </c>
      <c r="E37" s="135"/>
      <c r="F37" s="136" t="s">
        <v>119</v>
      </c>
      <c r="G37" s="129">
        <v>0</v>
      </c>
      <c r="H37" s="129">
        <v>0</v>
      </c>
      <c r="I37" s="140">
        <v>0</v>
      </c>
      <c r="J37" s="143">
        <f t="shared" si="5"/>
        <v>0</v>
      </c>
      <c r="K37" s="139">
        <f t="shared" si="0"/>
        <v>0</v>
      </c>
      <c r="L37" s="32"/>
      <c r="M37" s="253">
        <v>0</v>
      </c>
      <c r="N37" s="256">
        <f t="shared" si="1"/>
        <v>0</v>
      </c>
      <c r="O37" s="253">
        <v>0</v>
      </c>
      <c r="P37" s="254">
        <f t="shared" si="2"/>
        <v>0</v>
      </c>
      <c r="Q37" s="263">
        <v>0</v>
      </c>
      <c r="R37" s="256">
        <f t="shared" si="3"/>
        <v>0</v>
      </c>
      <c r="S37" s="512">
        <f t="shared" si="6"/>
        <v>0</v>
      </c>
      <c r="U37" s="156">
        <v>53211030000000</v>
      </c>
      <c r="V37" s="153" t="s">
        <v>32</v>
      </c>
      <c r="W37" s="988">
        <v>0</v>
      </c>
    </row>
    <row r="38" spans="1:23" ht="12.75" customHeight="1" x14ac:dyDescent="0.2">
      <c r="A38" s="1324"/>
      <c r="B38" s="1327"/>
      <c r="C38" s="83"/>
      <c r="D38" s="134"/>
      <c r="E38" s="135"/>
      <c r="F38" s="136" t="s">
        <v>119</v>
      </c>
      <c r="G38" s="129">
        <v>0</v>
      </c>
      <c r="H38" s="129">
        <v>0</v>
      </c>
      <c r="I38" s="140">
        <v>0</v>
      </c>
      <c r="J38" s="143">
        <f t="shared" si="5"/>
        <v>0</v>
      </c>
      <c r="K38" s="139">
        <f t="shared" si="0"/>
        <v>0</v>
      </c>
      <c r="L38" s="32"/>
      <c r="M38" s="253">
        <v>0</v>
      </c>
      <c r="N38" s="256">
        <f t="shared" si="1"/>
        <v>0</v>
      </c>
      <c r="O38" s="253">
        <v>0</v>
      </c>
      <c r="P38" s="254">
        <f t="shared" si="2"/>
        <v>0</v>
      </c>
      <c r="Q38" s="263">
        <v>0</v>
      </c>
      <c r="R38" s="256">
        <f t="shared" si="3"/>
        <v>0</v>
      </c>
      <c r="S38" s="512">
        <f t="shared" si="6"/>
        <v>0</v>
      </c>
      <c r="U38" s="156">
        <v>53212020100000</v>
      </c>
      <c r="V38" s="153" t="s">
        <v>98</v>
      </c>
      <c r="W38" s="988">
        <v>6800000</v>
      </c>
    </row>
    <row r="39" spans="1:23" ht="12.75" customHeight="1" thickBot="1" x14ac:dyDescent="0.25">
      <c r="A39" s="1324"/>
      <c r="B39" s="1328"/>
      <c r="C39" s="149"/>
      <c r="D39" s="130"/>
      <c r="E39" s="131"/>
      <c r="F39" s="132" t="s">
        <v>119</v>
      </c>
      <c r="G39" s="133">
        <v>0</v>
      </c>
      <c r="H39" s="133">
        <v>0</v>
      </c>
      <c r="I39" s="141">
        <v>0</v>
      </c>
      <c r="J39" s="144">
        <f t="shared" si="5"/>
        <v>0</v>
      </c>
      <c r="K39" s="137">
        <f t="shared" si="0"/>
        <v>0</v>
      </c>
      <c r="L39" s="32"/>
      <c r="M39" s="258">
        <v>0</v>
      </c>
      <c r="N39" s="257">
        <f t="shared" si="1"/>
        <v>0</v>
      </c>
      <c r="O39" s="258">
        <v>0</v>
      </c>
      <c r="P39" s="266">
        <f t="shared" si="2"/>
        <v>0</v>
      </c>
      <c r="Q39" s="264">
        <v>0</v>
      </c>
      <c r="R39" s="257">
        <f t="shared" si="3"/>
        <v>0</v>
      </c>
      <c r="S39" s="513">
        <f t="shared" si="6"/>
        <v>0</v>
      </c>
      <c r="U39" s="156">
        <v>53214020000000</v>
      </c>
      <c r="V39" s="153" t="s">
        <v>33</v>
      </c>
      <c r="W39" s="988">
        <v>1119780</v>
      </c>
    </row>
    <row r="40" spans="1:23" ht="12.75" customHeight="1" x14ac:dyDescent="0.2">
      <c r="A40" s="1324"/>
      <c r="B40" s="1329" t="s">
        <v>120</v>
      </c>
      <c r="C40" s="982" t="s">
        <v>818</v>
      </c>
      <c r="D40" s="970" t="s">
        <v>819</v>
      </c>
      <c r="E40" s="971" t="s">
        <v>820</v>
      </c>
      <c r="F40" s="983" t="s">
        <v>821</v>
      </c>
      <c r="G40" s="973">
        <v>11461236</v>
      </c>
      <c r="H40" s="973">
        <v>304800</v>
      </c>
      <c r="I40" s="974">
        <v>154661.52000000002</v>
      </c>
      <c r="J40" s="145">
        <f t="shared" ref="J40:J61" si="7">SUM(G40:I40)</f>
        <v>11920697.52</v>
      </c>
      <c r="K40" s="147">
        <f t="shared" si="0"/>
        <v>13231974.247200001</v>
      </c>
      <c r="L40" s="32"/>
      <c r="M40" s="985">
        <v>0.25</v>
      </c>
      <c r="N40" s="255">
        <f t="shared" si="1"/>
        <v>3307993.5618000003</v>
      </c>
      <c r="O40" s="985">
        <v>0.25</v>
      </c>
      <c r="P40" s="265">
        <f t="shared" si="2"/>
        <v>3307993.5618000003</v>
      </c>
      <c r="Q40" s="986">
        <v>0.5</v>
      </c>
      <c r="R40" s="255">
        <f t="shared" si="3"/>
        <v>6615987.1236000005</v>
      </c>
      <c r="S40" s="511">
        <f t="shared" si="6"/>
        <v>1</v>
      </c>
      <c r="U40" s="154"/>
      <c r="V40" s="151" t="s">
        <v>34</v>
      </c>
      <c r="W40" s="157">
        <f>SUM(W41,W46,W49,W60,W70,W78)</f>
        <v>59239780</v>
      </c>
    </row>
    <row r="41" spans="1:23" ht="12.75" customHeight="1" x14ac:dyDescent="0.2">
      <c r="A41" s="1324"/>
      <c r="B41" s="1330"/>
      <c r="C41" s="984" t="s">
        <v>822</v>
      </c>
      <c r="D41" s="975" t="s">
        <v>823</v>
      </c>
      <c r="E41" s="976" t="s">
        <v>824</v>
      </c>
      <c r="F41" s="967" t="s">
        <v>821</v>
      </c>
      <c r="G41" s="651">
        <v>7242708</v>
      </c>
      <c r="H41" s="651">
        <v>304800</v>
      </c>
      <c r="I41" s="969">
        <v>155415.96</v>
      </c>
      <c r="J41" s="146">
        <f t="shared" ref="J41:J48" si="8">SUM(G41:I41)</f>
        <v>7702923.96</v>
      </c>
      <c r="K41" s="148">
        <f t="shared" si="0"/>
        <v>8550245.5956000015</v>
      </c>
      <c r="L41" s="32"/>
      <c r="M41" s="985">
        <v>0.25</v>
      </c>
      <c r="N41" s="256">
        <f t="shared" si="1"/>
        <v>2137561.3989000004</v>
      </c>
      <c r="O41" s="985">
        <v>0.25</v>
      </c>
      <c r="P41" s="254">
        <f t="shared" si="2"/>
        <v>2137561.3989000004</v>
      </c>
      <c r="Q41" s="987">
        <v>0.5</v>
      </c>
      <c r="R41" s="256">
        <f t="shared" si="3"/>
        <v>4275122.7978000008</v>
      </c>
      <c r="S41" s="512">
        <f t="shared" si="6"/>
        <v>1</v>
      </c>
      <c r="U41" s="155"/>
      <c r="V41" s="152" t="s">
        <v>35</v>
      </c>
      <c r="W41" s="158">
        <f>SUM(W42:W45)</f>
        <v>3140000</v>
      </c>
    </row>
    <row r="42" spans="1:23" ht="12.75" customHeight="1" x14ac:dyDescent="0.2">
      <c r="A42" s="1324"/>
      <c r="B42" s="1330"/>
      <c r="C42" s="84"/>
      <c r="D42" s="86"/>
      <c r="E42" s="87"/>
      <c r="F42" s="99" t="s">
        <v>119</v>
      </c>
      <c r="G42" s="129">
        <v>0</v>
      </c>
      <c r="H42" s="129">
        <v>0</v>
      </c>
      <c r="I42" s="140">
        <v>0</v>
      </c>
      <c r="J42" s="146">
        <f t="shared" si="8"/>
        <v>0</v>
      </c>
      <c r="K42" s="148">
        <f t="shared" si="0"/>
        <v>0</v>
      </c>
      <c r="L42" s="32"/>
      <c r="M42" s="253">
        <v>0</v>
      </c>
      <c r="N42" s="256">
        <f t="shared" si="1"/>
        <v>0</v>
      </c>
      <c r="O42" s="253">
        <v>0</v>
      </c>
      <c r="P42" s="254">
        <f t="shared" si="2"/>
        <v>0</v>
      </c>
      <c r="Q42" s="263">
        <v>0</v>
      </c>
      <c r="R42" s="256">
        <f t="shared" si="3"/>
        <v>0</v>
      </c>
      <c r="S42" s="512">
        <f t="shared" si="6"/>
        <v>0</v>
      </c>
      <c r="U42" s="156">
        <v>53202020100000</v>
      </c>
      <c r="V42" s="153" t="s">
        <v>39</v>
      </c>
      <c r="W42" s="988">
        <v>1000000</v>
      </c>
    </row>
    <row r="43" spans="1:23" ht="12.75" customHeight="1" x14ac:dyDescent="0.2">
      <c r="A43" s="1324"/>
      <c r="B43" s="1330"/>
      <c r="C43" s="84"/>
      <c r="D43" s="86"/>
      <c r="E43" s="87"/>
      <c r="F43" s="99" t="s">
        <v>119</v>
      </c>
      <c r="G43" s="129">
        <v>0</v>
      </c>
      <c r="H43" s="129">
        <v>0</v>
      </c>
      <c r="I43" s="140">
        <v>0</v>
      </c>
      <c r="J43" s="146">
        <f t="shared" si="8"/>
        <v>0</v>
      </c>
      <c r="K43" s="148">
        <f t="shared" si="0"/>
        <v>0</v>
      </c>
      <c r="L43" s="32"/>
      <c r="M43" s="253">
        <v>0</v>
      </c>
      <c r="N43" s="256">
        <f t="shared" si="1"/>
        <v>0</v>
      </c>
      <c r="O43" s="253">
        <v>0</v>
      </c>
      <c r="P43" s="254">
        <f t="shared" si="2"/>
        <v>0</v>
      </c>
      <c r="Q43" s="263">
        <v>0</v>
      </c>
      <c r="R43" s="256">
        <f t="shared" si="3"/>
        <v>0</v>
      </c>
      <c r="S43" s="512">
        <f t="shared" si="6"/>
        <v>0</v>
      </c>
      <c r="U43" s="156">
        <v>53202030000000</v>
      </c>
      <c r="V43" s="153" t="s">
        <v>40</v>
      </c>
      <c r="W43" s="988">
        <v>450000</v>
      </c>
    </row>
    <row r="44" spans="1:23" ht="12.75" customHeight="1" x14ac:dyDescent="0.2">
      <c r="A44" s="1324"/>
      <c r="B44" s="1330"/>
      <c r="C44" s="84"/>
      <c r="D44" s="86"/>
      <c r="E44" s="87"/>
      <c r="F44" s="99" t="s">
        <v>119</v>
      </c>
      <c r="G44" s="129">
        <v>0</v>
      </c>
      <c r="H44" s="129">
        <v>0</v>
      </c>
      <c r="I44" s="140">
        <v>0</v>
      </c>
      <c r="J44" s="146">
        <f t="shared" si="8"/>
        <v>0</v>
      </c>
      <c r="K44" s="148">
        <f t="shared" si="0"/>
        <v>0</v>
      </c>
      <c r="L44" s="32"/>
      <c r="M44" s="253">
        <v>0</v>
      </c>
      <c r="N44" s="256">
        <f t="shared" si="1"/>
        <v>0</v>
      </c>
      <c r="O44" s="253">
        <v>0</v>
      </c>
      <c r="P44" s="254">
        <f t="shared" si="2"/>
        <v>0</v>
      </c>
      <c r="Q44" s="263">
        <v>0</v>
      </c>
      <c r="R44" s="256">
        <f t="shared" si="3"/>
        <v>0</v>
      </c>
      <c r="S44" s="512">
        <f t="shared" si="6"/>
        <v>0</v>
      </c>
      <c r="U44" s="156">
        <v>53211020000000</v>
      </c>
      <c r="V44" s="153" t="s">
        <v>41</v>
      </c>
      <c r="W44" s="988">
        <v>290000</v>
      </c>
    </row>
    <row r="45" spans="1:23" ht="12.75" customHeight="1" x14ac:dyDescent="0.2">
      <c r="A45" s="1324"/>
      <c r="B45" s="1330"/>
      <c r="C45" s="84"/>
      <c r="D45" s="86"/>
      <c r="E45" s="87"/>
      <c r="F45" s="99" t="s">
        <v>119</v>
      </c>
      <c r="G45" s="129">
        <v>0</v>
      </c>
      <c r="H45" s="129">
        <v>0</v>
      </c>
      <c r="I45" s="140">
        <v>0</v>
      </c>
      <c r="J45" s="146">
        <f t="shared" si="8"/>
        <v>0</v>
      </c>
      <c r="K45" s="148">
        <f t="shared" si="0"/>
        <v>0</v>
      </c>
      <c r="L45" s="32"/>
      <c r="M45" s="253">
        <v>0</v>
      </c>
      <c r="N45" s="256">
        <f t="shared" si="1"/>
        <v>0</v>
      </c>
      <c r="O45" s="253">
        <v>0</v>
      </c>
      <c r="P45" s="254">
        <f t="shared" si="2"/>
        <v>0</v>
      </c>
      <c r="Q45" s="263">
        <v>0</v>
      </c>
      <c r="R45" s="256">
        <f t="shared" si="3"/>
        <v>0</v>
      </c>
      <c r="S45" s="512">
        <f t="shared" si="6"/>
        <v>0</v>
      </c>
      <c r="U45" s="156">
        <v>53101004030000</v>
      </c>
      <c r="V45" s="153" t="s">
        <v>38</v>
      </c>
      <c r="W45" s="988">
        <v>1400000</v>
      </c>
    </row>
    <row r="46" spans="1:23" ht="12.75" customHeight="1" x14ac:dyDescent="0.2">
      <c r="A46" s="1324"/>
      <c r="B46" s="1330"/>
      <c r="C46" s="84"/>
      <c r="D46" s="86"/>
      <c r="E46" s="87"/>
      <c r="F46" s="99" t="s">
        <v>119</v>
      </c>
      <c r="G46" s="129">
        <v>0</v>
      </c>
      <c r="H46" s="129">
        <v>0</v>
      </c>
      <c r="I46" s="140">
        <v>0</v>
      </c>
      <c r="J46" s="146">
        <f t="shared" si="8"/>
        <v>0</v>
      </c>
      <c r="K46" s="148">
        <f t="shared" si="0"/>
        <v>0</v>
      </c>
      <c r="L46" s="32"/>
      <c r="M46" s="253">
        <v>0</v>
      </c>
      <c r="N46" s="256">
        <f t="shared" si="1"/>
        <v>0</v>
      </c>
      <c r="O46" s="253">
        <v>0</v>
      </c>
      <c r="P46" s="254">
        <f t="shared" si="2"/>
        <v>0</v>
      </c>
      <c r="Q46" s="263">
        <v>0</v>
      </c>
      <c r="R46" s="256">
        <f t="shared" si="3"/>
        <v>0</v>
      </c>
      <c r="S46" s="512">
        <f t="shared" si="6"/>
        <v>0</v>
      </c>
      <c r="U46" s="155"/>
      <c r="V46" s="152" t="s">
        <v>42</v>
      </c>
      <c r="W46" s="158">
        <f>SUM(W47:W48)</f>
        <v>15600000</v>
      </c>
    </row>
    <row r="47" spans="1:23" ht="12.75" customHeight="1" x14ac:dyDescent="0.2">
      <c r="A47" s="1324"/>
      <c r="B47" s="1330"/>
      <c r="C47" s="84"/>
      <c r="D47" s="86"/>
      <c r="E47" s="87"/>
      <c r="F47" s="99" t="s">
        <v>119</v>
      </c>
      <c r="G47" s="129">
        <v>0</v>
      </c>
      <c r="H47" s="129">
        <v>0</v>
      </c>
      <c r="I47" s="140">
        <v>0</v>
      </c>
      <c r="J47" s="146">
        <f t="shared" si="8"/>
        <v>0</v>
      </c>
      <c r="K47" s="148">
        <f t="shared" si="0"/>
        <v>0</v>
      </c>
      <c r="L47" s="32"/>
      <c r="M47" s="253">
        <v>0</v>
      </c>
      <c r="N47" s="256">
        <f t="shared" si="1"/>
        <v>0</v>
      </c>
      <c r="O47" s="253">
        <v>0</v>
      </c>
      <c r="P47" s="254">
        <f t="shared" si="2"/>
        <v>0</v>
      </c>
      <c r="Q47" s="263">
        <v>0</v>
      </c>
      <c r="R47" s="256">
        <f t="shared" si="3"/>
        <v>0</v>
      </c>
      <c r="S47" s="512">
        <f t="shared" si="6"/>
        <v>0</v>
      </c>
      <c r="U47" s="156">
        <v>53205080000000</v>
      </c>
      <c r="V47" s="153" t="s">
        <v>43</v>
      </c>
      <c r="W47" s="989">
        <v>15600000</v>
      </c>
    </row>
    <row r="48" spans="1:23" ht="12.75" customHeight="1" x14ac:dyDescent="0.2">
      <c r="A48" s="1324"/>
      <c r="B48" s="1330"/>
      <c r="C48" s="84"/>
      <c r="D48" s="86"/>
      <c r="E48" s="87"/>
      <c r="F48" s="99" t="s">
        <v>119</v>
      </c>
      <c r="G48" s="129">
        <v>0</v>
      </c>
      <c r="H48" s="129">
        <v>0</v>
      </c>
      <c r="I48" s="140">
        <v>0</v>
      </c>
      <c r="J48" s="146">
        <f t="shared" si="8"/>
        <v>0</v>
      </c>
      <c r="K48" s="148">
        <f t="shared" si="0"/>
        <v>0</v>
      </c>
      <c r="L48" s="32"/>
      <c r="M48" s="253">
        <v>0</v>
      </c>
      <c r="N48" s="256">
        <f t="shared" si="1"/>
        <v>0</v>
      </c>
      <c r="O48" s="253">
        <v>0</v>
      </c>
      <c r="P48" s="254">
        <f t="shared" si="2"/>
        <v>0</v>
      </c>
      <c r="Q48" s="263">
        <v>0</v>
      </c>
      <c r="R48" s="256">
        <f t="shared" si="3"/>
        <v>0</v>
      </c>
      <c r="S48" s="512">
        <f t="shared" si="6"/>
        <v>0</v>
      </c>
      <c r="U48" s="156">
        <v>53205990000000</v>
      </c>
      <c r="V48" s="153" t="s">
        <v>44</v>
      </c>
      <c r="W48" s="988">
        <v>0</v>
      </c>
    </row>
    <row r="49" spans="1:23" ht="12.75" customHeight="1" x14ac:dyDescent="0.2">
      <c r="A49" s="1324"/>
      <c r="B49" s="1331"/>
      <c r="C49" s="84"/>
      <c r="D49" s="86"/>
      <c r="E49" s="87"/>
      <c r="F49" s="99" t="s">
        <v>119</v>
      </c>
      <c r="G49" s="129">
        <v>0</v>
      </c>
      <c r="H49" s="129">
        <v>0</v>
      </c>
      <c r="I49" s="140">
        <v>0</v>
      </c>
      <c r="J49" s="146">
        <f t="shared" si="7"/>
        <v>0</v>
      </c>
      <c r="K49" s="148">
        <f t="shared" si="0"/>
        <v>0</v>
      </c>
      <c r="L49" s="32"/>
      <c r="M49" s="253">
        <v>0</v>
      </c>
      <c r="N49" s="256">
        <f t="shared" si="1"/>
        <v>0</v>
      </c>
      <c r="O49" s="253">
        <v>0</v>
      </c>
      <c r="P49" s="254">
        <f t="shared" si="2"/>
        <v>0</v>
      </c>
      <c r="Q49" s="263">
        <v>0</v>
      </c>
      <c r="R49" s="256">
        <f t="shared" si="3"/>
        <v>0</v>
      </c>
      <c r="S49" s="512">
        <f t="shared" si="6"/>
        <v>0</v>
      </c>
      <c r="U49" s="155"/>
      <c r="V49" s="152" t="s">
        <v>45</v>
      </c>
      <c r="W49" s="158">
        <f>SUM(W50:W59)</f>
        <v>24500000</v>
      </c>
    </row>
    <row r="50" spans="1:23" ht="12.75" customHeight="1" x14ac:dyDescent="0.2">
      <c r="A50" s="1324"/>
      <c r="B50" s="1330"/>
      <c r="C50" s="84"/>
      <c r="D50" s="86"/>
      <c r="E50" s="87"/>
      <c r="F50" s="99" t="s">
        <v>119</v>
      </c>
      <c r="G50" s="129">
        <v>0</v>
      </c>
      <c r="H50" s="129">
        <v>0</v>
      </c>
      <c r="I50" s="140">
        <v>0</v>
      </c>
      <c r="J50" s="146">
        <f t="shared" ref="J50:J53" si="9">SUM(G50:I50)</f>
        <v>0</v>
      </c>
      <c r="K50" s="148">
        <f t="shared" si="0"/>
        <v>0</v>
      </c>
      <c r="L50" s="32"/>
      <c r="M50" s="253">
        <v>0</v>
      </c>
      <c r="N50" s="256">
        <f t="shared" si="1"/>
        <v>0</v>
      </c>
      <c r="O50" s="253">
        <v>0</v>
      </c>
      <c r="P50" s="254">
        <f t="shared" si="2"/>
        <v>0</v>
      </c>
      <c r="Q50" s="263">
        <v>0</v>
      </c>
      <c r="R50" s="256">
        <f t="shared" si="3"/>
        <v>0</v>
      </c>
      <c r="S50" s="512">
        <f t="shared" si="6"/>
        <v>0</v>
      </c>
      <c r="U50" s="156">
        <v>53203010200000</v>
      </c>
      <c r="V50" s="153" t="s">
        <v>46</v>
      </c>
      <c r="W50" s="989">
        <v>0</v>
      </c>
    </row>
    <row r="51" spans="1:23" ht="12.75" customHeight="1" x14ac:dyDescent="0.2">
      <c r="A51" s="1324"/>
      <c r="B51" s="1330"/>
      <c r="C51" s="84"/>
      <c r="D51" s="86"/>
      <c r="E51" s="87"/>
      <c r="F51" s="99" t="s">
        <v>119</v>
      </c>
      <c r="G51" s="129">
        <v>0</v>
      </c>
      <c r="H51" s="129">
        <v>0</v>
      </c>
      <c r="I51" s="140">
        <v>0</v>
      </c>
      <c r="J51" s="146">
        <f t="shared" si="9"/>
        <v>0</v>
      </c>
      <c r="K51" s="148">
        <f t="shared" si="0"/>
        <v>0</v>
      </c>
      <c r="L51" s="32"/>
      <c r="M51" s="253">
        <v>0</v>
      </c>
      <c r="N51" s="256">
        <f t="shared" si="1"/>
        <v>0</v>
      </c>
      <c r="O51" s="253">
        <v>0</v>
      </c>
      <c r="P51" s="254">
        <f t="shared" si="2"/>
        <v>0</v>
      </c>
      <c r="Q51" s="263">
        <v>0</v>
      </c>
      <c r="R51" s="256">
        <f t="shared" si="3"/>
        <v>0</v>
      </c>
      <c r="S51" s="512">
        <f t="shared" si="6"/>
        <v>0</v>
      </c>
      <c r="U51" s="156">
        <v>53204010000000</v>
      </c>
      <c r="V51" s="153" t="s">
        <v>47</v>
      </c>
      <c r="W51" s="989">
        <v>7900000</v>
      </c>
    </row>
    <row r="52" spans="1:23" ht="12.75" customHeight="1" x14ac:dyDescent="0.2">
      <c r="A52" s="1324"/>
      <c r="B52" s="1330"/>
      <c r="C52" s="84"/>
      <c r="D52" s="86"/>
      <c r="E52" s="87"/>
      <c r="F52" s="99" t="s">
        <v>119</v>
      </c>
      <c r="G52" s="129">
        <v>0</v>
      </c>
      <c r="H52" s="129">
        <v>0</v>
      </c>
      <c r="I52" s="140">
        <v>0</v>
      </c>
      <c r="J52" s="146">
        <f t="shared" si="9"/>
        <v>0</v>
      </c>
      <c r="K52" s="148">
        <f t="shared" si="0"/>
        <v>0</v>
      </c>
      <c r="L52" s="32"/>
      <c r="M52" s="253">
        <v>0</v>
      </c>
      <c r="N52" s="256">
        <f t="shared" si="1"/>
        <v>0</v>
      </c>
      <c r="O52" s="253">
        <v>0</v>
      </c>
      <c r="P52" s="254">
        <f t="shared" si="2"/>
        <v>0</v>
      </c>
      <c r="Q52" s="263">
        <v>0</v>
      </c>
      <c r="R52" s="256">
        <f t="shared" si="3"/>
        <v>0</v>
      </c>
      <c r="S52" s="512">
        <f t="shared" si="6"/>
        <v>0</v>
      </c>
      <c r="U52" s="156">
        <v>53204040200000</v>
      </c>
      <c r="V52" s="153" t="s">
        <v>48</v>
      </c>
      <c r="W52" s="989">
        <v>0</v>
      </c>
    </row>
    <row r="53" spans="1:23" ht="12.75" customHeight="1" x14ac:dyDescent="0.2">
      <c r="A53" s="1324"/>
      <c r="B53" s="1330"/>
      <c r="C53" s="84"/>
      <c r="D53" s="86"/>
      <c r="E53" s="87"/>
      <c r="F53" s="99" t="s">
        <v>119</v>
      </c>
      <c r="G53" s="129">
        <v>0</v>
      </c>
      <c r="H53" s="129">
        <v>0</v>
      </c>
      <c r="I53" s="140">
        <v>0</v>
      </c>
      <c r="J53" s="146">
        <f t="shared" si="9"/>
        <v>0</v>
      </c>
      <c r="K53" s="148">
        <f t="shared" si="0"/>
        <v>0</v>
      </c>
      <c r="L53" s="32"/>
      <c r="M53" s="253">
        <v>0</v>
      </c>
      <c r="N53" s="256">
        <f t="shared" si="1"/>
        <v>0</v>
      </c>
      <c r="O53" s="253">
        <v>0</v>
      </c>
      <c r="P53" s="254">
        <f t="shared" si="2"/>
        <v>0</v>
      </c>
      <c r="Q53" s="263">
        <v>0</v>
      </c>
      <c r="R53" s="256">
        <f t="shared" si="3"/>
        <v>0</v>
      </c>
      <c r="S53" s="512">
        <f t="shared" si="6"/>
        <v>0</v>
      </c>
      <c r="U53" s="156">
        <v>53204060000000</v>
      </c>
      <c r="V53" s="153" t="s">
        <v>49</v>
      </c>
      <c r="W53" s="989">
        <v>0</v>
      </c>
    </row>
    <row r="54" spans="1:23" ht="12.75" customHeight="1" x14ac:dyDescent="0.2">
      <c r="A54" s="1324"/>
      <c r="B54" s="1331"/>
      <c r="C54" s="84"/>
      <c r="D54" s="86"/>
      <c r="E54" s="87"/>
      <c r="F54" s="99" t="s">
        <v>119</v>
      </c>
      <c r="G54" s="129">
        <v>0</v>
      </c>
      <c r="H54" s="129">
        <v>0</v>
      </c>
      <c r="I54" s="140">
        <v>0</v>
      </c>
      <c r="J54" s="146">
        <f t="shared" si="7"/>
        <v>0</v>
      </c>
      <c r="K54" s="148">
        <f t="shared" si="0"/>
        <v>0</v>
      </c>
      <c r="L54" s="32"/>
      <c r="M54" s="253">
        <v>0</v>
      </c>
      <c r="N54" s="256">
        <f t="shared" si="1"/>
        <v>0</v>
      </c>
      <c r="O54" s="253">
        <v>0</v>
      </c>
      <c r="P54" s="254">
        <f t="shared" si="2"/>
        <v>0</v>
      </c>
      <c r="Q54" s="263">
        <v>0</v>
      </c>
      <c r="R54" s="256">
        <f t="shared" si="3"/>
        <v>0</v>
      </c>
      <c r="S54" s="512">
        <f t="shared" si="6"/>
        <v>0</v>
      </c>
      <c r="U54" s="156">
        <v>53204070000000</v>
      </c>
      <c r="V54" s="153" t="s">
        <v>50</v>
      </c>
      <c r="W54" s="989">
        <v>11000000</v>
      </c>
    </row>
    <row r="55" spans="1:23" ht="12.75" customHeight="1" x14ac:dyDescent="0.2">
      <c r="A55" s="1324"/>
      <c r="B55" s="1331"/>
      <c r="C55" s="84"/>
      <c r="D55" s="86"/>
      <c r="E55" s="87"/>
      <c r="F55" s="99" t="s">
        <v>119</v>
      </c>
      <c r="G55" s="129">
        <v>0</v>
      </c>
      <c r="H55" s="129">
        <v>0</v>
      </c>
      <c r="I55" s="140">
        <v>0</v>
      </c>
      <c r="J55" s="146">
        <f t="shared" si="7"/>
        <v>0</v>
      </c>
      <c r="K55" s="148">
        <f t="shared" si="0"/>
        <v>0</v>
      </c>
      <c r="L55" s="32"/>
      <c r="M55" s="253">
        <v>0</v>
      </c>
      <c r="N55" s="256">
        <f t="shared" si="1"/>
        <v>0</v>
      </c>
      <c r="O55" s="253">
        <v>0</v>
      </c>
      <c r="P55" s="254">
        <f t="shared" si="2"/>
        <v>0</v>
      </c>
      <c r="Q55" s="263">
        <v>0</v>
      </c>
      <c r="R55" s="256">
        <f t="shared" si="3"/>
        <v>0</v>
      </c>
      <c r="S55" s="512">
        <f t="shared" si="6"/>
        <v>0</v>
      </c>
      <c r="U55" s="156">
        <v>53204080000000</v>
      </c>
      <c r="V55" s="153" t="s">
        <v>51</v>
      </c>
      <c r="W55" s="989">
        <v>450000</v>
      </c>
    </row>
    <row r="56" spans="1:23" ht="12.75" customHeight="1" x14ac:dyDescent="0.2">
      <c r="A56" s="1324"/>
      <c r="B56" s="1331"/>
      <c r="C56" s="84"/>
      <c r="D56" s="86"/>
      <c r="E56" s="87"/>
      <c r="F56" s="99" t="s">
        <v>119</v>
      </c>
      <c r="G56" s="129">
        <v>0</v>
      </c>
      <c r="H56" s="129">
        <v>0</v>
      </c>
      <c r="I56" s="140">
        <v>0</v>
      </c>
      <c r="J56" s="146">
        <f t="shared" si="7"/>
        <v>0</v>
      </c>
      <c r="K56" s="148">
        <f t="shared" si="0"/>
        <v>0</v>
      </c>
      <c r="L56" s="32"/>
      <c r="M56" s="253">
        <v>0</v>
      </c>
      <c r="N56" s="256">
        <f t="shared" si="1"/>
        <v>0</v>
      </c>
      <c r="O56" s="253">
        <v>0</v>
      </c>
      <c r="P56" s="254">
        <f t="shared" si="2"/>
        <v>0</v>
      </c>
      <c r="Q56" s="263">
        <v>0</v>
      </c>
      <c r="R56" s="256">
        <f t="shared" si="3"/>
        <v>0</v>
      </c>
      <c r="S56" s="512">
        <f t="shared" si="6"/>
        <v>0</v>
      </c>
      <c r="U56" s="156">
        <v>53214010000000</v>
      </c>
      <c r="V56" s="153" t="s">
        <v>52</v>
      </c>
      <c r="W56" s="989">
        <v>2500000</v>
      </c>
    </row>
    <row r="57" spans="1:23" ht="12.75" customHeight="1" x14ac:dyDescent="0.2">
      <c r="A57" s="1324"/>
      <c r="B57" s="1331"/>
      <c r="C57" s="84"/>
      <c r="D57" s="86"/>
      <c r="E57" s="87"/>
      <c r="F57" s="99" t="s">
        <v>119</v>
      </c>
      <c r="G57" s="129">
        <v>0</v>
      </c>
      <c r="H57" s="129">
        <v>0</v>
      </c>
      <c r="I57" s="140">
        <v>0</v>
      </c>
      <c r="J57" s="146">
        <f t="shared" si="7"/>
        <v>0</v>
      </c>
      <c r="K57" s="148">
        <f t="shared" si="0"/>
        <v>0</v>
      </c>
      <c r="L57" s="32"/>
      <c r="M57" s="253">
        <v>0</v>
      </c>
      <c r="N57" s="256">
        <f t="shared" si="1"/>
        <v>0</v>
      </c>
      <c r="O57" s="253">
        <v>0</v>
      </c>
      <c r="P57" s="254">
        <f t="shared" si="2"/>
        <v>0</v>
      </c>
      <c r="Q57" s="263">
        <v>0</v>
      </c>
      <c r="R57" s="256">
        <f t="shared" si="3"/>
        <v>0</v>
      </c>
      <c r="S57" s="512">
        <f t="shared" si="6"/>
        <v>0</v>
      </c>
      <c r="U57" s="156">
        <v>53214040000000</v>
      </c>
      <c r="V57" s="153" t="s">
        <v>134</v>
      </c>
      <c r="W57" s="989">
        <v>2650000</v>
      </c>
    </row>
    <row r="58" spans="1:23" ht="12.75" customHeight="1" x14ac:dyDescent="0.2">
      <c r="A58" s="1324"/>
      <c r="B58" s="1331"/>
      <c r="C58" s="84"/>
      <c r="D58" s="86"/>
      <c r="E58" s="87"/>
      <c r="F58" s="99" t="s">
        <v>119</v>
      </c>
      <c r="G58" s="129">
        <v>0</v>
      </c>
      <c r="H58" s="129">
        <v>0</v>
      </c>
      <c r="I58" s="140">
        <v>0</v>
      </c>
      <c r="J58" s="146">
        <f t="shared" si="7"/>
        <v>0</v>
      </c>
      <c r="K58" s="148">
        <f t="shared" si="0"/>
        <v>0</v>
      </c>
      <c r="L58" s="32"/>
      <c r="M58" s="253">
        <v>0</v>
      </c>
      <c r="N58" s="256">
        <f t="shared" si="1"/>
        <v>0</v>
      </c>
      <c r="O58" s="253">
        <v>0</v>
      </c>
      <c r="P58" s="254">
        <f t="shared" si="2"/>
        <v>0</v>
      </c>
      <c r="Q58" s="263">
        <v>0</v>
      </c>
      <c r="R58" s="256">
        <f t="shared" si="3"/>
        <v>0</v>
      </c>
      <c r="S58" s="512">
        <f t="shared" si="6"/>
        <v>0</v>
      </c>
      <c r="U58" s="156">
        <v>55201010100004</v>
      </c>
      <c r="V58" s="153" t="s">
        <v>53</v>
      </c>
      <c r="W58" s="989">
        <v>0</v>
      </c>
    </row>
    <row r="59" spans="1:23" ht="12.75" customHeight="1" x14ac:dyDescent="0.2">
      <c r="A59" s="1324"/>
      <c r="B59" s="1331"/>
      <c r="C59" s="84"/>
      <c r="D59" s="86"/>
      <c r="E59" s="87"/>
      <c r="F59" s="99" t="s">
        <v>119</v>
      </c>
      <c r="G59" s="129">
        <v>0</v>
      </c>
      <c r="H59" s="129">
        <v>0</v>
      </c>
      <c r="I59" s="140">
        <v>0</v>
      </c>
      <c r="J59" s="146">
        <f t="shared" si="7"/>
        <v>0</v>
      </c>
      <c r="K59" s="148">
        <f t="shared" si="0"/>
        <v>0</v>
      </c>
      <c r="L59" s="32"/>
      <c r="M59" s="253">
        <v>0</v>
      </c>
      <c r="N59" s="256">
        <f t="shared" si="1"/>
        <v>0</v>
      </c>
      <c r="O59" s="253">
        <v>0</v>
      </c>
      <c r="P59" s="254">
        <f t="shared" si="2"/>
        <v>0</v>
      </c>
      <c r="Q59" s="263">
        <v>0</v>
      </c>
      <c r="R59" s="256">
        <f t="shared" si="3"/>
        <v>0</v>
      </c>
      <c r="S59" s="512">
        <f t="shared" si="6"/>
        <v>0</v>
      </c>
      <c r="U59" s="156">
        <v>55201010100005</v>
      </c>
      <c r="V59" s="153" t="s">
        <v>54</v>
      </c>
      <c r="W59" s="989">
        <v>0</v>
      </c>
    </row>
    <row r="60" spans="1:23" ht="12.75" customHeight="1" x14ac:dyDescent="0.2">
      <c r="A60" s="1324"/>
      <c r="B60" s="1331"/>
      <c r="C60" s="84"/>
      <c r="D60" s="86"/>
      <c r="E60" s="87"/>
      <c r="F60" s="99" t="s">
        <v>119</v>
      </c>
      <c r="G60" s="129">
        <v>0</v>
      </c>
      <c r="H60" s="129">
        <v>0</v>
      </c>
      <c r="I60" s="140">
        <v>0</v>
      </c>
      <c r="J60" s="146">
        <f t="shared" si="7"/>
        <v>0</v>
      </c>
      <c r="K60" s="148">
        <f t="shared" si="0"/>
        <v>0</v>
      </c>
      <c r="L60" s="32"/>
      <c r="M60" s="253">
        <v>0</v>
      </c>
      <c r="N60" s="256">
        <f t="shared" si="1"/>
        <v>0</v>
      </c>
      <c r="O60" s="253">
        <v>0</v>
      </c>
      <c r="P60" s="254">
        <f t="shared" si="2"/>
        <v>0</v>
      </c>
      <c r="Q60" s="263">
        <v>0</v>
      </c>
      <c r="R60" s="256">
        <f t="shared" si="3"/>
        <v>0</v>
      </c>
      <c r="S60" s="512">
        <f t="shared" si="6"/>
        <v>0</v>
      </c>
      <c r="U60" s="155"/>
      <c r="V60" s="152" t="s">
        <v>55</v>
      </c>
      <c r="W60" s="158">
        <f>SUM(W61:W69)</f>
        <v>12159780</v>
      </c>
    </row>
    <row r="61" spans="1:23" ht="12.75" customHeight="1" thickBot="1" x14ac:dyDescent="0.25">
      <c r="A61" s="1325"/>
      <c r="B61" s="1332"/>
      <c r="C61" s="149"/>
      <c r="D61" s="130"/>
      <c r="E61" s="131"/>
      <c r="F61" s="132" t="s">
        <v>119</v>
      </c>
      <c r="G61" s="133">
        <v>0</v>
      </c>
      <c r="H61" s="133">
        <v>0</v>
      </c>
      <c r="I61" s="141">
        <v>0</v>
      </c>
      <c r="J61" s="144">
        <f t="shared" si="7"/>
        <v>0</v>
      </c>
      <c r="K61" s="137">
        <f t="shared" si="0"/>
        <v>0</v>
      </c>
      <c r="L61" s="32"/>
      <c r="M61" s="258">
        <v>0</v>
      </c>
      <c r="N61" s="257">
        <f t="shared" si="1"/>
        <v>0</v>
      </c>
      <c r="O61" s="258">
        <v>0</v>
      </c>
      <c r="P61" s="266">
        <f t="shared" si="2"/>
        <v>0</v>
      </c>
      <c r="Q61" s="264">
        <v>0</v>
      </c>
      <c r="R61" s="257">
        <f t="shared" si="3"/>
        <v>0</v>
      </c>
      <c r="S61" s="513">
        <f t="shared" si="6"/>
        <v>0</v>
      </c>
      <c r="U61" s="156">
        <v>53207010000000</v>
      </c>
      <c r="V61" s="153" t="s">
        <v>56</v>
      </c>
      <c r="W61" s="988">
        <v>0</v>
      </c>
    </row>
    <row r="62" spans="1:23" ht="12.75" customHeight="1" thickBot="1" x14ac:dyDescent="0.25">
      <c r="K62" s="352">
        <f>SUM(K15:K61)</f>
        <v>166575048.74280003</v>
      </c>
      <c r="M62" s="353">
        <f>+IFERROR(N62/$K$62,0)</f>
        <v>0.25</v>
      </c>
      <c r="N62" s="354">
        <f>SUM(N15:N61)</f>
        <v>41643762.185700007</v>
      </c>
      <c r="O62" s="353">
        <f>+IFERROR(P62/$K$62,0)</f>
        <v>0.25</v>
      </c>
      <c r="P62" s="354">
        <f>SUM(P15:P61)</f>
        <v>41643762.185700007</v>
      </c>
      <c r="Q62" s="353">
        <f>+IFERROR(R62/$K$62,0)</f>
        <v>0.5</v>
      </c>
      <c r="R62" s="354">
        <f>SUM(R15:R61)</f>
        <v>83287524.371400014</v>
      </c>
      <c r="U62" s="156">
        <v>53207020000000</v>
      </c>
      <c r="V62" s="153" t="s">
        <v>57</v>
      </c>
      <c r="W62" s="988">
        <v>0</v>
      </c>
    </row>
    <row r="63" spans="1:23" ht="12.75" customHeight="1" x14ac:dyDescent="0.2">
      <c r="K63" s="78">
        <v>1</v>
      </c>
      <c r="U63" s="156">
        <v>53208020000000</v>
      </c>
      <c r="V63" s="153" t="s">
        <v>58</v>
      </c>
      <c r="W63" s="988">
        <v>0</v>
      </c>
    </row>
    <row r="64" spans="1:23" ht="12.75" customHeight="1" thickBot="1" x14ac:dyDescent="0.25">
      <c r="U64" s="156">
        <v>53208990000000</v>
      </c>
      <c r="V64" s="153" t="s">
        <v>59</v>
      </c>
      <c r="W64" s="988">
        <v>3440000</v>
      </c>
    </row>
    <row r="65" spans="1:23" ht="12.75" customHeight="1" x14ac:dyDescent="0.2">
      <c r="A65" s="1334" t="s">
        <v>144</v>
      </c>
      <c r="B65" s="1337" t="s">
        <v>122</v>
      </c>
      <c r="C65" s="975" t="s">
        <v>826</v>
      </c>
      <c r="D65" s="975" t="s">
        <v>827</v>
      </c>
      <c r="E65" s="976" t="s">
        <v>828</v>
      </c>
      <c r="F65" s="976" t="s">
        <v>121</v>
      </c>
      <c r="G65" s="649">
        <f>1373737*12</f>
        <v>16484844</v>
      </c>
      <c r="H65" s="651">
        <v>304800</v>
      </c>
      <c r="I65" s="969">
        <v>155415.96</v>
      </c>
      <c r="J65" s="355">
        <f t="shared" ref="J65:J69" si="10">SUM(G65:I65)</f>
        <v>16945059.960000001</v>
      </c>
      <c r="K65" s="356">
        <f t="shared" ref="K65:K69" si="11">+J65*(1+$K$11)</f>
        <v>18809016.555600002</v>
      </c>
      <c r="L65" s="32"/>
      <c r="U65" s="156">
        <v>53209010000000</v>
      </c>
      <c r="V65" s="153" t="s">
        <v>60</v>
      </c>
      <c r="W65" s="988">
        <v>0</v>
      </c>
    </row>
    <row r="66" spans="1:23" ht="12.75" customHeight="1" x14ac:dyDescent="0.2">
      <c r="A66" s="1335"/>
      <c r="B66" s="1338"/>
      <c r="C66" s="85" t="s">
        <v>829</v>
      </c>
      <c r="D66" s="357" t="s">
        <v>830</v>
      </c>
      <c r="E66" s="358" t="s">
        <v>831</v>
      </c>
      <c r="F66" s="359" t="s">
        <v>121</v>
      </c>
      <c r="G66" s="252">
        <f>844306*12</f>
        <v>10131672</v>
      </c>
      <c r="H66" s="252">
        <v>0</v>
      </c>
      <c r="I66" s="360">
        <v>0</v>
      </c>
      <c r="J66" s="361">
        <f t="shared" si="10"/>
        <v>10131672</v>
      </c>
      <c r="K66" s="362">
        <f t="shared" si="11"/>
        <v>11246155.920000002</v>
      </c>
      <c r="L66" s="32"/>
      <c r="U66" s="156">
        <v>53209040000000</v>
      </c>
      <c r="V66" s="153" t="s">
        <v>61</v>
      </c>
      <c r="W66" s="988">
        <v>0</v>
      </c>
    </row>
    <row r="67" spans="1:23" x14ac:dyDescent="0.2">
      <c r="A67" s="1335"/>
      <c r="B67" s="1338"/>
      <c r="C67" s="85"/>
      <c r="D67" s="357"/>
      <c r="E67" s="358"/>
      <c r="F67" s="359" t="s">
        <v>121</v>
      </c>
      <c r="G67" s="252">
        <v>0</v>
      </c>
      <c r="H67" s="252">
        <v>0</v>
      </c>
      <c r="I67" s="360">
        <v>0</v>
      </c>
      <c r="J67" s="361">
        <f t="shared" si="10"/>
        <v>0</v>
      </c>
      <c r="K67" s="362">
        <f t="shared" si="11"/>
        <v>0</v>
      </c>
      <c r="L67" s="32"/>
      <c r="U67" s="156">
        <v>53209050000000</v>
      </c>
      <c r="V67" s="153" t="s">
        <v>62</v>
      </c>
      <c r="W67" s="988">
        <v>8000000</v>
      </c>
    </row>
    <row r="68" spans="1:23" x14ac:dyDescent="0.2">
      <c r="A68" s="1335"/>
      <c r="B68" s="1338"/>
      <c r="C68" s="363"/>
      <c r="D68" s="296"/>
      <c r="E68" s="364"/>
      <c r="F68" s="365" t="s">
        <v>121</v>
      </c>
      <c r="G68" s="252">
        <v>0</v>
      </c>
      <c r="H68" s="252">
        <v>0</v>
      </c>
      <c r="I68" s="360">
        <v>0</v>
      </c>
      <c r="J68" s="361">
        <f t="shared" si="10"/>
        <v>0</v>
      </c>
      <c r="K68" s="362">
        <f t="shared" si="11"/>
        <v>0</v>
      </c>
      <c r="L68" s="32"/>
      <c r="U68" s="156">
        <v>53209990000000</v>
      </c>
      <c r="V68" s="153" t="s">
        <v>63</v>
      </c>
      <c r="W68" s="988">
        <v>119780</v>
      </c>
    </row>
    <row r="69" spans="1:23" ht="13.5" thickBot="1" x14ac:dyDescent="0.25">
      <c r="A69" s="1336"/>
      <c r="B69" s="1339"/>
      <c r="C69" s="308"/>
      <c r="D69" s="297"/>
      <c r="E69" s="366"/>
      <c r="F69" s="367" t="s">
        <v>121</v>
      </c>
      <c r="G69" s="298">
        <v>0</v>
      </c>
      <c r="H69" s="298">
        <v>0</v>
      </c>
      <c r="I69" s="368">
        <v>0</v>
      </c>
      <c r="J69" s="369">
        <f t="shared" si="10"/>
        <v>0</v>
      </c>
      <c r="K69" s="370">
        <f t="shared" si="11"/>
        <v>0</v>
      </c>
      <c r="L69" s="32"/>
      <c r="U69" s="156">
        <v>53210020100000</v>
      </c>
      <c r="V69" s="153" t="s">
        <v>64</v>
      </c>
      <c r="W69" s="988">
        <v>600000</v>
      </c>
    </row>
    <row r="70" spans="1:23" ht="16.5" thickBot="1" x14ac:dyDescent="0.25">
      <c r="C70" s="22"/>
      <c r="D70" s="22"/>
      <c r="E70" s="35"/>
      <c r="F70" s="35"/>
      <c r="G70" s="35"/>
      <c r="H70" s="35"/>
      <c r="I70" s="35"/>
      <c r="K70" s="352">
        <f>SUM(K65:K69)</f>
        <v>30055172.475600004</v>
      </c>
      <c r="L70" s="32"/>
      <c r="U70" s="155"/>
      <c r="V70" s="152" t="s">
        <v>65</v>
      </c>
      <c r="W70" s="158">
        <f>SUM(W71:W77)</f>
        <v>1440000</v>
      </c>
    </row>
    <row r="71" spans="1:23" x14ac:dyDescent="0.2">
      <c r="K71" s="78">
        <v>1</v>
      </c>
      <c r="L71" s="32"/>
      <c r="M71" s="36"/>
      <c r="O71" s="36"/>
      <c r="Q71" s="36"/>
      <c r="U71" s="156">
        <v>53206030000000</v>
      </c>
      <c r="V71" s="153" t="s">
        <v>99</v>
      </c>
      <c r="W71" s="988">
        <v>200000</v>
      </c>
    </row>
    <row r="72" spans="1:23" ht="15.75" customHeight="1" x14ac:dyDescent="0.2">
      <c r="H72" s="150"/>
      <c r="U72" s="156">
        <v>53206040000000</v>
      </c>
      <c r="V72" s="153" t="s">
        <v>100</v>
      </c>
      <c r="W72" s="988">
        <v>0</v>
      </c>
    </row>
    <row r="73" spans="1:23" x14ac:dyDescent="0.2">
      <c r="U73" s="156">
        <v>53206060000000</v>
      </c>
      <c r="V73" s="153" t="s">
        <v>101</v>
      </c>
      <c r="W73" s="988">
        <v>113000</v>
      </c>
    </row>
    <row r="74" spans="1:23" x14ac:dyDescent="0.2">
      <c r="U74" s="156">
        <v>53206070000000</v>
      </c>
      <c r="V74" s="153" t="s">
        <v>102</v>
      </c>
      <c r="W74" s="988">
        <v>565000</v>
      </c>
    </row>
    <row r="75" spans="1:23" x14ac:dyDescent="0.2">
      <c r="U75" s="156">
        <v>53206990000000</v>
      </c>
      <c r="V75" s="153" t="s">
        <v>103</v>
      </c>
      <c r="W75" s="988">
        <v>350000</v>
      </c>
    </row>
    <row r="76" spans="1:23" x14ac:dyDescent="0.2">
      <c r="U76" s="156">
        <v>53208030000000</v>
      </c>
      <c r="V76" s="153" t="s">
        <v>104</v>
      </c>
      <c r="W76" s="988">
        <v>0</v>
      </c>
    </row>
    <row r="77" spans="1:23" x14ac:dyDescent="0.2">
      <c r="U77" s="156">
        <v>53212060000000</v>
      </c>
      <c r="V77" s="153" t="s">
        <v>97</v>
      </c>
      <c r="W77" s="988">
        <v>212000</v>
      </c>
    </row>
    <row r="78" spans="1:23" x14ac:dyDescent="0.2">
      <c r="U78" s="155"/>
      <c r="V78" s="152" t="s">
        <v>66</v>
      </c>
      <c r="W78" s="158">
        <f>SUM(W79:W79)</f>
        <v>2400000</v>
      </c>
    </row>
    <row r="79" spans="1:23" x14ac:dyDescent="0.2">
      <c r="U79" s="156">
        <v>53204999000000</v>
      </c>
      <c r="V79" s="153" t="s">
        <v>96</v>
      </c>
      <c r="W79" s="988">
        <v>2400000</v>
      </c>
    </row>
    <row r="80" spans="1:23" ht="15.75" customHeight="1" x14ac:dyDescent="0.2">
      <c r="U80" s="160"/>
      <c r="V80" s="161" t="s">
        <v>156</v>
      </c>
      <c r="W80" s="162">
        <f>+W40+W15</f>
        <v>171262824</v>
      </c>
    </row>
    <row r="94" spans="11:12" x14ac:dyDescent="0.2">
      <c r="L94" s="163"/>
    </row>
    <row r="96" spans="11:12" x14ac:dyDescent="0.2">
      <c r="K96" s="250"/>
    </row>
    <row r="98" spans="11:11" x14ac:dyDescent="0.2">
      <c r="K98" s="164"/>
    </row>
  </sheetData>
  <sheetProtection algorithmName="SHA-512" hashValue="9FnUAq5sW1EudzjbJO+OtRUYSQzoHAL7Y6hYjzo0B+6J1BCMQkI6yZGZt500VXbv/GkV9JEFl9ljjDMZCK0Lhw==" saltValue="/jCbd9rGT3PjUAgN40u1sA==" spinCount="100000" sheet="1" objects="1" scenarios="1"/>
  <mergeCells count="43">
    <mergeCell ref="M12:R12"/>
    <mergeCell ref="A65:A69"/>
    <mergeCell ref="B65:B69"/>
    <mergeCell ref="A9:H9"/>
    <mergeCell ref="U9:W10"/>
    <mergeCell ref="U13:U14"/>
    <mergeCell ref="V13:V14"/>
    <mergeCell ref="K13:K14"/>
    <mergeCell ref="M13:N13"/>
    <mergeCell ref="O13:P13"/>
    <mergeCell ref="Q13:R13"/>
    <mergeCell ref="A13:B14"/>
    <mergeCell ref="C13:C14"/>
    <mergeCell ref="D13:D14"/>
    <mergeCell ref="E13:E14"/>
    <mergeCell ref="F13:F14"/>
    <mergeCell ref="G13:J13"/>
    <mergeCell ref="A15:A61"/>
    <mergeCell ref="B15:B24"/>
    <mergeCell ref="B25:B34"/>
    <mergeCell ref="B35:B39"/>
    <mergeCell ref="B40:B61"/>
    <mergeCell ref="S13:S14"/>
    <mergeCell ref="AN9:AS10"/>
    <mergeCell ref="M9:S10"/>
    <mergeCell ref="AG9:AL10"/>
    <mergeCell ref="Z9:AE10"/>
    <mergeCell ref="W13:W14"/>
    <mergeCell ref="AI13:AJ13"/>
    <mergeCell ref="AK13:AL13"/>
    <mergeCell ref="AN14:AO14"/>
    <mergeCell ref="Z13:AA13"/>
    <mergeCell ref="AB13:AC13"/>
    <mergeCell ref="AD13:AE13"/>
    <mergeCell ref="AR13:AS13"/>
    <mergeCell ref="AP13:AQ13"/>
    <mergeCell ref="AN13:AO13"/>
    <mergeCell ref="AG13:AH13"/>
    <mergeCell ref="AN15:AO15"/>
    <mergeCell ref="AP14:AQ14"/>
    <mergeCell ref="AP15:AQ15"/>
    <mergeCell ref="AR14:AS14"/>
    <mergeCell ref="AR15:AS15"/>
  </mergeCells>
  <conditionalFormatting sqref="S15:S61">
    <cfRule type="cellIs" dxfId="1" priority="1" operator="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IK22"/>
  <sheetViews>
    <sheetView showGridLines="0" topLeftCell="M1" zoomScale="80" zoomScaleNormal="80" workbookViewId="0">
      <selection activeCell="T27" sqref="T27"/>
    </sheetView>
  </sheetViews>
  <sheetFormatPr baseColWidth="10" defaultColWidth="11.42578125" defaultRowHeight="12.75" x14ac:dyDescent="0.2"/>
  <cols>
    <col min="1" max="1" width="42.140625" style="2" bestFit="1" customWidth="1"/>
    <col min="2" max="2" width="33" style="2" bestFit="1" customWidth="1"/>
    <col min="3" max="3" width="14.140625" style="2" customWidth="1"/>
    <col min="4" max="4" width="14.140625" style="2" bestFit="1" customWidth="1"/>
    <col min="5" max="17" width="14.140625" style="2" customWidth="1"/>
    <col min="18" max="18" width="13.140625" style="2" customWidth="1"/>
    <col min="19" max="19" width="14.140625" style="2" bestFit="1" customWidth="1"/>
    <col min="20" max="20" width="14.140625" style="2" customWidth="1"/>
    <col min="21" max="21" width="12.140625" style="2" customWidth="1"/>
    <col min="22" max="16384" width="11.42578125" style="2"/>
  </cols>
  <sheetData>
    <row r="1" spans="1:245" s="4" customFormat="1" x14ac:dyDescent="0.2">
      <c r="B1" s="3"/>
      <c r="G1" s="37" t="s">
        <v>225</v>
      </c>
      <c r="IJ1" s="2"/>
      <c r="IK1" s="2"/>
    </row>
    <row r="2" spans="1:245" s="4" customFormat="1" x14ac:dyDescent="0.2">
      <c r="B2" s="5"/>
      <c r="G2" s="37" t="s">
        <v>217</v>
      </c>
      <c r="IJ2" s="2"/>
      <c r="IK2" s="2"/>
    </row>
    <row r="3" spans="1:245" s="4" customFormat="1" x14ac:dyDescent="0.2">
      <c r="B3" s="2"/>
      <c r="IJ3" s="2"/>
      <c r="IK3" s="2"/>
    </row>
    <row r="4" spans="1:245" s="4" customFormat="1" ht="17.25" customHeight="1" x14ac:dyDescent="0.2">
      <c r="B4" s="2"/>
      <c r="C4" s="6"/>
      <c r="F4" s="6" t="s">
        <v>0</v>
      </c>
      <c r="G4" s="1366" t="str">
        <f>+'B) Reajuste Tarifas y Ocupación'!F5</f>
        <v>BIENVALP</v>
      </c>
      <c r="H4" s="1367"/>
      <c r="I4" s="6"/>
      <c r="J4" s="6"/>
      <c r="K4" s="6"/>
      <c r="L4" s="6"/>
      <c r="M4" s="6"/>
      <c r="N4" s="6"/>
      <c r="O4" s="6"/>
      <c r="P4" s="6"/>
      <c r="Q4" s="6"/>
      <c r="IA4" s="2"/>
      <c r="IB4" s="2"/>
      <c r="IC4" s="2"/>
      <c r="ID4" s="2"/>
      <c r="IE4" s="2"/>
      <c r="IF4" s="2"/>
    </row>
    <row r="5" spans="1:245" s="4" customFormat="1" x14ac:dyDescent="0.2">
      <c r="B5" s="2"/>
      <c r="C5" s="6"/>
      <c r="F5" s="6"/>
      <c r="G5" s="37"/>
      <c r="H5" s="37"/>
      <c r="I5" s="6"/>
      <c r="J5" s="6"/>
      <c r="K5" s="6"/>
      <c r="L5" s="6"/>
      <c r="M5" s="6"/>
      <c r="N5" s="6"/>
      <c r="O5" s="6"/>
      <c r="P5" s="6"/>
      <c r="Q5" s="6"/>
      <c r="IA5" s="2"/>
      <c r="IB5" s="2"/>
      <c r="IC5" s="2"/>
      <c r="ID5" s="2"/>
      <c r="IE5" s="2"/>
      <c r="IF5" s="2"/>
    </row>
    <row r="6" spans="1:245" s="4" customFormat="1" ht="15.75" x14ac:dyDescent="0.2">
      <c r="A6" s="1166" t="s">
        <v>174</v>
      </c>
      <c r="B6" s="1166"/>
      <c r="C6" s="1166"/>
      <c r="D6" s="1166"/>
      <c r="E6" s="127"/>
      <c r="F6" s="6"/>
      <c r="G6" s="37"/>
      <c r="H6" s="37"/>
      <c r="I6" s="6"/>
      <c r="J6" s="6"/>
      <c r="K6" s="6"/>
      <c r="L6" s="6"/>
      <c r="M6" s="6"/>
      <c r="N6" s="6"/>
      <c r="O6" s="6"/>
      <c r="P6" s="6"/>
      <c r="Q6" s="6"/>
      <c r="IA6" s="2"/>
      <c r="IB6" s="2"/>
      <c r="IC6" s="2"/>
      <c r="ID6" s="2"/>
      <c r="IE6" s="2"/>
      <c r="IF6" s="2"/>
    </row>
    <row r="7" spans="1:245" s="4" customFormat="1" ht="13.5" thickBot="1" x14ac:dyDescent="0.25"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HX7" s="2"/>
      <c r="HY7" s="2"/>
      <c r="HZ7" s="2"/>
      <c r="IA7" s="2"/>
      <c r="IB7" s="2"/>
      <c r="IC7" s="2"/>
      <c r="ID7" s="2"/>
      <c r="IE7" s="2"/>
      <c r="IF7" s="2"/>
    </row>
    <row r="8" spans="1:245" ht="16.5" customHeight="1" x14ac:dyDescent="0.2">
      <c r="A8" s="1360" t="s">
        <v>114</v>
      </c>
      <c r="B8" s="1362" t="s">
        <v>5</v>
      </c>
      <c r="C8" s="1371" t="s">
        <v>276</v>
      </c>
      <c r="D8" s="1372"/>
      <c r="E8" s="1372"/>
      <c r="F8" s="1372"/>
      <c r="G8" s="1373"/>
      <c r="H8" s="1368" t="s">
        <v>268</v>
      </c>
      <c r="I8" s="1369"/>
      <c r="J8" s="1369"/>
      <c r="K8" s="1369"/>
      <c r="L8" s="1370"/>
      <c r="M8" s="1364" t="s">
        <v>124</v>
      </c>
      <c r="N8" s="1364"/>
      <c r="O8" s="1364"/>
      <c r="P8" s="1364"/>
      <c r="Q8" s="1365"/>
      <c r="R8" s="1364" t="s">
        <v>125</v>
      </c>
      <c r="S8" s="1364"/>
      <c r="T8" s="1364"/>
      <c r="U8" s="1364"/>
      <c r="V8" s="1365"/>
    </row>
    <row r="9" spans="1:245" ht="64.5" thickBot="1" x14ac:dyDescent="0.25">
      <c r="A9" s="1361" t="e">
        <f>NA()</f>
        <v>#N/A</v>
      </c>
      <c r="B9" s="1363" t="e">
        <f>NA()</f>
        <v>#N/A</v>
      </c>
      <c r="C9" s="96" t="s">
        <v>86</v>
      </c>
      <c r="D9" s="95" t="s">
        <v>142</v>
      </c>
      <c r="E9" s="95" t="s">
        <v>143</v>
      </c>
      <c r="F9" s="95" t="s">
        <v>87</v>
      </c>
      <c r="G9" s="60" t="s">
        <v>88</v>
      </c>
      <c r="H9" s="97" t="s">
        <v>86</v>
      </c>
      <c r="I9" s="94" t="s">
        <v>142</v>
      </c>
      <c r="J9" s="94" t="s">
        <v>143</v>
      </c>
      <c r="K9" s="94" t="s">
        <v>87</v>
      </c>
      <c r="L9" s="61" t="s">
        <v>88</v>
      </c>
      <c r="M9" s="93" t="s">
        <v>86</v>
      </c>
      <c r="N9" s="94" t="s">
        <v>142</v>
      </c>
      <c r="O9" s="94" t="s">
        <v>143</v>
      </c>
      <c r="P9" s="94" t="s">
        <v>87</v>
      </c>
      <c r="Q9" s="77" t="s">
        <v>88</v>
      </c>
      <c r="R9" s="98" t="s">
        <v>86</v>
      </c>
      <c r="S9" s="94" t="s">
        <v>142</v>
      </c>
      <c r="T9" s="94" t="s">
        <v>143</v>
      </c>
      <c r="U9" s="94" t="s">
        <v>87</v>
      </c>
      <c r="V9" s="77" t="s">
        <v>88</v>
      </c>
    </row>
    <row r="10" spans="1:245" x14ac:dyDescent="0.2">
      <c r="A10" s="1357" t="str">
        <f>+'B) Reajuste Tarifas y Ocupación'!A12</f>
        <v>Jardín Infantil Lobito Marino</v>
      </c>
      <c r="B10" s="185" t="str">
        <f>+'B) Reajuste Tarifas y Ocupación'!B12</f>
        <v>Media jornada</v>
      </c>
      <c r="C10" s="165">
        <f>+'B) Reajuste Tarifas y Ocupación'!M12</f>
        <v>118900</v>
      </c>
      <c r="D10" s="166">
        <f>+'B) Reajuste Tarifas y Ocupación'!N12</f>
        <v>160500</v>
      </c>
      <c r="E10" s="166">
        <f>+'B) Reajuste Tarifas y Ocupación'!O12</f>
        <v>166400</v>
      </c>
      <c r="F10" s="166">
        <f>+'B) Reajuste Tarifas y Ocupación'!P12</f>
        <v>159300</v>
      </c>
      <c r="G10" s="167">
        <f>+'B) Reajuste Tarifas y Ocupación'!Q12</f>
        <v>234400</v>
      </c>
      <c r="H10" s="189">
        <f>+'B) Reajuste Tarifas y Ocupación'!C12</f>
        <v>106100</v>
      </c>
      <c r="I10" s="168">
        <f>+'B) Reajuste Tarifas y Ocupación'!D12</f>
        <v>143200</v>
      </c>
      <c r="J10" s="168">
        <f>+'B) Reajuste Tarifas y Ocupación'!E12</f>
        <v>148500</v>
      </c>
      <c r="K10" s="168">
        <f>+'B) Reajuste Tarifas y Ocupación'!F12</f>
        <v>142200</v>
      </c>
      <c r="L10" s="173">
        <f>+'B) Reajuste Tarifas y Ocupación'!G12</f>
        <v>209200</v>
      </c>
      <c r="M10" s="176">
        <f>C10-H10</f>
        <v>12800</v>
      </c>
      <c r="N10" s="177">
        <f>D10-I10</f>
        <v>17300</v>
      </c>
      <c r="O10" s="177">
        <f>E10-J10</f>
        <v>17900</v>
      </c>
      <c r="P10" s="177">
        <f>F10-K10</f>
        <v>17100</v>
      </c>
      <c r="Q10" s="183">
        <f>G10-L10</f>
        <v>25200</v>
      </c>
      <c r="R10" s="198">
        <f>+'B) Reajuste Tarifas y Ocupación'!H12</f>
        <v>0.12</v>
      </c>
      <c r="S10" s="199">
        <f>+'B) Reajuste Tarifas y Ocupación'!I12</f>
        <v>0.12</v>
      </c>
      <c r="T10" s="199">
        <f>+'B) Reajuste Tarifas y Ocupación'!J12</f>
        <v>0.12</v>
      </c>
      <c r="U10" s="199">
        <f>+'B) Reajuste Tarifas y Ocupación'!K12</f>
        <v>0.12</v>
      </c>
      <c r="V10" s="200">
        <f>+'B) Reajuste Tarifas y Ocupación'!L12</f>
        <v>0.12</v>
      </c>
    </row>
    <row r="11" spans="1:245" ht="13.5" thickBot="1" x14ac:dyDescent="0.25">
      <c r="A11" s="1358"/>
      <c r="B11" s="186" t="str">
        <f>+'B) Reajuste Tarifas y Ocupación'!B13</f>
        <v>Jornada completa</v>
      </c>
      <c r="C11" s="191">
        <f>+'B) Reajuste Tarifas y Ocupación'!M13</f>
        <v>194000</v>
      </c>
      <c r="D11" s="192">
        <f>+'B) Reajuste Tarifas y Ocupación'!N13</f>
        <v>261900</v>
      </c>
      <c r="E11" s="192">
        <f>+'B) Reajuste Tarifas y Ocupación'!O13</f>
        <v>271600</v>
      </c>
      <c r="F11" s="192">
        <f>+'B) Reajuste Tarifas y Ocupación'!P13</f>
        <v>327500</v>
      </c>
      <c r="G11" s="193">
        <f>+'B) Reajuste Tarifas y Ocupación'!Q13</f>
        <v>488400</v>
      </c>
      <c r="H11" s="190">
        <f>+'B) Reajuste Tarifas y Ocupación'!C13</f>
        <v>173200</v>
      </c>
      <c r="I11" s="169">
        <f>+'B) Reajuste Tarifas y Ocupación'!D13</f>
        <v>233800</v>
      </c>
      <c r="J11" s="169">
        <f>+'B) Reajuste Tarifas y Ocupación'!E13</f>
        <v>242500</v>
      </c>
      <c r="K11" s="169">
        <f>+'B) Reajuste Tarifas y Ocupación'!F13</f>
        <v>292400</v>
      </c>
      <c r="L11" s="174">
        <f>+'B) Reajuste Tarifas y Ocupación'!G13</f>
        <v>436000</v>
      </c>
      <c r="M11" s="179">
        <f t="shared" ref="M11:M22" si="0">C11-H11</f>
        <v>20800</v>
      </c>
      <c r="N11" s="180">
        <f t="shared" ref="N11:N22" si="1">D11-I11</f>
        <v>28100</v>
      </c>
      <c r="O11" s="180">
        <f t="shared" ref="O11:O22" si="2">E11-J11</f>
        <v>29100</v>
      </c>
      <c r="P11" s="180">
        <f t="shared" ref="P11:P22" si="3">F11-K11</f>
        <v>35100</v>
      </c>
      <c r="Q11" s="184">
        <f t="shared" ref="Q11:Q22" si="4">G11-L11</f>
        <v>52400</v>
      </c>
      <c r="R11" s="201">
        <f>+'B) Reajuste Tarifas y Ocupación'!H13</f>
        <v>0.12</v>
      </c>
      <c r="S11" s="202">
        <f>+'B) Reajuste Tarifas y Ocupación'!I13</f>
        <v>0.12</v>
      </c>
      <c r="T11" s="202">
        <f>+'B) Reajuste Tarifas y Ocupación'!J13</f>
        <v>0.12</v>
      </c>
      <c r="U11" s="202">
        <f>+'B) Reajuste Tarifas y Ocupación'!K13</f>
        <v>0.12</v>
      </c>
      <c r="V11" s="203">
        <f>+'B) Reajuste Tarifas y Ocupación'!L13</f>
        <v>0.12</v>
      </c>
    </row>
    <row r="12" spans="1:245" x14ac:dyDescent="0.2">
      <c r="A12" s="1357" t="str">
        <f>+'B) Reajuste Tarifas y Ocupación'!A14</f>
        <v>Jardín Infantil Los Delfines</v>
      </c>
      <c r="B12" s="185" t="str">
        <f>+'B) Reajuste Tarifas y Ocupación'!B14</f>
        <v>Media jornada</v>
      </c>
      <c r="C12" s="165">
        <f>+'B) Reajuste Tarifas y Ocupación'!M14</f>
        <v>118900</v>
      </c>
      <c r="D12" s="166">
        <f>+'B) Reajuste Tarifas y Ocupación'!N14</f>
        <v>160500</v>
      </c>
      <c r="E12" s="166">
        <f>+'B) Reajuste Tarifas y Ocupación'!O14</f>
        <v>166400</v>
      </c>
      <c r="F12" s="166">
        <f>+'B) Reajuste Tarifas y Ocupación'!P14</f>
        <v>159300</v>
      </c>
      <c r="G12" s="167">
        <f>+'B) Reajuste Tarifas y Ocupación'!Q14</f>
        <v>234400</v>
      </c>
      <c r="H12" s="189">
        <f>+'B) Reajuste Tarifas y Ocupación'!C14</f>
        <v>106100</v>
      </c>
      <c r="I12" s="168">
        <f>+'B) Reajuste Tarifas y Ocupación'!D14</f>
        <v>143200</v>
      </c>
      <c r="J12" s="168">
        <f>+'B) Reajuste Tarifas y Ocupación'!E14</f>
        <v>148500</v>
      </c>
      <c r="K12" s="168">
        <f>+'B) Reajuste Tarifas y Ocupación'!F14</f>
        <v>142200</v>
      </c>
      <c r="L12" s="173">
        <f>+'B) Reajuste Tarifas y Ocupación'!G14</f>
        <v>209200</v>
      </c>
      <c r="M12" s="176">
        <f t="shared" si="0"/>
        <v>12800</v>
      </c>
      <c r="N12" s="177">
        <f>D12-I12</f>
        <v>17300</v>
      </c>
      <c r="O12" s="177">
        <f t="shared" si="2"/>
        <v>17900</v>
      </c>
      <c r="P12" s="177">
        <f t="shared" si="3"/>
        <v>17100</v>
      </c>
      <c r="Q12" s="183">
        <f t="shared" si="4"/>
        <v>25200</v>
      </c>
      <c r="R12" s="198">
        <f>+'B) Reajuste Tarifas y Ocupación'!H14</f>
        <v>0.12</v>
      </c>
      <c r="S12" s="199">
        <f>+'B) Reajuste Tarifas y Ocupación'!I14</f>
        <v>0.12</v>
      </c>
      <c r="T12" s="199">
        <f>+'B) Reajuste Tarifas y Ocupación'!J14</f>
        <v>0.12</v>
      </c>
      <c r="U12" s="199">
        <f>+'B) Reajuste Tarifas y Ocupación'!K14</f>
        <v>0.12</v>
      </c>
      <c r="V12" s="200">
        <f>+'B) Reajuste Tarifas y Ocupación'!L14</f>
        <v>0.12</v>
      </c>
    </row>
    <row r="13" spans="1:245" ht="13.5" thickBot="1" x14ac:dyDescent="0.25">
      <c r="A13" s="1358"/>
      <c r="B13" s="187" t="str">
        <f>+'B) Reajuste Tarifas y Ocupación'!B15</f>
        <v>Jornada completa</v>
      </c>
      <c r="C13" s="593">
        <f>+'B) Reajuste Tarifas y Ocupación'!M15</f>
        <v>194000</v>
      </c>
      <c r="D13" s="594">
        <f>+'B) Reajuste Tarifas y Ocupación'!N15</f>
        <v>261900</v>
      </c>
      <c r="E13" s="594">
        <f>+'B) Reajuste Tarifas y Ocupación'!O15</f>
        <v>271600</v>
      </c>
      <c r="F13" s="594">
        <f>+'B) Reajuste Tarifas y Ocupación'!P15</f>
        <v>327500</v>
      </c>
      <c r="G13" s="595">
        <f>+'B) Reajuste Tarifas y Ocupación'!Q15</f>
        <v>488400</v>
      </c>
      <c r="H13" s="596">
        <f>+'B) Reajuste Tarifas y Ocupación'!C15</f>
        <v>173200</v>
      </c>
      <c r="I13" s="597">
        <f>+'B) Reajuste Tarifas y Ocupación'!D15</f>
        <v>233800</v>
      </c>
      <c r="J13" s="597">
        <f>+'B) Reajuste Tarifas y Ocupación'!E15</f>
        <v>242500</v>
      </c>
      <c r="K13" s="597">
        <f>+'B) Reajuste Tarifas y Ocupación'!F15</f>
        <v>292400</v>
      </c>
      <c r="L13" s="598">
        <f>+'B) Reajuste Tarifas y Ocupación'!G15</f>
        <v>436000</v>
      </c>
      <c r="M13" s="599">
        <f t="shared" si="0"/>
        <v>20800</v>
      </c>
      <c r="N13" s="600">
        <f t="shared" si="1"/>
        <v>28100</v>
      </c>
      <c r="O13" s="600">
        <f t="shared" si="2"/>
        <v>29100</v>
      </c>
      <c r="P13" s="600">
        <f t="shared" si="3"/>
        <v>35100</v>
      </c>
      <c r="Q13" s="601">
        <f t="shared" si="4"/>
        <v>52400</v>
      </c>
      <c r="R13" s="602">
        <f>+'B) Reajuste Tarifas y Ocupación'!H15</f>
        <v>0.12</v>
      </c>
      <c r="S13" s="603">
        <f>+'B) Reajuste Tarifas y Ocupación'!I15</f>
        <v>0.12</v>
      </c>
      <c r="T13" s="603">
        <f>+'B) Reajuste Tarifas y Ocupación'!J15</f>
        <v>0.12</v>
      </c>
      <c r="U13" s="603">
        <f>+'B) Reajuste Tarifas y Ocupación'!K15</f>
        <v>0.12</v>
      </c>
      <c r="V13" s="604">
        <f>+'B) Reajuste Tarifas y Ocupación'!L15</f>
        <v>0.12</v>
      </c>
    </row>
    <row r="14" spans="1:245" ht="23.25" customHeight="1" thickBot="1" x14ac:dyDescent="0.25">
      <c r="A14" s="170" t="str">
        <f>+'B) Reajuste Tarifas y Ocupación'!A16</f>
        <v>Jardín Infantil Pecesitos de Colores</v>
      </c>
      <c r="B14" s="188" t="str">
        <f>+'B) Reajuste Tarifas y Ocupación'!B16</f>
        <v>Media jornada</v>
      </c>
      <c r="C14" s="612">
        <f>+'B) Reajuste Tarifas y Ocupación'!M16</f>
        <v>51300</v>
      </c>
      <c r="D14" s="613">
        <f>+'B) Reajuste Tarifas y Ocupación'!N16</f>
        <v>69300</v>
      </c>
      <c r="E14" s="613">
        <f>+'B) Reajuste Tarifas y Ocupación'!O16</f>
        <v>71900</v>
      </c>
      <c r="F14" s="613">
        <f>+'B) Reajuste Tarifas y Ocupación'!P16</f>
        <v>64300</v>
      </c>
      <c r="G14" s="614">
        <f>+'B) Reajuste Tarifas y Ocupación'!Q16</f>
        <v>77000</v>
      </c>
      <c r="H14" s="615">
        <f>+'B) Reajuste Tarifas y Ocupación'!C16</f>
        <v>45800</v>
      </c>
      <c r="I14" s="616">
        <f>+'B) Reajuste Tarifas y Ocupación'!D16</f>
        <v>61800</v>
      </c>
      <c r="J14" s="616">
        <f>+'B) Reajuste Tarifas y Ocupación'!E16</f>
        <v>64100</v>
      </c>
      <c r="K14" s="616">
        <f>+'B) Reajuste Tarifas y Ocupación'!F16</f>
        <v>57400</v>
      </c>
      <c r="L14" s="617">
        <f>+'B) Reajuste Tarifas y Ocupación'!G16</f>
        <v>68700</v>
      </c>
      <c r="M14" s="618">
        <f t="shared" ref="M14:M16" si="5">C14-H14</f>
        <v>5500</v>
      </c>
      <c r="N14" s="619">
        <f t="shared" ref="N14:N16" si="6">D14-I14</f>
        <v>7500</v>
      </c>
      <c r="O14" s="619">
        <f t="shared" ref="O14:O16" si="7">E14-J14</f>
        <v>7800</v>
      </c>
      <c r="P14" s="619">
        <f t="shared" ref="P14:P16" si="8">F14-K14</f>
        <v>6900</v>
      </c>
      <c r="Q14" s="620">
        <f t="shared" ref="Q14:Q16" si="9">G14-L14</f>
        <v>8300</v>
      </c>
      <c r="R14" s="621">
        <f>+'B) Reajuste Tarifas y Ocupación'!H16</f>
        <v>0.12</v>
      </c>
      <c r="S14" s="622">
        <f>+'B) Reajuste Tarifas y Ocupación'!I16</f>
        <v>0.12</v>
      </c>
      <c r="T14" s="622">
        <f>+'B) Reajuste Tarifas y Ocupación'!J16</f>
        <v>0.12</v>
      </c>
      <c r="U14" s="622">
        <f>+'B) Reajuste Tarifas y Ocupación'!K16</f>
        <v>0.12</v>
      </c>
      <c r="V14" s="623">
        <f>+'B) Reajuste Tarifas y Ocupación'!L16</f>
        <v>0.12</v>
      </c>
    </row>
    <row r="15" spans="1:245" x14ac:dyDescent="0.2">
      <c r="A15" s="1357" t="str">
        <f>+'B) Reajuste Tarifas y Ocupación'!A17</f>
        <v>Jardín Infantil Caracolito de Mar</v>
      </c>
      <c r="B15" s="185" t="str">
        <f>+'B) Reajuste Tarifas y Ocupación'!B17</f>
        <v>Media jornada</v>
      </c>
      <c r="C15" s="624">
        <f>+'B) Reajuste Tarifas y Ocupación'!M17</f>
        <v>118900</v>
      </c>
      <c r="D15" s="625">
        <f>+'B) Reajuste Tarifas y Ocupación'!N17</f>
        <v>160500</v>
      </c>
      <c r="E15" s="625">
        <f>+'B) Reajuste Tarifas y Ocupación'!O17</f>
        <v>166400</v>
      </c>
      <c r="F15" s="625">
        <f>+'B) Reajuste Tarifas y Ocupación'!P17</f>
        <v>159300</v>
      </c>
      <c r="G15" s="626">
        <f>+'B) Reajuste Tarifas y Ocupación'!Q17</f>
        <v>234400</v>
      </c>
      <c r="H15" s="627">
        <f>+'B) Reajuste Tarifas y Ocupación'!C17</f>
        <v>106100</v>
      </c>
      <c r="I15" s="628">
        <f>+'B) Reajuste Tarifas y Ocupación'!D17</f>
        <v>143200</v>
      </c>
      <c r="J15" s="628">
        <f>+'B) Reajuste Tarifas y Ocupación'!E17</f>
        <v>148500</v>
      </c>
      <c r="K15" s="628">
        <f>+'B) Reajuste Tarifas y Ocupación'!F17</f>
        <v>142200</v>
      </c>
      <c r="L15" s="629">
        <f>+'B) Reajuste Tarifas y Ocupación'!G17</f>
        <v>209200</v>
      </c>
      <c r="M15" s="630">
        <f t="shared" si="5"/>
        <v>12800</v>
      </c>
      <c r="N15" s="631">
        <f t="shared" si="6"/>
        <v>17300</v>
      </c>
      <c r="O15" s="631">
        <f t="shared" si="7"/>
        <v>17900</v>
      </c>
      <c r="P15" s="631">
        <f t="shared" si="8"/>
        <v>17100</v>
      </c>
      <c r="Q15" s="632">
        <f t="shared" si="9"/>
        <v>25200</v>
      </c>
      <c r="R15" s="633">
        <f>+'B) Reajuste Tarifas y Ocupación'!H17</f>
        <v>0.12</v>
      </c>
      <c r="S15" s="634">
        <f>+'B) Reajuste Tarifas y Ocupación'!I17</f>
        <v>0.12</v>
      </c>
      <c r="T15" s="634">
        <f>+'B) Reajuste Tarifas y Ocupación'!J17</f>
        <v>0.12</v>
      </c>
      <c r="U15" s="634">
        <f>+'B) Reajuste Tarifas y Ocupación'!K17</f>
        <v>0.12</v>
      </c>
      <c r="V15" s="635">
        <f>+'B) Reajuste Tarifas y Ocupación'!L17</f>
        <v>0.12</v>
      </c>
    </row>
    <row r="16" spans="1:245" ht="13.5" thickBot="1" x14ac:dyDescent="0.25">
      <c r="A16" s="1358"/>
      <c r="B16" s="186" t="str">
        <f>+'B) Reajuste Tarifas y Ocupación'!B18</f>
        <v>Jornada completa</v>
      </c>
      <c r="C16" s="636">
        <f>+'B) Reajuste Tarifas y Ocupación'!M18</f>
        <v>194000</v>
      </c>
      <c r="D16" s="637">
        <f>+'B) Reajuste Tarifas y Ocupación'!N18</f>
        <v>261900</v>
      </c>
      <c r="E16" s="637">
        <f>+'B) Reajuste Tarifas y Ocupación'!O18</f>
        <v>271600</v>
      </c>
      <c r="F16" s="637">
        <f>+'B) Reajuste Tarifas y Ocupación'!P18</f>
        <v>327500</v>
      </c>
      <c r="G16" s="638">
        <f>+'B) Reajuste Tarifas y Ocupación'!Q18</f>
        <v>488400</v>
      </c>
      <c r="H16" s="639">
        <f>+'B) Reajuste Tarifas y Ocupación'!C18</f>
        <v>173200</v>
      </c>
      <c r="I16" s="640">
        <f>+'B) Reajuste Tarifas y Ocupación'!D18</f>
        <v>233800</v>
      </c>
      <c r="J16" s="640">
        <f>+'B) Reajuste Tarifas y Ocupación'!E18</f>
        <v>242500</v>
      </c>
      <c r="K16" s="640">
        <f>+'B) Reajuste Tarifas y Ocupación'!F18</f>
        <v>292400</v>
      </c>
      <c r="L16" s="641">
        <f>+'B) Reajuste Tarifas y Ocupación'!G18</f>
        <v>436000</v>
      </c>
      <c r="M16" s="642">
        <f t="shared" si="5"/>
        <v>20800</v>
      </c>
      <c r="N16" s="643">
        <f t="shared" si="6"/>
        <v>28100</v>
      </c>
      <c r="O16" s="643">
        <f t="shared" si="7"/>
        <v>29100</v>
      </c>
      <c r="P16" s="643">
        <f t="shared" si="8"/>
        <v>35100</v>
      </c>
      <c r="Q16" s="644">
        <f t="shared" si="9"/>
        <v>52400</v>
      </c>
      <c r="R16" s="645">
        <f>+'B) Reajuste Tarifas y Ocupación'!H18</f>
        <v>0.12</v>
      </c>
      <c r="S16" s="646">
        <f>+'B) Reajuste Tarifas y Ocupación'!I18</f>
        <v>0.12</v>
      </c>
      <c r="T16" s="646">
        <f>+'B) Reajuste Tarifas y Ocupación'!J18</f>
        <v>0.12</v>
      </c>
      <c r="U16" s="646">
        <f>+'B) Reajuste Tarifas y Ocupación'!K18</f>
        <v>0.12</v>
      </c>
      <c r="V16" s="647">
        <f>+'B) Reajuste Tarifas y Ocupación'!L18</f>
        <v>0.12</v>
      </c>
    </row>
    <row r="17" spans="1:22" x14ac:dyDescent="0.2">
      <c r="A17" s="1357" t="str">
        <f>+'B) Reajuste Tarifas y Ocupación'!A22</f>
        <v>Sala Cuna Caracolito de Mar</v>
      </c>
      <c r="B17" s="185" t="str">
        <f>+'B) Reajuste Tarifas y Ocupación'!B22</f>
        <v>Diurna</v>
      </c>
      <c r="C17" s="605">
        <f>+'B) Reajuste Tarifas y Ocupación'!M22</f>
        <v>397800</v>
      </c>
      <c r="D17" s="515">
        <f>+'B) Reajuste Tarifas y Ocupación'!N22</f>
        <v>537000</v>
      </c>
      <c r="E17" s="515">
        <f>+'B) Reajuste Tarifas y Ocupación'!O22</f>
        <v>556900</v>
      </c>
      <c r="F17" s="515">
        <f>+'B) Reajuste Tarifas y Ocupación'!P22</f>
        <v>497200</v>
      </c>
      <c r="G17" s="516">
        <f>+'B) Reajuste Tarifas y Ocupación'!Q22</f>
        <v>596600</v>
      </c>
      <c r="H17" s="195">
        <f>+'B) Reajuste Tarifas y Ocupación'!C22</f>
        <v>368300</v>
      </c>
      <c r="I17" s="606">
        <f>+'B) Reajuste Tarifas y Ocupación'!D22</f>
        <v>497200</v>
      </c>
      <c r="J17" s="606">
        <f>+'B) Reajuste Tarifas y Ocupación'!E22</f>
        <v>515600</v>
      </c>
      <c r="K17" s="606">
        <f>+'B) Reajuste Tarifas y Ocupación'!F22</f>
        <v>460300</v>
      </c>
      <c r="L17" s="607">
        <f>+'B) Reajuste Tarifas y Ocupación'!G22</f>
        <v>552400</v>
      </c>
      <c r="M17" s="549">
        <f t="shared" si="0"/>
        <v>29500</v>
      </c>
      <c r="N17" s="550">
        <f t="shared" si="1"/>
        <v>39800</v>
      </c>
      <c r="O17" s="550">
        <f t="shared" si="2"/>
        <v>41300</v>
      </c>
      <c r="P17" s="550">
        <f t="shared" si="3"/>
        <v>36900</v>
      </c>
      <c r="Q17" s="608">
        <f t="shared" si="4"/>
        <v>44200</v>
      </c>
      <c r="R17" s="609">
        <f>+'B) Reajuste Tarifas y Ocupación'!H22</f>
        <v>0.08</v>
      </c>
      <c r="S17" s="610">
        <f>+'B) Reajuste Tarifas y Ocupación'!I22</f>
        <v>0.08</v>
      </c>
      <c r="T17" s="610">
        <f>+'B) Reajuste Tarifas y Ocupación'!J22</f>
        <v>0.08</v>
      </c>
      <c r="U17" s="610">
        <f>+'B) Reajuste Tarifas y Ocupación'!K22</f>
        <v>0.08</v>
      </c>
      <c r="V17" s="611">
        <f>+'B) Reajuste Tarifas y Ocupación'!L22</f>
        <v>0.08</v>
      </c>
    </row>
    <row r="18" spans="1:22" x14ac:dyDescent="0.2">
      <c r="A18" s="1358"/>
      <c r="B18" s="186" t="str">
        <f>+'B) Reajuste Tarifas y Ocupación'!B23</f>
        <v>Nocturna</v>
      </c>
      <c r="C18" s="1387"/>
      <c r="D18" s="1388"/>
      <c r="E18" s="1388"/>
      <c r="F18" s="1388"/>
      <c r="G18" s="1389"/>
      <c r="H18" s="1384"/>
      <c r="I18" s="1385"/>
      <c r="J18" s="1385"/>
      <c r="K18" s="1385"/>
      <c r="L18" s="1386"/>
      <c r="M18" s="1381"/>
      <c r="N18" s="1382"/>
      <c r="O18" s="1382"/>
      <c r="P18" s="1382"/>
      <c r="Q18" s="1383"/>
      <c r="R18" s="1374"/>
      <c r="S18" s="1375"/>
      <c r="T18" s="1375"/>
      <c r="U18" s="1375"/>
      <c r="V18" s="1376"/>
    </row>
    <row r="19" spans="1:22" ht="13.5" thickBot="1" x14ac:dyDescent="0.25">
      <c r="A19" s="1358"/>
      <c r="B19" s="186" t="str">
        <f>+'B) Reajuste Tarifas y Ocupación'!B24</f>
        <v>Media Jornada</v>
      </c>
      <c r="C19" s="517">
        <f>+'B) Reajuste Tarifas y Ocupación'!M24</f>
        <v>238900</v>
      </c>
      <c r="D19" s="518">
        <f>+'B) Reajuste Tarifas y Ocupación'!N24</f>
        <v>322600</v>
      </c>
      <c r="E19" s="518">
        <f>+'B) Reajuste Tarifas y Ocupación'!O24</f>
        <v>334500</v>
      </c>
      <c r="F19" s="518">
        <f>+'B) Reajuste Tarifas y Ocupación'!P24</f>
        <v>358100</v>
      </c>
      <c r="G19" s="519">
        <f>+'B) Reajuste Tarifas y Ocupación'!Q24</f>
        <v>477400</v>
      </c>
      <c r="H19" s="196">
        <f>+'B) Reajuste Tarifas y Ocupación'!C24</f>
        <v>221200</v>
      </c>
      <c r="I19" s="172">
        <f>+'B) Reajuste Tarifas y Ocupación'!D24</f>
        <v>298600</v>
      </c>
      <c r="J19" s="172">
        <f>+'B) Reajuste Tarifas y Ocupación'!E24</f>
        <v>309600</v>
      </c>
      <c r="K19" s="172">
        <f>+'B) Reajuste Tarifas y Ocupación'!F24</f>
        <v>331500</v>
      </c>
      <c r="L19" s="175">
        <f>+'B) Reajuste Tarifas y Ocupación'!G24</f>
        <v>442000</v>
      </c>
      <c r="M19" s="179">
        <f t="shared" si="0"/>
        <v>17700</v>
      </c>
      <c r="N19" s="180">
        <f t="shared" si="1"/>
        <v>24000</v>
      </c>
      <c r="O19" s="180">
        <f t="shared" si="2"/>
        <v>24900</v>
      </c>
      <c r="P19" s="180">
        <f t="shared" si="3"/>
        <v>26600</v>
      </c>
      <c r="Q19" s="181">
        <f t="shared" si="4"/>
        <v>35400</v>
      </c>
      <c r="R19" s="207">
        <f>+'B) Reajuste Tarifas y Ocupación'!H24</f>
        <v>0.08</v>
      </c>
      <c r="S19" s="208">
        <f>+'B) Reajuste Tarifas y Ocupación'!I24</f>
        <v>0.08</v>
      </c>
      <c r="T19" s="208">
        <f>+'B) Reajuste Tarifas y Ocupación'!J24</f>
        <v>0.08</v>
      </c>
      <c r="U19" s="208">
        <f>+'B) Reajuste Tarifas y Ocupación'!K24</f>
        <v>0.08</v>
      </c>
      <c r="V19" s="209">
        <f>+'B) Reajuste Tarifas y Ocupación'!L24</f>
        <v>0.08</v>
      </c>
    </row>
    <row r="20" spans="1:22" x14ac:dyDescent="0.2">
      <c r="A20" s="1357" t="str">
        <f>+'B) Reajuste Tarifas y Ocupación'!A25</f>
        <v>Sala Cuna Mar Azul</v>
      </c>
      <c r="B20" s="185" t="str">
        <f>+'B) Reajuste Tarifas y Ocupación'!B25</f>
        <v>Diurna</v>
      </c>
      <c r="C20" s="514">
        <f>+'B) Reajuste Tarifas y Ocupación'!M25</f>
        <v>397800</v>
      </c>
      <c r="D20" s="515">
        <f>+'B) Reajuste Tarifas y Ocupación'!N25</f>
        <v>537000</v>
      </c>
      <c r="E20" s="515">
        <f>+'B) Reajuste Tarifas y Ocupación'!O25</f>
        <v>556900</v>
      </c>
      <c r="F20" s="515">
        <f>+'B) Reajuste Tarifas y Ocupación'!P25</f>
        <v>497200</v>
      </c>
      <c r="G20" s="516">
        <f>+'B) Reajuste Tarifas y Ocupación'!Q25</f>
        <v>596600</v>
      </c>
      <c r="H20" s="189">
        <f>+'B) Reajuste Tarifas y Ocupación'!C25</f>
        <v>368300</v>
      </c>
      <c r="I20" s="168">
        <f>+'B) Reajuste Tarifas y Ocupación'!D25</f>
        <v>497200</v>
      </c>
      <c r="J20" s="168">
        <f>+'B) Reajuste Tarifas y Ocupación'!E25</f>
        <v>515600</v>
      </c>
      <c r="K20" s="168">
        <f>+'B) Reajuste Tarifas y Ocupación'!F25</f>
        <v>460300</v>
      </c>
      <c r="L20" s="173">
        <f>+'B) Reajuste Tarifas y Ocupación'!G25</f>
        <v>552400</v>
      </c>
      <c r="M20" s="176">
        <f t="shared" si="0"/>
        <v>29500</v>
      </c>
      <c r="N20" s="177">
        <f t="shared" si="1"/>
        <v>39800</v>
      </c>
      <c r="O20" s="177">
        <f t="shared" si="2"/>
        <v>41300</v>
      </c>
      <c r="P20" s="177">
        <f t="shared" si="3"/>
        <v>36900</v>
      </c>
      <c r="Q20" s="178">
        <f t="shared" si="4"/>
        <v>44200</v>
      </c>
      <c r="R20" s="198">
        <f>+'B) Reajuste Tarifas y Ocupación'!H25</f>
        <v>0.08</v>
      </c>
      <c r="S20" s="204">
        <f>+'B) Reajuste Tarifas y Ocupación'!I25</f>
        <v>0.08</v>
      </c>
      <c r="T20" s="204">
        <f>+'B) Reajuste Tarifas y Ocupación'!J25</f>
        <v>0.08</v>
      </c>
      <c r="U20" s="204">
        <f>+'B) Reajuste Tarifas y Ocupación'!K25</f>
        <v>0.08</v>
      </c>
      <c r="V20" s="205">
        <f>+'B) Reajuste Tarifas y Ocupación'!L25</f>
        <v>0.08</v>
      </c>
    </row>
    <row r="21" spans="1:22" x14ac:dyDescent="0.2">
      <c r="A21" s="1358"/>
      <c r="B21" s="186" t="str">
        <f>+'B) Reajuste Tarifas y Ocupación'!B26</f>
        <v>Nocturna</v>
      </c>
      <c r="C21" s="197">
        <f>+'B) Reajuste Tarifas y Ocupación'!M26</f>
        <v>320900</v>
      </c>
      <c r="D21" s="1378"/>
      <c r="E21" s="1379"/>
      <c r="F21" s="1379"/>
      <c r="G21" s="1380"/>
      <c r="H21" s="195">
        <f>+'B) Reajuste Tarifas y Ocupación'!C26</f>
        <v>297100</v>
      </c>
      <c r="I21" s="1390"/>
      <c r="J21" s="1391"/>
      <c r="K21" s="1391"/>
      <c r="L21" s="1392"/>
      <c r="M21" s="182">
        <f t="shared" si="0"/>
        <v>23800</v>
      </c>
      <c r="N21" s="1393"/>
      <c r="O21" s="1382"/>
      <c r="P21" s="1382"/>
      <c r="Q21" s="1383"/>
      <c r="R21" s="206">
        <f>+'B) Reajuste Tarifas y Ocupación'!H26</f>
        <v>0.08</v>
      </c>
      <c r="S21" s="1377"/>
      <c r="T21" s="1375"/>
      <c r="U21" s="1375"/>
      <c r="V21" s="1376"/>
    </row>
    <row r="22" spans="1:22" ht="13.5" thickBot="1" x14ac:dyDescent="0.25">
      <c r="A22" s="1359"/>
      <c r="B22" s="194" t="str">
        <f>+'B) Reajuste Tarifas y Ocupación'!B27</f>
        <v>Media Jornada</v>
      </c>
      <c r="C22" s="191">
        <f>+'B) Reajuste Tarifas y Ocupación'!M27</f>
        <v>238900</v>
      </c>
      <c r="D22" s="192">
        <f>+'B) Reajuste Tarifas y Ocupación'!N27</f>
        <v>322600</v>
      </c>
      <c r="E22" s="192">
        <f>+'B) Reajuste Tarifas y Ocupación'!O27</f>
        <v>334500</v>
      </c>
      <c r="F22" s="192">
        <f>+'B) Reajuste Tarifas y Ocupación'!P27</f>
        <v>358100</v>
      </c>
      <c r="G22" s="193">
        <f>+'B) Reajuste Tarifas y Ocupación'!Q27</f>
        <v>477400</v>
      </c>
      <c r="H22" s="196">
        <f>+'B) Reajuste Tarifas y Ocupación'!C27</f>
        <v>221200</v>
      </c>
      <c r="I22" s="172">
        <f>+'B) Reajuste Tarifas y Ocupación'!D27</f>
        <v>298600</v>
      </c>
      <c r="J22" s="172">
        <f>+'B) Reajuste Tarifas y Ocupación'!E27</f>
        <v>309600</v>
      </c>
      <c r="K22" s="172">
        <f>+'B) Reajuste Tarifas y Ocupación'!F27</f>
        <v>331500</v>
      </c>
      <c r="L22" s="175">
        <f>+'B) Reajuste Tarifas y Ocupación'!G27</f>
        <v>442000</v>
      </c>
      <c r="M22" s="179">
        <f t="shared" si="0"/>
        <v>17700</v>
      </c>
      <c r="N22" s="180">
        <f t="shared" si="1"/>
        <v>24000</v>
      </c>
      <c r="O22" s="180">
        <f t="shared" si="2"/>
        <v>24900</v>
      </c>
      <c r="P22" s="180">
        <f t="shared" si="3"/>
        <v>26600</v>
      </c>
      <c r="Q22" s="181">
        <f t="shared" si="4"/>
        <v>35400</v>
      </c>
      <c r="R22" s="207">
        <f>+'B) Reajuste Tarifas y Ocupación'!H27</f>
        <v>0.08</v>
      </c>
      <c r="S22" s="208">
        <f>+'B) Reajuste Tarifas y Ocupación'!I27</f>
        <v>0.08</v>
      </c>
      <c r="T22" s="208">
        <f>+'B) Reajuste Tarifas y Ocupación'!J27</f>
        <v>0.08</v>
      </c>
      <c r="U22" s="208">
        <f>+'B) Reajuste Tarifas y Ocupación'!K27</f>
        <v>0.08</v>
      </c>
      <c r="V22" s="209">
        <f>+'B) Reajuste Tarifas y Ocupación'!L27</f>
        <v>0.08</v>
      </c>
    </row>
  </sheetData>
  <sheetProtection algorithmName="SHA-512" hashValue="wrH6p5XlZ22xPJrFr1iZrRKxVz2kXmGYbeW6ktL88uisR2vYdYrGSkxjJEhB/cI53umEgxgbzU14z/DPOhXdkg==" saltValue="68i0gObovmaY4QmV4An50g==" spinCount="100000" sheet="1" objects="1" scenarios="1"/>
  <mergeCells count="21">
    <mergeCell ref="S21:V21"/>
    <mergeCell ref="D21:G21"/>
    <mergeCell ref="M18:Q18"/>
    <mergeCell ref="H18:L18"/>
    <mergeCell ref="C18:G18"/>
    <mergeCell ref="I21:L21"/>
    <mergeCell ref="N21:Q21"/>
    <mergeCell ref="R8:V8"/>
    <mergeCell ref="A17:A19"/>
    <mergeCell ref="G4:H4"/>
    <mergeCell ref="H8:L8"/>
    <mergeCell ref="M8:Q8"/>
    <mergeCell ref="C8:G8"/>
    <mergeCell ref="A6:D6"/>
    <mergeCell ref="R18:V18"/>
    <mergeCell ref="A20:A22"/>
    <mergeCell ref="A8:A9"/>
    <mergeCell ref="B8:B9"/>
    <mergeCell ref="A10:A11"/>
    <mergeCell ref="A12:A13"/>
    <mergeCell ref="A15:A16"/>
  </mergeCells>
  <conditionalFormatting sqref="M10:Q17 M18 M19:Q20 M21:N21 M22:Q22">
    <cfRule type="cellIs" dxfId="0" priority="1" operator="lessThan">
      <formula>0</formula>
    </cfRule>
  </conditionalFormatting>
  <pageMargins left="0.75" right="0.75" top="1" bottom="0.64583333333333337" header="0" footer="0.51180555555555551"/>
  <pageSetup firstPageNumber="0" fitToHeight="14" orientation="landscape" horizontalDpi="300" verticalDpi="300" r:id="rId1"/>
  <headerFooter alignWithMargins="0">
    <oddHeader>&amp;LSEPT - 2004&amp;CDIRECTIVA D.B.S.A.
ORDINARIA&amp;R02-BS0307/02
Pag &amp;P de &amp;N/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B1:IY153"/>
  <sheetViews>
    <sheetView showGridLines="0" topLeftCell="A4" zoomScale="80" zoomScaleNormal="80" workbookViewId="0">
      <selection activeCell="N17" sqref="N17"/>
    </sheetView>
  </sheetViews>
  <sheetFormatPr baseColWidth="10" defaultColWidth="11.42578125" defaultRowHeight="12.75" x14ac:dyDescent="0.2"/>
  <cols>
    <col min="1" max="1" width="7.140625" style="24" customWidth="1"/>
    <col min="2" max="2" width="37.140625" style="24" customWidth="1"/>
    <col min="3" max="3" width="28" style="24" customWidth="1"/>
    <col min="4" max="4" width="24.140625" style="24" customWidth="1"/>
    <col min="5" max="5" width="25.140625" style="24" customWidth="1"/>
    <col min="6" max="6" width="22.140625" style="24" customWidth="1"/>
    <col min="7" max="8" width="14.85546875" style="24" customWidth="1"/>
    <col min="9" max="9" width="15" style="24" customWidth="1"/>
    <col min="10" max="10" width="15.140625" style="24" customWidth="1"/>
    <col min="11" max="11" width="19.140625" style="24" customWidth="1"/>
    <col min="12" max="12" width="26.85546875" style="24" customWidth="1"/>
    <col min="13" max="13" width="16.140625" style="24" customWidth="1"/>
    <col min="14" max="14" width="17.140625" style="24" customWidth="1"/>
    <col min="15" max="15" width="14.85546875" style="24" customWidth="1"/>
    <col min="16" max="16" width="17.85546875" style="24" customWidth="1"/>
    <col min="17" max="17" width="17.140625" style="24" customWidth="1"/>
    <col min="18" max="18" width="18.140625" style="24" customWidth="1"/>
    <col min="19" max="19" width="16.140625" style="24" customWidth="1"/>
    <col min="20" max="20" width="15.85546875" style="24" customWidth="1"/>
    <col min="21" max="21" width="14.85546875" style="24" customWidth="1"/>
    <col min="22" max="22" width="15.85546875" style="24" customWidth="1"/>
    <col min="23" max="23" width="14.140625" style="24" customWidth="1"/>
    <col min="24" max="24" width="14.85546875" style="24" customWidth="1"/>
    <col min="25" max="25" width="14.140625" style="24" customWidth="1"/>
    <col min="26" max="26" width="16.85546875" style="24" customWidth="1"/>
    <col min="27" max="27" width="17.5703125" style="24" customWidth="1"/>
    <col min="28" max="28" width="15.140625" style="24" customWidth="1"/>
    <col min="29" max="29" width="19.85546875" style="24" customWidth="1"/>
    <col min="30" max="30" width="17.42578125" style="24" customWidth="1"/>
    <col min="31" max="31" width="12" style="24" customWidth="1"/>
    <col min="32" max="16384" width="11.42578125" style="24"/>
  </cols>
  <sheetData>
    <row r="1" spans="2:259" s="4" customFormat="1" x14ac:dyDescent="0.2">
      <c r="E1" s="37" t="s">
        <v>226</v>
      </c>
      <c r="F1" s="37"/>
      <c r="G1" s="37"/>
      <c r="H1" s="37"/>
      <c r="I1" s="37"/>
      <c r="J1" s="37"/>
      <c r="IM1" s="2"/>
      <c r="IN1" s="2"/>
    </row>
    <row r="2" spans="2:259" s="4" customFormat="1" x14ac:dyDescent="0.2">
      <c r="E2" s="37" t="s">
        <v>218</v>
      </c>
      <c r="F2" s="37"/>
      <c r="G2" s="37"/>
      <c r="H2" s="37"/>
      <c r="I2" s="37"/>
      <c r="J2" s="37"/>
      <c r="IM2" s="2"/>
      <c r="IN2" s="2"/>
    </row>
    <row r="3" spans="2:259" s="4" customFormat="1" x14ac:dyDescent="0.2">
      <c r="B3" s="20"/>
      <c r="ID3" s="2"/>
      <c r="IE3" s="2"/>
      <c r="IF3" s="2"/>
      <c r="IG3" s="2"/>
      <c r="IH3" s="2"/>
      <c r="II3" s="2"/>
    </row>
    <row r="4" spans="2:259" s="4" customFormat="1" ht="18.75" customHeight="1" x14ac:dyDescent="0.2">
      <c r="B4" s="20"/>
      <c r="D4" s="1111" t="s">
        <v>0</v>
      </c>
      <c r="E4" s="990" t="str">
        <f>+'[1]B) Reajuste Tarifas y Ocupación'!F5</f>
        <v>BIENVALP</v>
      </c>
      <c r="F4" s="1112"/>
      <c r="G4" s="71"/>
      <c r="H4" s="71"/>
      <c r="I4" s="71"/>
      <c r="J4" s="71"/>
      <c r="N4" s="1"/>
      <c r="ID4" s="2"/>
      <c r="IE4" s="2"/>
      <c r="IF4" s="2"/>
      <c r="IG4" s="2"/>
      <c r="IH4" s="2"/>
      <c r="II4" s="2"/>
    </row>
    <row r="5" spans="2:259" s="4" customFormat="1" x14ac:dyDescent="0.2">
      <c r="B5" s="20"/>
      <c r="D5" s="6"/>
      <c r="E5" s="37"/>
      <c r="F5" s="37"/>
      <c r="G5" s="37"/>
      <c r="H5" s="37"/>
      <c r="I5" s="37"/>
      <c r="J5" s="37"/>
      <c r="N5" s="1"/>
      <c r="ID5" s="2"/>
      <c r="IE5" s="2"/>
      <c r="IF5" s="2"/>
      <c r="IG5" s="2"/>
      <c r="IH5" s="2"/>
      <c r="II5" s="2"/>
    </row>
    <row r="6" spans="2:259" s="4" customFormat="1" x14ac:dyDescent="0.2">
      <c r="B6" s="20"/>
      <c r="D6" s="6"/>
      <c r="E6" s="37"/>
      <c r="F6" s="37"/>
      <c r="G6" s="37"/>
      <c r="H6" s="37"/>
      <c r="I6" s="37"/>
      <c r="J6" s="37"/>
      <c r="N6" s="1"/>
      <c r="ID6" s="2"/>
      <c r="IE6" s="2"/>
      <c r="IF6" s="2"/>
      <c r="IG6" s="2"/>
      <c r="IH6" s="2"/>
      <c r="II6" s="2"/>
    </row>
    <row r="7" spans="2:259" s="4" customFormat="1" ht="15.75" x14ac:dyDescent="0.2">
      <c r="B7" s="1192" t="s">
        <v>175</v>
      </c>
      <c r="C7" s="1192"/>
      <c r="D7" s="1192"/>
      <c r="E7" s="1192"/>
      <c r="F7" s="126"/>
      <c r="G7" s="126"/>
      <c r="H7" s="126"/>
      <c r="I7" s="126"/>
      <c r="J7" s="126"/>
      <c r="K7" s="1113" t="s">
        <v>4</v>
      </c>
      <c r="L7" s="1114">
        <v>0.11</v>
      </c>
      <c r="N7" s="1"/>
      <c r="ID7" s="2"/>
      <c r="IE7" s="2"/>
      <c r="IF7" s="2"/>
      <c r="IG7" s="2"/>
      <c r="IH7" s="2"/>
      <c r="II7" s="2"/>
    </row>
    <row r="8" spans="2:259" ht="13.5" thickBot="1" x14ac:dyDescent="0.25"/>
    <row r="9" spans="2:259" ht="15" customHeight="1" x14ac:dyDescent="0.2">
      <c r="B9" s="1418" t="s">
        <v>114</v>
      </c>
      <c r="C9" s="1420" t="s">
        <v>74</v>
      </c>
      <c r="D9" s="1420" t="s">
        <v>75</v>
      </c>
      <c r="E9" s="1422" t="s">
        <v>3</v>
      </c>
      <c r="F9" s="1416" t="s">
        <v>82</v>
      </c>
      <c r="G9" s="1412" t="s">
        <v>269</v>
      </c>
      <c r="H9" s="1412" t="s">
        <v>282</v>
      </c>
      <c r="I9" s="1412" t="s">
        <v>116</v>
      </c>
      <c r="J9" s="1412" t="s">
        <v>117</v>
      </c>
      <c r="K9" s="1402" t="s">
        <v>280</v>
      </c>
      <c r="L9" s="1345" t="s">
        <v>115</v>
      </c>
      <c r="O9" s="23"/>
      <c r="P9" s="23"/>
      <c r="Q9" s="23"/>
      <c r="R9" s="23"/>
      <c r="S9" s="23"/>
      <c r="T9" s="23"/>
    </row>
    <row r="10" spans="2:259" ht="36.75" customHeight="1" thickBot="1" x14ac:dyDescent="0.25">
      <c r="B10" s="1419"/>
      <c r="C10" s="1421"/>
      <c r="D10" s="1421"/>
      <c r="E10" s="1423"/>
      <c r="F10" s="1417"/>
      <c r="G10" s="1414"/>
      <c r="H10" s="1414"/>
      <c r="I10" s="1414"/>
      <c r="J10" s="1414"/>
      <c r="K10" s="1403"/>
      <c r="L10" s="1404"/>
      <c r="M10"/>
      <c r="N10" s="57"/>
      <c r="O10" s="57"/>
      <c r="P10" s="18"/>
      <c r="Q10" s="18"/>
      <c r="R10" s="18"/>
      <c r="S10"/>
      <c r="T10" s="1415"/>
      <c r="U10" s="1415"/>
      <c r="V10" s="1415"/>
      <c r="W10" s="1415"/>
      <c r="X10"/>
    </row>
    <row r="11" spans="2:259" customFormat="1" x14ac:dyDescent="0.2">
      <c r="B11" s="1394" t="str">
        <f>+'[1]B) Reajuste Tarifas y Ocupación'!A12</f>
        <v>Jardín Infantil Lobito Marino</v>
      </c>
      <c r="C11" s="648" t="s">
        <v>284</v>
      </c>
      <c r="D11" s="648" t="s">
        <v>285</v>
      </c>
      <c r="E11" s="648" t="s">
        <v>286</v>
      </c>
      <c r="F11" s="648" t="s">
        <v>296</v>
      </c>
      <c r="G11" s="649">
        <f>(11692260/12)*2</f>
        <v>1948710</v>
      </c>
      <c r="H11" s="570">
        <f>+G11*(1+$L$7)</f>
        <v>2163068.1</v>
      </c>
      <c r="I11" s="649">
        <v>330540</v>
      </c>
      <c r="J11" s="649">
        <v>162394</v>
      </c>
      <c r="K11" s="522">
        <f>SUM(H11:J11)</f>
        <v>2656002.1</v>
      </c>
      <c r="L11" s="1398">
        <f>SUM(K11:K31)</f>
        <v>108670473.90000001</v>
      </c>
      <c r="M11" s="1123" t="s">
        <v>862</v>
      </c>
      <c r="N11" s="29"/>
      <c r="O11" s="29"/>
      <c r="P11" s="58"/>
      <c r="Q11" s="58"/>
      <c r="R11" s="58"/>
      <c r="S11" s="26"/>
      <c r="T11" s="25"/>
      <c r="U11" s="25"/>
      <c r="V11" s="25"/>
      <c r="W11" s="25"/>
      <c r="X11" s="27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</row>
    <row r="12" spans="2:259" customFormat="1" x14ac:dyDescent="0.2">
      <c r="B12" s="1395"/>
      <c r="C12" s="650" t="s">
        <v>287</v>
      </c>
      <c r="D12" s="650" t="s">
        <v>288</v>
      </c>
      <c r="E12" s="650" t="s">
        <v>286</v>
      </c>
      <c r="F12" s="650" t="s">
        <v>296</v>
      </c>
      <c r="G12" s="651">
        <v>11090712</v>
      </c>
      <c r="H12" s="652">
        <f t="shared" ref="H12:H52" si="0">+G12*(1+$L$7)</f>
        <v>12310690.32</v>
      </c>
      <c r="I12" s="651">
        <v>330540</v>
      </c>
      <c r="J12" s="651">
        <v>162394</v>
      </c>
      <c r="K12" s="653">
        <f t="shared" ref="K12:K70" si="1">SUM(H12:J12)</f>
        <v>12803624.32</v>
      </c>
      <c r="L12" s="1399"/>
      <c r="N12" s="29"/>
      <c r="O12" s="29"/>
      <c r="P12" s="18"/>
      <c r="Q12" s="18"/>
      <c r="R12" s="18"/>
      <c r="S12" s="26"/>
      <c r="T12" s="25"/>
      <c r="U12" s="25"/>
      <c r="V12" s="25"/>
      <c r="W12" s="25"/>
      <c r="X12" s="27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</row>
    <row r="13" spans="2:259" customFormat="1" x14ac:dyDescent="0.2">
      <c r="B13" s="1395"/>
      <c r="C13" s="650" t="s">
        <v>289</v>
      </c>
      <c r="D13" s="650" t="s">
        <v>290</v>
      </c>
      <c r="E13" s="650" t="s">
        <v>291</v>
      </c>
      <c r="F13" s="650" t="s">
        <v>296</v>
      </c>
      <c r="G13" s="651">
        <v>9241176</v>
      </c>
      <c r="H13" s="652">
        <f t="shared" si="0"/>
        <v>10257705.360000001</v>
      </c>
      <c r="I13" s="651">
        <v>330540</v>
      </c>
      <c r="J13" s="651">
        <v>166178</v>
      </c>
      <c r="K13" s="653">
        <f t="shared" si="1"/>
        <v>10754423.360000001</v>
      </c>
      <c r="L13" s="1399"/>
      <c r="N13" s="29"/>
      <c r="O13" s="29"/>
      <c r="P13" s="18"/>
      <c r="Q13" s="18"/>
      <c r="R13" s="18"/>
      <c r="S13" s="26"/>
      <c r="T13" s="25"/>
      <c r="U13" s="25"/>
      <c r="V13" s="25"/>
      <c r="W13" s="25"/>
      <c r="X13" s="27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</row>
    <row r="14" spans="2:259" customFormat="1" x14ac:dyDescent="0.2">
      <c r="B14" s="1395"/>
      <c r="C14" s="650" t="s">
        <v>292</v>
      </c>
      <c r="D14" s="650" t="s">
        <v>293</v>
      </c>
      <c r="E14" s="650" t="s">
        <v>291</v>
      </c>
      <c r="F14" s="650" t="s">
        <v>296</v>
      </c>
      <c r="G14" s="651">
        <v>9241176</v>
      </c>
      <c r="H14" s="652">
        <f t="shared" si="0"/>
        <v>10257705.360000001</v>
      </c>
      <c r="I14" s="651">
        <v>330540</v>
      </c>
      <c r="J14" s="651">
        <v>166178</v>
      </c>
      <c r="K14" s="653">
        <f t="shared" si="1"/>
        <v>10754423.360000001</v>
      </c>
      <c r="L14" s="1399"/>
      <c r="N14" s="29"/>
      <c r="O14" s="29"/>
      <c r="P14" s="18"/>
      <c r="Q14" s="18"/>
      <c r="R14" s="18"/>
      <c r="S14" s="26"/>
      <c r="T14" s="25"/>
      <c r="U14" s="25"/>
      <c r="V14" s="25"/>
      <c r="W14" s="25"/>
      <c r="X14" s="27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</row>
    <row r="15" spans="2:259" customFormat="1" x14ac:dyDescent="0.2">
      <c r="B15" s="1395"/>
      <c r="C15" s="650" t="s">
        <v>294</v>
      </c>
      <c r="D15" s="650" t="s">
        <v>295</v>
      </c>
      <c r="E15" s="650" t="s">
        <v>291</v>
      </c>
      <c r="F15" s="650" t="s">
        <v>296</v>
      </c>
      <c r="G15" s="651">
        <v>8154780</v>
      </c>
      <c r="H15" s="652">
        <f t="shared" si="0"/>
        <v>9051805.8000000007</v>
      </c>
      <c r="I15" s="651">
        <v>330540</v>
      </c>
      <c r="J15" s="651">
        <v>166178</v>
      </c>
      <c r="K15" s="653">
        <f t="shared" si="1"/>
        <v>9548523.8000000007</v>
      </c>
      <c r="L15" s="1399"/>
      <c r="N15" s="29"/>
      <c r="O15" s="29"/>
      <c r="P15" s="18"/>
      <c r="Q15" s="18"/>
      <c r="R15" s="18"/>
      <c r="S15" s="26"/>
      <c r="T15" s="25"/>
      <c r="U15" s="25"/>
      <c r="V15" s="25"/>
      <c r="W15" s="25"/>
      <c r="X15" s="27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</row>
    <row r="16" spans="2:259" customFormat="1" x14ac:dyDescent="0.2">
      <c r="B16" s="1395"/>
      <c r="C16" s="650" t="s">
        <v>297</v>
      </c>
      <c r="D16" s="650" t="s">
        <v>298</v>
      </c>
      <c r="E16" s="650" t="s">
        <v>291</v>
      </c>
      <c r="F16" s="650" t="s">
        <v>296</v>
      </c>
      <c r="G16" s="651">
        <v>10451196</v>
      </c>
      <c r="H16" s="652">
        <f t="shared" si="0"/>
        <v>11600827.560000001</v>
      </c>
      <c r="I16" s="651">
        <v>330540</v>
      </c>
      <c r="J16" s="651">
        <v>166178</v>
      </c>
      <c r="K16" s="653">
        <f t="shared" si="1"/>
        <v>12097545.560000001</v>
      </c>
      <c r="L16" s="1399"/>
      <c r="M16" t="s">
        <v>852</v>
      </c>
      <c r="N16" s="29"/>
      <c r="O16" s="29"/>
      <c r="P16" s="18"/>
      <c r="Q16" s="18"/>
      <c r="R16" s="18"/>
      <c r="S16" s="26"/>
      <c r="T16" s="25"/>
      <c r="U16" s="25"/>
      <c r="V16" s="25"/>
      <c r="W16" s="25"/>
      <c r="X16" s="27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</row>
    <row r="17" spans="2:259" customFormat="1" x14ac:dyDescent="0.2">
      <c r="B17" s="1395"/>
      <c r="C17" s="650" t="s">
        <v>299</v>
      </c>
      <c r="D17" s="650" t="s">
        <v>300</v>
      </c>
      <c r="E17" s="650" t="s">
        <v>301</v>
      </c>
      <c r="F17" s="650" t="s">
        <v>296</v>
      </c>
      <c r="G17" s="651">
        <v>1149156</v>
      </c>
      <c r="H17" s="652">
        <f t="shared" si="0"/>
        <v>1275563.1600000001</v>
      </c>
      <c r="I17" s="651">
        <v>330540</v>
      </c>
      <c r="J17" s="651">
        <v>166178</v>
      </c>
      <c r="K17" s="653">
        <f t="shared" si="1"/>
        <v>1772281.1600000001</v>
      </c>
      <c r="L17" s="1399"/>
      <c r="N17" s="29"/>
      <c r="O17" s="29"/>
      <c r="P17" s="18"/>
      <c r="Q17" s="18"/>
      <c r="R17" s="18"/>
      <c r="S17" s="26"/>
      <c r="T17" s="25"/>
      <c r="U17" s="25"/>
      <c r="V17" s="25"/>
      <c r="W17" s="25"/>
      <c r="X17" s="27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</row>
    <row r="18" spans="2:259" customFormat="1" x14ac:dyDescent="0.2">
      <c r="B18" s="1395"/>
      <c r="C18" s="650" t="s">
        <v>302</v>
      </c>
      <c r="D18" s="650" t="s">
        <v>303</v>
      </c>
      <c r="E18" s="650" t="s">
        <v>304</v>
      </c>
      <c r="F18" s="650" t="s">
        <v>296</v>
      </c>
      <c r="G18" s="651">
        <v>7467216</v>
      </c>
      <c r="H18" s="652">
        <f t="shared" si="0"/>
        <v>8288609.7600000007</v>
      </c>
      <c r="I18" s="651">
        <v>330540</v>
      </c>
      <c r="J18" s="651">
        <v>166178</v>
      </c>
      <c r="K18" s="653">
        <f t="shared" si="1"/>
        <v>8785327.7600000016</v>
      </c>
      <c r="L18" s="1399"/>
      <c r="N18" s="29"/>
      <c r="O18" s="29"/>
      <c r="P18" s="18"/>
      <c r="Q18" s="18"/>
      <c r="R18" s="18"/>
      <c r="S18" s="26"/>
      <c r="T18" s="25"/>
      <c r="U18" s="25"/>
      <c r="V18" s="25"/>
      <c r="W18" s="25"/>
      <c r="X18" s="27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</row>
    <row r="19" spans="2:259" customFormat="1" x14ac:dyDescent="0.2">
      <c r="B19" s="1395"/>
      <c r="C19" s="650" t="s">
        <v>305</v>
      </c>
      <c r="D19" s="650" t="s">
        <v>306</v>
      </c>
      <c r="E19" s="650" t="s">
        <v>304</v>
      </c>
      <c r="F19" s="650" t="s">
        <v>296</v>
      </c>
      <c r="G19" s="651">
        <v>9509568</v>
      </c>
      <c r="H19" s="652">
        <f t="shared" si="0"/>
        <v>10555620.48</v>
      </c>
      <c r="I19" s="651">
        <v>330540</v>
      </c>
      <c r="J19" s="651">
        <v>165490</v>
      </c>
      <c r="K19" s="653">
        <f t="shared" si="1"/>
        <v>11051650.48</v>
      </c>
      <c r="L19" s="1399"/>
      <c r="M19" t="s">
        <v>854</v>
      </c>
      <c r="N19" s="29"/>
      <c r="O19" s="29"/>
      <c r="P19" s="18"/>
      <c r="Q19" s="18"/>
      <c r="R19" s="18"/>
      <c r="S19" s="26"/>
      <c r="T19" s="25"/>
      <c r="U19" s="25"/>
      <c r="V19" s="25"/>
      <c r="W19" s="25"/>
      <c r="X19" s="27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</row>
    <row r="20" spans="2:259" customFormat="1" x14ac:dyDescent="0.2">
      <c r="B20" s="1395"/>
      <c r="C20" s="650" t="s">
        <v>307</v>
      </c>
      <c r="D20" s="650" t="s">
        <v>308</v>
      </c>
      <c r="E20" s="650" t="s">
        <v>309</v>
      </c>
      <c r="F20" s="650" t="s">
        <v>296</v>
      </c>
      <c r="G20" s="651">
        <f>G21</f>
        <v>6578100</v>
      </c>
      <c r="H20" s="652">
        <f t="shared" si="0"/>
        <v>7301691.0000000009</v>
      </c>
      <c r="I20" s="651">
        <v>330540</v>
      </c>
      <c r="J20" s="651">
        <f>J21</f>
        <v>165490</v>
      </c>
      <c r="K20" s="653">
        <f t="shared" si="1"/>
        <v>7797721.0000000009</v>
      </c>
      <c r="L20" s="1399"/>
      <c r="N20" s="29"/>
      <c r="O20" s="29"/>
      <c r="P20" s="18"/>
      <c r="Q20" s="18"/>
      <c r="R20" s="18"/>
      <c r="S20" s="26"/>
      <c r="T20" s="25"/>
      <c r="U20" s="25"/>
      <c r="V20" s="25"/>
      <c r="W20" s="25"/>
      <c r="X20" s="27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</row>
    <row r="21" spans="2:259" customFormat="1" x14ac:dyDescent="0.2">
      <c r="B21" s="1395"/>
      <c r="C21" s="650" t="s">
        <v>310</v>
      </c>
      <c r="D21" s="650" t="s">
        <v>311</v>
      </c>
      <c r="E21" s="650" t="s">
        <v>309</v>
      </c>
      <c r="F21" s="650" t="s">
        <v>296</v>
      </c>
      <c r="G21" s="651">
        <v>6578100</v>
      </c>
      <c r="H21" s="652">
        <f t="shared" si="0"/>
        <v>7301691.0000000009</v>
      </c>
      <c r="I21" s="651">
        <v>330540</v>
      </c>
      <c r="J21" s="651">
        <v>165490</v>
      </c>
      <c r="K21" s="653">
        <f t="shared" si="1"/>
        <v>7797721.0000000009</v>
      </c>
      <c r="L21" s="1399"/>
      <c r="N21" s="29"/>
      <c r="O21" s="29"/>
      <c r="P21" s="18"/>
      <c r="Q21" s="18"/>
      <c r="R21" s="18"/>
      <c r="S21" s="26"/>
      <c r="T21" s="25"/>
      <c r="U21" s="25"/>
      <c r="V21" s="25"/>
      <c r="W21" s="25"/>
      <c r="X21" s="27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</row>
    <row r="22" spans="2:259" customFormat="1" x14ac:dyDescent="0.2">
      <c r="B22" s="1395"/>
      <c r="C22" s="1122" t="s">
        <v>267</v>
      </c>
      <c r="D22" s="1122" t="s">
        <v>328</v>
      </c>
      <c r="E22" s="1122" t="s">
        <v>304</v>
      </c>
      <c r="F22" s="1122" t="s">
        <v>296</v>
      </c>
      <c r="G22" s="651"/>
      <c r="H22" s="652">
        <f t="shared" si="0"/>
        <v>0</v>
      </c>
      <c r="I22" s="651"/>
      <c r="J22" s="651"/>
      <c r="K22" s="653">
        <f t="shared" si="1"/>
        <v>0</v>
      </c>
      <c r="L22" s="1399"/>
      <c r="N22" s="29"/>
      <c r="O22" s="29"/>
      <c r="P22" s="18"/>
      <c r="Q22" s="18"/>
      <c r="R22" s="18"/>
      <c r="S22" s="26"/>
      <c r="T22" s="25"/>
      <c r="U22" s="25"/>
      <c r="V22" s="25"/>
      <c r="W22" s="25"/>
      <c r="X22" s="27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</row>
    <row r="23" spans="2:259" customFormat="1" x14ac:dyDescent="0.2">
      <c r="B23" s="1395"/>
      <c r="C23" s="650" t="s">
        <v>835</v>
      </c>
      <c r="D23" s="650" t="s">
        <v>328</v>
      </c>
      <c r="E23" s="650" t="s">
        <v>286</v>
      </c>
      <c r="F23" s="650" t="s">
        <v>296</v>
      </c>
      <c r="G23" s="651">
        <f>G119</f>
        <v>11133600</v>
      </c>
      <c r="H23" s="652">
        <f t="shared" si="0"/>
        <v>12358296.000000002</v>
      </c>
      <c r="I23" s="651">
        <v>330540</v>
      </c>
      <c r="J23" s="651">
        <v>162394</v>
      </c>
      <c r="K23" s="653">
        <f t="shared" si="1"/>
        <v>12851230.000000002</v>
      </c>
      <c r="L23" s="1399"/>
      <c r="N23" s="29"/>
      <c r="O23" s="29"/>
      <c r="P23" s="18"/>
      <c r="Q23" s="18"/>
      <c r="R23" s="18"/>
      <c r="S23" s="26"/>
      <c r="T23" s="25"/>
      <c r="U23" s="25"/>
      <c r="V23" s="25"/>
      <c r="W23" s="25"/>
      <c r="X23" s="27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</row>
    <row r="24" spans="2:259" customFormat="1" x14ac:dyDescent="0.2">
      <c r="B24" s="1395"/>
      <c r="C24" s="650"/>
      <c r="D24" s="650"/>
      <c r="E24" s="650"/>
      <c r="F24" s="650"/>
      <c r="G24" s="651"/>
      <c r="H24" s="652">
        <f t="shared" si="0"/>
        <v>0</v>
      </c>
      <c r="I24" s="651">
        <v>0</v>
      </c>
      <c r="J24" s="651">
        <v>0</v>
      </c>
      <c r="K24" s="653">
        <f t="shared" si="1"/>
        <v>0</v>
      </c>
      <c r="L24" s="1399"/>
      <c r="M24" t="s">
        <v>855</v>
      </c>
      <c r="N24" s="29"/>
      <c r="O24" s="29"/>
      <c r="P24" s="18"/>
      <c r="Q24" s="18"/>
      <c r="R24" s="18"/>
      <c r="S24" s="26"/>
      <c r="T24" s="25"/>
      <c r="U24" s="25"/>
      <c r="V24" s="25"/>
      <c r="W24" s="25"/>
      <c r="X24" s="27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</row>
    <row r="25" spans="2:259" customFormat="1" x14ac:dyDescent="0.2">
      <c r="B25" s="1395"/>
      <c r="C25" s="650" t="s">
        <v>836</v>
      </c>
      <c r="D25" s="650"/>
      <c r="E25" s="650"/>
      <c r="F25" s="650"/>
      <c r="G25" s="651">
        <v>0</v>
      </c>
      <c r="H25" s="652">
        <f t="shared" si="0"/>
        <v>0</v>
      </c>
      <c r="I25" s="651">
        <v>0</v>
      </c>
      <c r="J25" s="651">
        <v>0</v>
      </c>
      <c r="K25" s="653">
        <f t="shared" si="1"/>
        <v>0</v>
      </c>
      <c r="L25" s="1399"/>
      <c r="N25" s="29"/>
      <c r="O25" s="29"/>
      <c r="P25" s="18"/>
      <c r="Q25" s="18"/>
      <c r="R25" s="18"/>
      <c r="S25" s="26"/>
      <c r="T25" s="25"/>
      <c r="U25" s="25"/>
      <c r="V25" s="25"/>
      <c r="W25" s="25"/>
      <c r="X25" s="27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</row>
    <row r="26" spans="2:259" customFormat="1" x14ac:dyDescent="0.2">
      <c r="B26" s="1395"/>
      <c r="C26" s="650" t="s">
        <v>837</v>
      </c>
      <c r="D26" s="650"/>
      <c r="E26" s="650"/>
      <c r="F26" s="650"/>
      <c r="G26" s="651">
        <v>0</v>
      </c>
      <c r="H26" s="652">
        <f t="shared" si="0"/>
        <v>0</v>
      </c>
      <c r="I26" s="651">
        <v>0</v>
      </c>
      <c r="J26" s="651">
        <v>0</v>
      </c>
      <c r="K26" s="653">
        <f t="shared" si="1"/>
        <v>0</v>
      </c>
      <c r="L26" s="1399"/>
      <c r="N26" s="29"/>
      <c r="O26" s="29"/>
      <c r="P26" s="18"/>
      <c r="Q26" s="18"/>
      <c r="R26" s="18"/>
      <c r="S26" s="26"/>
      <c r="T26" s="25"/>
      <c r="U26" s="25"/>
      <c r="V26" s="25"/>
      <c r="W26" s="25"/>
      <c r="X26" s="27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</row>
    <row r="27" spans="2:259" customFormat="1" x14ac:dyDescent="0.2">
      <c r="B27" s="1395"/>
      <c r="C27" s="650" t="s">
        <v>838</v>
      </c>
      <c r="D27" s="650"/>
      <c r="E27" s="650"/>
      <c r="F27" s="650"/>
      <c r="G27" s="651">
        <v>0</v>
      </c>
      <c r="H27" s="652">
        <f t="shared" si="0"/>
        <v>0</v>
      </c>
      <c r="I27" s="651">
        <v>0</v>
      </c>
      <c r="J27" s="651">
        <v>0</v>
      </c>
      <c r="K27" s="653">
        <f t="shared" si="1"/>
        <v>0</v>
      </c>
      <c r="L27" s="1399"/>
      <c r="N27" s="29"/>
      <c r="O27" s="29"/>
      <c r="P27" s="18"/>
      <c r="Q27" s="18"/>
      <c r="R27" s="18"/>
      <c r="S27" s="26"/>
      <c r="T27" s="25"/>
      <c r="U27" s="25"/>
      <c r="V27" s="25"/>
      <c r="W27" s="25"/>
      <c r="X27" s="27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</row>
    <row r="28" spans="2:259" customFormat="1" x14ac:dyDescent="0.2">
      <c r="B28" s="1395"/>
      <c r="C28" s="650" t="s">
        <v>839</v>
      </c>
      <c r="D28" s="650"/>
      <c r="E28" s="650"/>
      <c r="F28" s="650"/>
      <c r="G28" s="651">
        <v>0</v>
      </c>
      <c r="H28" s="652">
        <f t="shared" si="0"/>
        <v>0</v>
      </c>
      <c r="I28" s="651">
        <v>0</v>
      </c>
      <c r="J28" s="651">
        <v>0</v>
      </c>
      <c r="K28" s="653">
        <f t="shared" si="1"/>
        <v>0</v>
      </c>
      <c r="L28" s="1399"/>
      <c r="N28" s="29"/>
      <c r="O28" s="29"/>
      <c r="P28" s="18"/>
      <c r="Q28" s="18"/>
      <c r="R28" s="18"/>
      <c r="S28" s="26"/>
      <c r="T28" s="25"/>
      <c r="U28" s="25"/>
      <c r="V28" s="25"/>
      <c r="W28" s="25"/>
      <c r="X28" s="27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</row>
    <row r="29" spans="2:259" customFormat="1" x14ac:dyDescent="0.2">
      <c r="B29" s="1395"/>
      <c r="C29" s="650" t="s">
        <v>840</v>
      </c>
      <c r="D29" s="650"/>
      <c r="E29" s="650"/>
      <c r="F29" s="650"/>
      <c r="G29" s="651">
        <v>0</v>
      </c>
      <c r="H29" s="652">
        <f t="shared" si="0"/>
        <v>0</v>
      </c>
      <c r="I29" s="651">
        <v>0</v>
      </c>
      <c r="J29" s="651">
        <v>0</v>
      </c>
      <c r="K29" s="653">
        <f t="shared" si="1"/>
        <v>0</v>
      </c>
      <c r="L29" s="1399"/>
      <c r="N29" s="29"/>
      <c r="O29" s="29"/>
      <c r="P29" s="18"/>
      <c r="Q29" s="18"/>
      <c r="R29" s="18"/>
      <c r="S29" s="26"/>
      <c r="T29" s="25"/>
      <c r="U29" s="25"/>
      <c r="V29" s="25"/>
      <c r="W29" s="25"/>
      <c r="X29" s="27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</row>
    <row r="30" spans="2:259" customFormat="1" x14ac:dyDescent="0.2">
      <c r="B30" s="1395"/>
      <c r="C30" s="650"/>
      <c r="D30" s="650"/>
      <c r="E30" s="650"/>
      <c r="F30" s="650"/>
      <c r="G30" s="651">
        <v>0</v>
      </c>
      <c r="H30" s="652">
        <f t="shared" si="0"/>
        <v>0</v>
      </c>
      <c r="I30" s="651">
        <v>0</v>
      </c>
      <c r="J30" s="651">
        <v>0</v>
      </c>
      <c r="K30" s="653">
        <f t="shared" si="1"/>
        <v>0</v>
      </c>
      <c r="L30" s="1399"/>
      <c r="N30" s="29"/>
      <c r="O30" s="29"/>
      <c r="P30" s="18"/>
      <c r="Q30" s="18"/>
      <c r="R30" s="18"/>
      <c r="S30" s="26"/>
      <c r="T30" s="25"/>
      <c r="U30" s="25"/>
      <c r="V30" s="25"/>
      <c r="W30" s="25"/>
      <c r="X30" s="27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</row>
    <row r="31" spans="2:259" ht="13.5" thickBot="1" x14ac:dyDescent="0.25">
      <c r="B31" s="1397"/>
      <c r="C31" s="297"/>
      <c r="D31" s="297"/>
      <c r="E31" s="297"/>
      <c r="F31" s="297"/>
      <c r="G31" s="298">
        <v>0</v>
      </c>
      <c r="H31" s="340">
        <f t="shared" si="0"/>
        <v>0</v>
      </c>
      <c r="I31" s="298">
        <v>0</v>
      </c>
      <c r="J31" s="298">
        <v>0</v>
      </c>
      <c r="K31" s="523">
        <f t="shared" si="1"/>
        <v>0</v>
      </c>
      <c r="L31" s="1401"/>
      <c r="M31"/>
      <c r="N31" s="29"/>
      <c r="O31" s="29"/>
      <c r="P31" s="29"/>
      <c r="Q31" s="29"/>
      <c r="R31" s="29"/>
      <c r="S31" s="30"/>
      <c r="T31" s="29"/>
      <c r="U31" s="29"/>
      <c r="V31" s="29"/>
      <c r="W31" s="29"/>
      <c r="X31" s="31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  <c r="IU31" s="28"/>
      <c r="IV31" s="28"/>
      <c r="IW31" s="28"/>
      <c r="IX31" s="28"/>
      <c r="IY31" s="28"/>
    </row>
    <row r="32" spans="2:259" ht="12.75" customHeight="1" x14ac:dyDescent="0.2">
      <c r="B32" s="1394" t="str">
        <f>+'[1]B) Reajuste Tarifas y Ocupación'!A14</f>
        <v>Jardín Infantil Los Delfines</v>
      </c>
      <c r="C32" s="648" t="s">
        <v>312</v>
      </c>
      <c r="D32" s="648" t="s">
        <v>313</v>
      </c>
      <c r="E32" s="648" t="s">
        <v>286</v>
      </c>
      <c r="F32" s="648" t="s">
        <v>344</v>
      </c>
      <c r="G32" s="649">
        <v>11692260</v>
      </c>
      <c r="H32" s="570">
        <f t="shared" si="0"/>
        <v>12978408.600000001</v>
      </c>
      <c r="I32" s="649">
        <v>330540</v>
      </c>
      <c r="J32" s="649">
        <v>162394</v>
      </c>
      <c r="K32" s="522">
        <f t="shared" si="1"/>
        <v>13471342.600000001</v>
      </c>
      <c r="L32" s="1398">
        <f>SUM(K32:K52)</f>
        <v>128447014.80000001</v>
      </c>
      <c r="M32"/>
      <c r="N32" s="29"/>
      <c r="O32" s="29"/>
      <c r="P32" s="58"/>
      <c r="Q32" s="58"/>
      <c r="R32" s="58"/>
      <c r="T32" s="128"/>
      <c r="U32" s="128"/>
      <c r="V32" s="128"/>
      <c r="W32" s="128"/>
    </row>
    <row r="33" spans="2:22" ht="12.75" customHeight="1" x14ac:dyDescent="0.2">
      <c r="B33" s="1395"/>
      <c r="C33" s="650" t="s">
        <v>833</v>
      </c>
      <c r="D33" s="650" t="s">
        <v>834</v>
      </c>
      <c r="E33" s="650" t="s">
        <v>286</v>
      </c>
      <c r="F33" s="650" t="s">
        <v>344</v>
      </c>
      <c r="G33" s="651">
        <v>10989360</v>
      </c>
      <c r="H33" s="652">
        <f t="shared" si="0"/>
        <v>12198189.600000001</v>
      </c>
      <c r="I33" s="651">
        <v>330540</v>
      </c>
      <c r="J33" s="651">
        <v>162394</v>
      </c>
      <c r="K33" s="653">
        <f t="shared" si="1"/>
        <v>12691123.600000001</v>
      </c>
      <c r="L33" s="1399"/>
      <c r="M33"/>
      <c r="N33" s="29"/>
      <c r="O33" s="29"/>
      <c r="P33" s="18"/>
      <c r="Q33" s="18"/>
      <c r="R33" s="18"/>
      <c r="S33" s="32"/>
      <c r="T33" s="32"/>
      <c r="U33" s="33"/>
      <c r="V33" s="33"/>
    </row>
    <row r="34" spans="2:22" ht="12.75" customHeight="1" x14ac:dyDescent="0.2">
      <c r="B34" s="1395"/>
      <c r="C34" s="650" t="s">
        <v>314</v>
      </c>
      <c r="D34" s="650" t="s">
        <v>315</v>
      </c>
      <c r="E34" s="650" t="s">
        <v>286</v>
      </c>
      <c r="F34" s="650" t="s">
        <v>344</v>
      </c>
      <c r="G34" s="651">
        <v>11090712</v>
      </c>
      <c r="H34" s="652">
        <f t="shared" si="0"/>
        <v>12310690.32</v>
      </c>
      <c r="I34" s="651">
        <v>330540</v>
      </c>
      <c r="J34" s="651">
        <v>162394</v>
      </c>
      <c r="K34" s="653">
        <f t="shared" si="1"/>
        <v>12803624.32</v>
      </c>
      <c r="L34" s="1399"/>
      <c r="M34"/>
      <c r="N34" s="29"/>
      <c r="O34" s="29"/>
      <c r="P34" s="18"/>
      <c r="Q34" s="18"/>
      <c r="R34" s="18"/>
      <c r="S34" s="32"/>
      <c r="T34" s="32"/>
      <c r="U34" s="33"/>
      <c r="V34" s="33"/>
    </row>
    <row r="35" spans="2:22" ht="12.75" customHeight="1" x14ac:dyDescent="0.2">
      <c r="B35" s="1395"/>
      <c r="C35" s="650" t="s">
        <v>305</v>
      </c>
      <c r="D35" s="650" t="s">
        <v>316</v>
      </c>
      <c r="E35" s="650" t="s">
        <v>291</v>
      </c>
      <c r="F35" s="650" t="s">
        <v>344</v>
      </c>
      <c r="G35" s="651">
        <v>8259300</v>
      </c>
      <c r="H35" s="652">
        <f t="shared" si="0"/>
        <v>9167823</v>
      </c>
      <c r="I35" s="651">
        <v>330540</v>
      </c>
      <c r="J35" s="651">
        <v>166178</v>
      </c>
      <c r="K35" s="653">
        <f t="shared" si="1"/>
        <v>9664541</v>
      </c>
      <c r="L35" s="1399"/>
      <c r="M35"/>
      <c r="N35" s="29"/>
      <c r="O35" s="29"/>
      <c r="P35" s="18"/>
      <c r="Q35" s="18"/>
      <c r="R35" s="18"/>
      <c r="S35" s="32"/>
      <c r="T35" s="32"/>
      <c r="U35" s="33"/>
      <c r="V35" s="33"/>
    </row>
    <row r="36" spans="2:22" ht="12.75" customHeight="1" x14ac:dyDescent="0.2">
      <c r="B36" s="1395"/>
      <c r="C36" s="650" t="s">
        <v>317</v>
      </c>
      <c r="D36" s="650" t="s">
        <v>318</v>
      </c>
      <c r="E36" s="650" t="s">
        <v>291</v>
      </c>
      <c r="F36" s="650" t="s">
        <v>344</v>
      </c>
      <c r="G36" s="651">
        <v>9200628</v>
      </c>
      <c r="H36" s="652">
        <f t="shared" si="0"/>
        <v>10212697.08</v>
      </c>
      <c r="I36" s="651">
        <v>330540</v>
      </c>
      <c r="J36" s="651">
        <v>166178</v>
      </c>
      <c r="K36" s="653">
        <f t="shared" si="1"/>
        <v>10709415.08</v>
      </c>
      <c r="L36" s="1399"/>
      <c r="M36"/>
      <c r="N36" s="29"/>
      <c r="O36" s="29"/>
      <c r="P36" s="18"/>
      <c r="Q36" s="18"/>
      <c r="R36" s="18"/>
      <c r="S36" s="32"/>
      <c r="T36" s="32"/>
      <c r="U36" s="33"/>
      <c r="V36" s="33"/>
    </row>
    <row r="37" spans="2:22" ht="12.75" customHeight="1" x14ac:dyDescent="0.2">
      <c r="B37" s="1395"/>
      <c r="C37" s="650" t="s">
        <v>319</v>
      </c>
      <c r="D37" s="650" t="s">
        <v>320</v>
      </c>
      <c r="E37" s="650" t="s">
        <v>291</v>
      </c>
      <c r="F37" s="650" t="s">
        <v>344</v>
      </c>
      <c r="G37" s="651">
        <v>8389680</v>
      </c>
      <c r="H37" s="652">
        <f t="shared" si="0"/>
        <v>9312544.8000000007</v>
      </c>
      <c r="I37" s="651">
        <v>330540</v>
      </c>
      <c r="J37" s="651">
        <v>166178</v>
      </c>
      <c r="K37" s="653">
        <f t="shared" si="1"/>
        <v>9809262.8000000007</v>
      </c>
      <c r="L37" s="1399"/>
      <c r="M37"/>
      <c r="N37" s="29"/>
      <c r="O37" s="29"/>
      <c r="P37" s="18"/>
      <c r="Q37" s="18"/>
      <c r="R37" s="18"/>
      <c r="S37" s="32"/>
      <c r="T37" s="32"/>
      <c r="U37" s="33"/>
      <c r="V37" s="33"/>
    </row>
    <row r="38" spans="2:22" ht="12.75" customHeight="1" x14ac:dyDescent="0.2">
      <c r="B38" s="1395"/>
      <c r="C38" s="650" t="s">
        <v>321</v>
      </c>
      <c r="D38" s="650" t="s">
        <v>295</v>
      </c>
      <c r="E38" s="650" t="s">
        <v>291</v>
      </c>
      <c r="F38" s="650" t="s">
        <v>344</v>
      </c>
      <c r="G38" s="651">
        <v>8718852</v>
      </c>
      <c r="H38" s="652">
        <f t="shared" si="0"/>
        <v>9677925.7200000007</v>
      </c>
      <c r="I38" s="651">
        <v>330540</v>
      </c>
      <c r="J38" s="651">
        <v>166178</v>
      </c>
      <c r="K38" s="653">
        <f t="shared" si="1"/>
        <v>10174643.720000001</v>
      </c>
      <c r="L38" s="1399"/>
      <c r="M38"/>
      <c r="N38" s="29"/>
      <c r="O38" s="29"/>
      <c r="P38" s="18"/>
      <c r="Q38" s="18"/>
      <c r="R38" s="18"/>
      <c r="S38" s="32"/>
      <c r="T38" s="32"/>
      <c r="U38" s="33"/>
      <c r="V38" s="33"/>
    </row>
    <row r="39" spans="2:22" ht="12.75" customHeight="1" x14ac:dyDescent="0.2">
      <c r="B39" s="1395"/>
      <c r="C39" s="650" t="s">
        <v>322</v>
      </c>
      <c r="D39" s="650" t="s">
        <v>323</v>
      </c>
      <c r="E39" s="650" t="s">
        <v>301</v>
      </c>
      <c r="F39" s="650" t="s">
        <v>344</v>
      </c>
      <c r="G39" s="651">
        <v>2872920</v>
      </c>
      <c r="H39" s="652">
        <f t="shared" si="0"/>
        <v>3188941.2</v>
      </c>
      <c r="I39" s="651">
        <v>330540</v>
      </c>
      <c r="J39" s="651">
        <v>166178</v>
      </c>
      <c r="K39" s="653">
        <f t="shared" si="1"/>
        <v>3685659.2</v>
      </c>
      <c r="L39" s="1399"/>
      <c r="M39" t="s">
        <v>856</v>
      </c>
      <c r="N39" s="29"/>
      <c r="O39" s="29"/>
      <c r="P39" s="18"/>
      <c r="Q39" s="18"/>
      <c r="R39" s="18"/>
      <c r="S39" s="32"/>
      <c r="T39" s="32"/>
      <c r="U39" s="33"/>
      <c r="V39" s="33"/>
    </row>
    <row r="40" spans="2:22" ht="12.75" customHeight="1" x14ac:dyDescent="0.2">
      <c r="B40" s="1395"/>
      <c r="C40" s="650" t="s">
        <v>324</v>
      </c>
      <c r="D40" s="650" t="s">
        <v>325</v>
      </c>
      <c r="E40" s="650" t="s">
        <v>304</v>
      </c>
      <c r="F40" s="650" t="s">
        <v>344</v>
      </c>
      <c r="G40" s="651">
        <v>10769292</v>
      </c>
      <c r="H40" s="652">
        <f t="shared" si="0"/>
        <v>11953914.120000001</v>
      </c>
      <c r="I40" s="651">
        <v>330540</v>
      </c>
      <c r="J40" s="651">
        <v>166178</v>
      </c>
      <c r="K40" s="653">
        <f t="shared" si="1"/>
        <v>12450632.120000001</v>
      </c>
      <c r="L40" s="1399"/>
      <c r="M40"/>
      <c r="N40" s="29"/>
      <c r="O40" s="29"/>
      <c r="P40" s="18"/>
      <c r="Q40" s="18"/>
      <c r="R40" s="18"/>
      <c r="S40" s="32"/>
      <c r="T40" s="32"/>
      <c r="U40" s="33"/>
      <c r="V40" s="33"/>
    </row>
    <row r="41" spans="2:22" ht="12.75" customHeight="1" x14ac:dyDescent="0.2">
      <c r="B41" s="1395"/>
      <c r="C41" s="650" t="s">
        <v>326</v>
      </c>
      <c r="D41" s="650" t="s">
        <v>327</v>
      </c>
      <c r="E41" s="650" t="s">
        <v>304</v>
      </c>
      <c r="F41" s="650" t="s">
        <v>344</v>
      </c>
      <c r="G41" s="651">
        <v>6277500</v>
      </c>
      <c r="H41" s="652">
        <f t="shared" si="0"/>
        <v>6968025.0000000009</v>
      </c>
      <c r="I41" s="651">
        <v>330540</v>
      </c>
      <c r="J41" s="651">
        <v>166178</v>
      </c>
      <c r="K41" s="653">
        <f t="shared" si="1"/>
        <v>7464743.0000000009</v>
      </c>
      <c r="L41" s="1399"/>
      <c r="M41"/>
      <c r="N41" s="29"/>
      <c r="O41" s="29"/>
      <c r="P41" s="18"/>
      <c r="Q41" s="18"/>
      <c r="R41" s="18"/>
      <c r="S41" s="32"/>
      <c r="T41" s="32"/>
      <c r="U41" s="33"/>
      <c r="V41" s="33"/>
    </row>
    <row r="42" spans="2:22" ht="12.75" customHeight="1" x14ac:dyDescent="0.2">
      <c r="B42" s="1395"/>
      <c r="C42" s="1122" t="s">
        <v>267</v>
      </c>
      <c r="D42" s="1122" t="s">
        <v>328</v>
      </c>
      <c r="E42" s="1122" t="s">
        <v>304</v>
      </c>
      <c r="F42" s="1122" t="s">
        <v>344</v>
      </c>
      <c r="G42" s="651"/>
      <c r="H42" s="652">
        <f t="shared" si="0"/>
        <v>0</v>
      </c>
      <c r="I42" s="651"/>
      <c r="J42" s="651"/>
      <c r="K42" s="653">
        <f t="shared" si="1"/>
        <v>0</v>
      </c>
      <c r="L42" s="1399"/>
      <c r="M42" t="s">
        <v>854</v>
      </c>
      <c r="N42" s="29"/>
      <c r="O42" s="29"/>
      <c r="P42" s="18"/>
      <c r="Q42" s="18"/>
      <c r="R42" s="18"/>
      <c r="S42" s="32"/>
      <c r="T42" s="32"/>
      <c r="U42" s="33"/>
      <c r="V42" s="33"/>
    </row>
    <row r="43" spans="2:22" ht="12.75" customHeight="1" x14ac:dyDescent="0.2">
      <c r="B43" s="1395"/>
      <c r="C43" s="650" t="s">
        <v>329</v>
      </c>
      <c r="D43" s="650" t="s">
        <v>303</v>
      </c>
      <c r="E43" s="650" t="s">
        <v>309</v>
      </c>
      <c r="F43" s="650" t="s">
        <v>344</v>
      </c>
      <c r="G43" s="651">
        <v>6850176</v>
      </c>
      <c r="H43" s="652">
        <f t="shared" si="0"/>
        <v>7603695.3600000003</v>
      </c>
      <c r="I43" s="651">
        <v>330540</v>
      </c>
      <c r="J43" s="651">
        <v>165490</v>
      </c>
      <c r="K43" s="653">
        <f t="shared" si="1"/>
        <v>8099725.3600000003</v>
      </c>
      <c r="L43" s="1399"/>
      <c r="M43"/>
      <c r="N43" s="29"/>
      <c r="O43" s="29"/>
      <c r="P43" s="18"/>
      <c r="Q43" s="18"/>
      <c r="R43" s="18"/>
      <c r="S43" s="32"/>
      <c r="T43" s="32"/>
      <c r="U43" s="33"/>
      <c r="V43" s="33"/>
    </row>
    <row r="44" spans="2:22" ht="12.75" customHeight="1" x14ac:dyDescent="0.2">
      <c r="B44" s="1395"/>
      <c r="C44" s="650" t="s">
        <v>297</v>
      </c>
      <c r="D44" s="650" t="s">
        <v>330</v>
      </c>
      <c r="E44" s="650" t="s">
        <v>309</v>
      </c>
      <c r="F44" s="650" t="s">
        <v>344</v>
      </c>
      <c r="G44" s="651">
        <v>6542100</v>
      </c>
      <c r="H44" s="652">
        <f t="shared" si="0"/>
        <v>7261731.0000000009</v>
      </c>
      <c r="I44" s="651">
        <v>330540</v>
      </c>
      <c r="J44" s="651">
        <v>165490</v>
      </c>
      <c r="K44" s="653">
        <f t="shared" si="1"/>
        <v>7757761.0000000009</v>
      </c>
      <c r="L44" s="1399"/>
      <c r="M44"/>
      <c r="N44" s="29"/>
      <c r="O44" s="29"/>
      <c r="P44" s="18"/>
      <c r="Q44" s="18"/>
      <c r="R44" s="18"/>
      <c r="S44" s="32"/>
      <c r="T44" s="32"/>
      <c r="U44" s="33"/>
      <c r="V44" s="33"/>
    </row>
    <row r="45" spans="2:22" ht="12.75" customHeight="1" x14ac:dyDescent="0.2">
      <c r="B45" s="1395"/>
      <c r="C45" s="650" t="s">
        <v>267</v>
      </c>
      <c r="D45" s="650" t="s">
        <v>328</v>
      </c>
      <c r="E45" s="650" t="s">
        <v>291</v>
      </c>
      <c r="F45" s="650" t="s">
        <v>344</v>
      </c>
      <c r="G45" s="651">
        <v>8259300</v>
      </c>
      <c r="H45" s="652">
        <f t="shared" si="0"/>
        <v>9167823</v>
      </c>
      <c r="I45" s="651">
        <v>330540</v>
      </c>
      <c r="J45" s="651">
        <v>166178</v>
      </c>
      <c r="K45" s="653">
        <f t="shared" si="1"/>
        <v>9664541</v>
      </c>
      <c r="L45" s="1399"/>
      <c r="M45"/>
      <c r="N45" s="29"/>
      <c r="O45" s="29"/>
      <c r="P45" s="18"/>
      <c r="Q45" s="18"/>
      <c r="R45" s="18"/>
      <c r="S45" s="32"/>
      <c r="T45" s="32"/>
      <c r="U45" s="33"/>
      <c r="V45" s="33"/>
    </row>
    <row r="46" spans="2:22" ht="12.75" customHeight="1" x14ac:dyDescent="0.2">
      <c r="B46" s="1395"/>
      <c r="C46" s="650"/>
      <c r="D46" s="650"/>
      <c r="E46" s="650"/>
      <c r="F46" s="650"/>
      <c r="G46" s="651">
        <v>0</v>
      </c>
      <c r="H46" s="652">
        <f t="shared" si="0"/>
        <v>0</v>
      </c>
      <c r="I46" s="651">
        <v>0</v>
      </c>
      <c r="J46" s="651">
        <v>0</v>
      </c>
      <c r="K46" s="653">
        <f t="shared" si="1"/>
        <v>0</v>
      </c>
      <c r="L46" s="1399"/>
      <c r="M46"/>
      <c r="N46" s="29"/>
      <c r="O46" s="29"/>
      <c r="P46" s="18"/>
      <c r="Q46" s="18"/>
      <c r="R46" s="18"/>
      <c r="S46" s="32"/>
      <c r="T46" s="32"/>
      <c r="U46" s="33"/>
      <c r="V46" s="33"/>
    </row>
    <row r="47" spans="2:22" ht="12.75" customHeight="1" x14ac:dyDescent="0.2">
      <c r="B47" s="1395"/>
      <c r="C47" s="650" t="s">
        <v>841</v>
      </c>
      <c r="D47" s="650"/>
      <c r="E47" s="650"/>
      <c r="F47" s="650"/>
      <c r="G47" s="651">
        <v>0</v>
      </c>
      <c r="H47" s="652">
        <f t="shared" si="0"/>
        <v>0</v>
      </c>
      <c r="I47" s="651">
        <v>0</v>
      </c>
      <c r="J47" s="651">
        <v>0</v>
      </c>
      <c r="K47" s="653">
        <f t="shared" si="1"/>
        <v>0</v>
      </c>
      <c r="L47" s="1399"/>
      <c r="M47"/>
      <c r="N47" s="29"/>
      <c r="O47" s="29"/>
      <c r="P47" s="18"/>
      <c r="Q47" s="18"/>
      <c r="R47" s="18"/>
      <c r="S47" s="32"/>
      <c r="T47" s="32"/>
      <c r="U47" s="33"/>
      <c r="V47" s="33"/>
    </row>
    <row r="48" spans="2:22" ht="12.75" customHeight="1" x14ac:dyDescent="0.2">
      <c r="B48" s="1395"/>
      <c r="C48" s="650" t="s">
        <v>842</v>
      </c>
      <c r="D48" s="650"/>
      <c r="E48" s="650"/>
      <c r="F48" s="650"/>
      <c r="G48" s="651">
        <v>0</v>
      </c>
      <c r="H48" s="652">
        <f t="shared" si="0"/>
        <v>0</v>
      </c>
      <c r="I48" s="651">
        <v>0</v>
      </c>
      <c r="J48" s="651">
        <v>0</v>
      </c>
      <c r="K48" s="653">
        <f t="shared" si="1"/>
        <v>0</v>
      </c>
      <c r="L48" s="1399"/>
      <c r="M48"/>
      <c r="N48" s="29"/>
      <c r="O48" s="29"/>
      <c r="P48" s="18"/>
      <c r="Q48" s="18"/>
      <c r="R48" s="18"/>
      <c r="S48" s="32"/>
      <c r="T48" s="32"/>
      <c r="U48" s="33"/>
      <c r="V48" s="33"/>
    </row>
    <row r="49" spans="2:23" ht="12.75" customHeight="1" x14ac:dyDescent="0.2">
      <c r="B49" s="1395"/>
      <c r="C49" s="650" t="s">
        <v>843</v>
      </c>
      <c r="D49" s="650"/>
      <c r="E49" s="650"/>
      <c r="F49" s="650"/>
      <c r="G49" s="651">
        <v>0</v>
      </c>
      <c r="H49" s="652">
        <f t="shared" si="0"/>
        <v>0</v>
      </c>
      <c r="I49" s="651">
        <v>0</v>
      </c>
      <c r="J49" s="651">
        <v>0</v>
      </c>
      <c r="K49" s="653">
        <f t="shared" si="1"/>
        <v>0</v>
      </c>
      <c r="L49" s="1399"/>
      <c r="M49"/>
      <c r="N49" s="29"/>
      <c r="O49" s="29"/>
      <c r="P49" s="18"/>
      <c r="Q49" s="18"/>
      <c r="R49" s="18"/>
      <c r="S49" s="32"/>
      <c r="T49" s="32"/>
      <c r="U49" s="33"/>
      <c r="V49" s="33"/>
    </row>
    <row r="50" spans="2:23" ht="12.75" customHeight="1" x14ac:dyDescent="0.2">
      <c r="B50" s="1396"/>
      <c r="C50" s="1124" t="s">
        <v>844</v>
      </c>
      <c r="D50" s="1124"/>
      <c r="E50" s="1124"/>
      <c r="F50" s="1124"/>
      <c r="G50" s="1125"/>
      <c r="H50" s="1126"/>
      <c r="I50" s="1125"/>
      <c r="J50" s="1125"/>
      <c r="K50" s="1127"/>
      <c r="L50" s="1400"/>
      <c r="M50"/>
      <c r="N50" s="29"/>
      <c r="O50" s="29"/>
      <c r="P50" s="18"/>
      <c r="Q50" s="18"/>
      <c r="R50" s="18"/>
      <c r="S50" s="32"/>
      <c r="T50" s="32"/>
      <c r="U50" s="33"/>
      <c r="V50" s="33"/>
    </row>
    <row r="51" spans="2:23" ht="12.75" customHeight="1" x14ac:dyDescent="0.2">
      <c r="B51" s="1396"/>
      <c r="C51" s="1124" t="s">
        <v>845</v>
      </c>
      <c r="D51" s="1124"/>
      <c r="E51" s="1124"/>
      <c r="F51" s="1124"/>
      <c r="G51" s="1125"/>
      <c r="H51" s="1126"/>
      <c r="I51" s="1125"/>
      <c r="J51" s="1125"/>
      <c r="K51" s="1127"/>
      <c r="L51" s="1400"/>
      <c r="M51"/>
      <c r="N51" s="29"/>
      <c r="O51" s="29"/>
      <c r="P51" s="18"/>
      <c r="Q51" s="18"/>
      <c r="R51" s="18"/>
      <c r="S51" s="32"/>
      <c r="T51" s="32"/>
      <c r="U51" s="33"/>
      <c r="V51" s="33"/>
    </row>
    <row r="52" spans="2:23" ht="12.75" customHeight="1" thickBot="1" x14ac:dyDescent="0.25">
      <c r="B52" s="1397"/>
      <c r="C52" s="297"/>
      <c r="D52" s="297"/>
      <c r="E52" s="297"/>
      <c r="F52" s="297"/>
      <c r="G52" s="298">
        <v>0</v>
      </c>
      <c r="H52" s="340">
        <f t="shared" si="0"/>
        <v>0</v>
      </c>
      <c r="I52" s="298">
        <v>0</v>
      </c>
      <c r="J52" s="298">
        <v>0</v>
      </c>
      <c r="K52" s="523">
        <f t="shared" si="1"/>
        <v>0</v>
      </c>
      <c r="L52" s="1401"/>
      <c r="M52"/>
      <c r="N52" s="29"/>
      <c r="O52" s="29"/>
      <c r="P52" s="29"/>
      <c r="Q52" s="29"/>
      <c r="R52" s="29"/>
      <c r="S52" s="32"/>
      <c r="T52" s="32"/>
      <c r="U52" s="33"/>
      <c r="V52" s="33"/>
    </row>
    <row r="53" spans="2:23" ht="12.75" customHeight="1" x14ac:dyDescent="0.2">
      <c r="B53" s="1394" t="str">
        <f>+'[1]B) Reajuste Tarifas y Ocupación'!A16</f>
        <v>Jardín Infantil Pecesitos de Colores</v>
      </c>
      <c r="C53" s="648"/>
      <c r="D53" s="648"/>
      <c r="E53" s="648"/>
      <c r="F53" s="648" t="s">
        <v>343</v>
      </c>
      <c r="G53" s="649"/>
      <c r="H53" s="570">
        <f>+G53*(1+$L$7)</f>
        <v>0</v>
      </c>
      <c r="I53" s="649"/>
      <c r="J53" s="649"/>
      <c r="K53" s="522">
        <f t="shared" si="1"/>
        <v>0</v>
      </c>
      <c r="L53" s="1405">
        <f>SUM(K53:K58)</f>
        <v>0</v>
      </c>
      <c r="M53"/>
      <c r="N53" s="29"/>
      <c r="O53" s="29"/>
      <c r="P53" s="58"/>
      <c r="Q53" s="58"/>
      <c r="R53" s="58"/>
      <c r="T53" s="128"/>
      <c r="U53" s="128"/>
      <c r="V53" s="128"/>
      <c r="W53" s="128"/>
    </row>
    <row r="54" spans="2:23" ht="12.75" customHeight="1" x14ac:dyDescent="0.2">
      <c r="B54" s="1395"/>
      <c r="C54" s="650" t="s">
        <v>846</v>
      </c>
      <c r="D54" s="650"/>
      <c r="E54" s="650"/>
      <c r="F54" s="650"/>
      <c r="G54" s="651">
        <v>0</v>
      </c>
      <c r="H54" s="652">
        <f t="shared" ref="H54:H70" si="2">+G54*(1+$L$7)</f>
        <v>0</v>
      </c>
      <c r="I54" s="651">
        <v>0</v>
      </c>
      <c r="J54" s="651">
        <v>0</v>
      </c>
      <c r="K54" s="653">
        <f t="shared" si="1"/>
        <v>0</v>
      </c>
      <c r="L54" s="1406"/>
      <c r="M54"/>
      <c r="N54" s="29"/>
      <c r="O54" s="29"/>
      <c r="P54" s="18"/>
      <c r="Q54" s="18"/>
      <c r="R54" s="18"/>
      <c r="S54" s="32"/>
      <c r="T54" s="32"/>
      <c r="U54" s="33"/>
      <c r="V54" s="33"/>
    </row>
    <row r="55" spans="2:23" ht="12.75" customHeight="1" x14ac:dyDescent="0.2">
      <c r="B55" s="1395"/>
      <c r="C55" s="650" t="s">
        <v>847</v>
      </c>
      <c r="D55" s="650"/>
      <c r="E55" s="650"/>
      <c r="F55" s="650"/>
      <c r="G55" s="651">
        <v>0</v>
      </c>
      <c r="H55" s="652">
        <f t="shared" si="2"/>
        <v>0</v>
      </c>
      <c r="I55" s="651">
        <v>0</v>
      </c>
      <c r="J55" s="651">
        <v>0</v>
      </c>
      <c r="K55" s="653">
        <f t="shared" si="1"/>
        <v>0</v>
      </c>
      <c r="L55" s="1406"/>
      <c r="M55"/>
      <c r="N55" s="29"/>
      <c r="O55" s="29"/>
      <c r="P55" s="18"/>
      <c r="Q55" s="18"/>
      <c r="R55" s="18"/>
      <c r="S55" s="32"/>
      <c r="T55" s="32"/>
      <c r="U55" s="33"/>
      <c r="V55" s="33"/>
    </row>
    <row r="56" spans="2:23" ht="12.75" customHeight="1" x14ac:dyDescent="0.2">
      <c r="B56" s="1395"/>
      <c r="C56" s="650"/>
      <c r="D56" s="650"/>
      <c r="E56" s="650"/>
      <c r="F56" s="650"/>
      <c r="G56" s="651">
        <v>0</v>
      </c>
      <c r="H56" s="652">
        <f t="shared" si="2"/>
        <v>0</v>
      </c>
      <c r="I56" s="651">
        <v>0</v>
      </c>
      <c r="J56" s="651">
        <v>0</v>
      </c>
      <c r="K56" s="653">
        <f t="shared" si="1"/>
        <v>0</v>
      </c>
      <c r="L56" s="1406"/>
      <c r="M56"/>
      <c r="N56" s="29"/>
      <c r="O56" s="29"/>
      <c r="P56" s="18"/>
      <c r="Q56" s="18"/>
      <c r="R56" s="18"/>
      <c r="S56" s="32"/>
      <c r="T56" s="32"/>
      <c r="U56" s="33"/>
      <c r="V56" s="33"/>
    </row>
    <row r="57" spans="2:23" ht="12.75" customHeight="1" x14ac:dyDescent="0.2">
      <c r="B57" s="1395"/>
      <c r="C57" s="650"/>
      <c r="D57" s="650"/>
      <c r="E57" s="650"/>
      <c r="F57" s="650"/>
      <c r="G57" s="651">
        <v>0</v>
      </c>
      <c r="H57" s="652">
        <f t="shared" si="2"/>
        <v>0</v>
      </c>
      <c r="I57" s="651">
        <v>0</v>
      </c>
      <c r="J57" s="651">
        <v>0</v>
      </c>
      <c r="K57" s="653">
        <f t="shared" si="1"/>
        <v>0</v>
      </c>
      <c r="L57" s="1406"/>
      <c r="M57"/>
      <c r="N57" s="29"/>
      <c r="O57" s="29"/>
      <c r="P57" s="18"/>
      <c r="Q57" s="18"/>
      <c r="R57" s="18"/>
      <c r="S57" s="32"/>
      <c r="T57" s="32"/>
      <c r="U57" s="33"/>
      <c r="V57" s="33"/>
    </row>
    <row r="58" spans="2:23" ht="12.75" customHeight="1" thickBot="1" x14ac:dyDescent="0.25">
      <c r="B58" s="1397"/>
      <c r="C58" s="297"/>
      <c r="D58" s="297"/>
      <c r="E58" s="297"/>
      <c r="F58" s="297"/>
      <c r="G58" s="298">
        <v>0</v>
      </c>
      <c r="H58" s="340">
        <f t="shared" si="2"/>
        <v>0</v>
      </c>
      <c r="I58" s="298">
        <v>0</v>
      </c>
      <c r="J58" s="298">
        <v>0</v>
      </c>
      <c r="K58" s="523">
        <f t="shared" si="1"/>
        <v>0</v>
      </c>
      <c r="L58" s="1407"/>
      <c r="M58"/>
      <c r="N58" s="29"/>
      <c r="O58" s="29"/>
      <c r="P58" s="18"/>
      <c r="Q58" s="18"/>
      <c r="R58" s="18"/>
      <c r="S58" s="32"/>
      <c r="T58" s="32"/>
      <c r="U58" s="33"/>
      <c r="V58" s="33"/>
    </row>
    <row r="59" spans="2:23" x14ac:dyDescent="0.2">
      <c r="B59" s="1394" t="str">
        <f>+'[1]B) Reajuste Tarifas y Ocupación'!A17</f>
        <v>Jardín Infantil Caracolito de Mar</v>
      </c>
      <c r="C59" s="648" t="s">
        <v>331</v>
      </c>
      <c r="D59" s="648"/>
      <c r="E59" s="648" t="s">
        <v>337</v>
      </c>
      <c r="F59" s="648" t="s">
        <v>342</v>
      </c>
      <c r="G59" s="649">
        <v>0</v>
      </c>
      <c r="H59" s="570">
        <f t="shared" si="2"/>
        <v>0</v>
      </c>
      <c r="I59" s="649">
        <v>0</v>
      </c>
      <c r="J59" s="649">
        <v>0</v>
      </c>
      <c r="K59" s="522">
        <f t="shared" si="1"/>
        <v>0</v>
      </c>
      <c r="L59" s="1405">
        <f>SUM(K59:K70)</f>
        <v>0</v>
      </c>
      <c r="M59"/>
      <c r="N59" s="29"/>
      <c r="O59" s="29"/>
      <c r="P59" s="58"/>
      <c r="Q59" s="58"/>
      <c r="R59" s="58"/>
      <c r="T59" s="128"/>
      <c r="U59" s="128"/>
      <c r="V59" s="128"/>
      <c r="W59" s="128"/>
    </row>
    <row r="60" spans="2:23" x14ac:dyDescent="0.2">
      <c r="B60" s="1395"/>
      <c r="C60" s="650" t="s">
        <v>332</v>
      </c>
      <c r="D60" s="650"/>
      <c r="E60" s="650" t="s">
        <v>286</v>
      </c>
      <c r="F60" s="650" t="s">
        <v>342</v>
      </c>
      <c r="G60" s="651">
        <v>0</v>
      </c>
      <c r="H60" s="652">
        <f t="shared" si="2"/>
        <v>0</v>
      </c>
      <c r="I60" s="651">
        <v>0</v>
      </c>
      <c r="J60" s="651">
        <v>0</v>
      </c>
      <c r="K60" s="653">
        <f t="shared" si="1"/>
        <v>0</v>
      </c>
      <c r="L60" s="1406"/>
      <c r="M60"/>
      <c r="N60" s="29"/>
      <c r="O60" s="29"/>
      <c r="P60" s="18"/>
      <c r="Q60" s="18"/>
      <c r="R60" s="18"/>
      <c r="S60" s="32"/>
      <c r="T60" s="32"/>
      <c r="U60" s="33"/>
      <c r="V60" s="33"/>
    </row>
    <row r="61" spans="2:23" x14ac:dyDescent="0.2">
      <c r="B61" s="1395"/>
      <c r="C61" s="650" t="s">
        <v>333</v>
      </c>
      <c r="D61" s="650"/>
      <c r="E61" s="650" t="s">
        <v>286</v>
      </c>
      <c r="F61" s="650" t="s">
        <v>342</v>
      </c>
      <c r="G61" s="651">
        <v>0</v>
      </c>
      <c r="H61" s="652">
        <f t="shared" si="2"/>
        <v>0</v>
      </c>
      <c r="I61" s="651">
        <v>0</v>
      </c>
      <c r="J61" s="651">
        <v>0</v>
      </c>
      <c r="K61" s="653">
        <f t="shared" si="1"/>
        <v>0</v>
      </c>
      <c r="L61" s="1406"/>
      <c r="M61"/>
      <c r="N61" s="29"/>
      <c r="O61" s="29"/>
      <c r="P61" s="18"/>
      <c r="Q61" s="18"/>
      <c r="R61" s="18"/>
      <c r="S61" s="32"/>
      <c r="T61" s="32"/>
      <c r="U61" s="33"/>
      <c r="V61" s="33"/>
    </row>
    <row r="62" spans="2:23" x14ac:dyDescent="0.2">
      <c r="B62" s="1395"/>
      <c r="C62" s="650" t="s">
        <v>334</v>
      </c>
      <c r="D62" s="650"/>
      <c r="E62" s="650" t="s">
        <v>291</v>
      </c>
      <c r="F62" s="650" t="s">
        <v>342</v>
      </c>
      <c r="G62" s="651">
        <v>0</v>
      </c>
      <c r="H62" s="652">
        <f t="shared" si="2"/>
        <v>0</v>
      </c>
      <c r="I62" s="651">
        <v>0</v>
      </c>
      <c r="J62" s="651">
        <v>0</v>
      </c>
      <c r="K62" s="653">
        <f t="shared" si="1"/>
        <v>0</v>
      </c>
      <c r="L62" s="1406"/>
      <c r="M62"/>
      <c r="N62" s="29"/>
      <c r="O62" s="29"/>
      <c r="P62" s="18"/>
      <c r="Q62" s="18"/>
      <c r="R62" s="18"/>
      <c r="S62" s="32"/>
      <c r="T62" s="32"/>
      <c r="U62" s="33"/>
      <c r="V62" s="33"/>
    </row>
    <row r="63" spans="2:23" x14ac:dyDescent="0.2">
      <c r="B63" s="1395"/>
      <c r="C63" s="650" t="s">
        <v>335</v>
      </c>
      <c r="D63" s="650"/>
      <c r="E63" s="650" t="s">
        <v>291</v>
      </c>
      <c r="F63" s="650" t="s">
        <v>342</v>
      </c>
      <c r="G63" s="651">
        <v>0</v>
      </c>
      <c r="H63" s="652">
        <f t="shared" si="2"/>
        <v>0</v>
      </c>
      <c r="I63" s="651">
        <v>0</v>
      </c>
      <c r="J63" s="651">
        <v>0</v>
      </c>
      <c r="K63" s="653">
        <f t="shared" si="1"/>
        <v>0</v>
      </c>
      <c r="L63" s="1406"/>
      <c r="M63" t="s">
        <v>851</v>
      </c>
      <c r="N63" s="29"/>
      <c r="O63" s="29"/>
      <c r="P63" s="18"/>
      <c r="Q63" s="18"/>
      <c r="R63" s="18"/>
      <c r="S63" s="32"/>
      <c r="T63" s="32"/>
      <c r="U63" s="33"/>
      <c r="V63" s="33"/>
    </row>
    <row r="64" spans="2:23" x14ac:dyDescent="0.2">
      <c r="B64" s="1395"/>
      <c r="C64" s="650" t="s">
        <v>336</v>
      </c>
      <c r="D64" s="650"/>
      <c r="E64" s="650" t="s">
        <v>291</v>
      </c>
      <c r="F64" s="650" t="s">
        <v>342</v>
      </c>
      <c r="G64" s="651">
        <v>0</v>
      </c>
      <c r="H64" s="652">
        <f t="shared" si="2"/>
        <v>0</v>
      </c>
      <c r="I64" s="651">
        <v>0</v>
      </c>
      <c r="J64" s="651">
        <v>0</v>
      </c>
      <c r="K64" s="653">
        <f t="shared" si="1"/>
        <v>0</v>
      </c>
      <c r="L64" s="1406"/>
      <c r="M64" t="s">
        <v>857</v>
      </c>
      <c r="N64" s="29"/>
      <c r="O64" s="29"/>
      <c r="P64" s="18"/>
      <c r="Q64" s="18"/>
      <c r="R64" s="18"/>
      <c r="S64" s="32"/>
      <c r="T64" s="32"/>
      <c r="U64" s="33"/>
      <c r="V64" s="33"/>
    </row>
    <row r="65" spans="2:24" x14ac:dyDescent="0.2">
      <c r="B65" s="1395"/>
      <c r="C65" s="650" t="s">
        <v>338</v>
      </c>
      <c r="D65" s="650"/>
      <c r="E65" s="650" t="s">
        <v>304</v>
      </c>
      <c r="F65" s="650" t="s">
        <v>342</v>
      </c>
      <c r="G65" s="651">
        <v>0</v>
      </c>
      <c r="H65" s="652">
        <f t="shared" si="2"/>
        <v>0</v>
      </c>
      <c r="I65" s="651">
        <v>0</v>
      </c>
      <c r="J65" s="651">
        <v>0</v>
      </c>
      <c r="K65" s="653">
        <f t="shared" si="1"/>
        <v>0</v>
      </c>
      <c r="L65" s="1406"/>
      <c r="M65"/>
      <c r="N65" s="29"/>
      <c r="O65" s="29"/>
      <c r="P65" s="18"/>
      <c r="Q65" s="18"/>
      <c r="R65" s="18"/>
      <c r="S65" s="32"/>
      <c r="T65" s="32"/>
      <c r="U65" s="33"/>
      <c r="V65" s="33"/>
    </row>
    <row r="66" spans="2:24" x14ac:dyDescent="0.2">
      <c r="B66" s="1395"/>
      <c r="C66" s="650" t="s">
        <v>339</v>
      </c>
      <c r="D66" s="650"/>
      <c r="E66" s="650" t="s">
        <v>309</v>
      </c>
      <c r="F66" s="650" t="s">
        <v>342</v>
      </c>
      <c r="G66" s="651">
        <v>0</v>
      </c>
      <c r="H66" s="652">
        <f t="shared" si="2"/>
        <v>0</v>
      </c>
      <c r="I66" s="651">
        <v>0</v>
      </c>
      <c r="J66" s="651">
        <v>0</v>
      </c>
      <c r="K66" s="653">
        <f t="shared" si="1"/>
        <v>0</v>
      </c>
      <c r="L66" s="1406"/>
      <c r="M66"/>
      <c r="N66" s="29"/>
      <c r="O66" s="29"/>
      <c r="P66" s="18"/>
      <c r="Q66" s="18"/>
      <c r="R66" s="18"/>
      <c r="S66" s="32"/>
      <c r="T66" s="32"/>
      <c r="U66" s="33"/>
      <c r="V66" s="33"/>
    </row>
    <row r="67" spans="2:24" x14ac:dyDescent="0.2">
      <c r="B67" s="1395"/>
      <c r="C67" s="650"/>
      <c r="D67" s="650"/>
      <c r="E67" s="650"/>
      <c r="F67" s="650"/>
      <c r="G67" s="651">
        <v>0</v>
      </c>
      <c r="H67" s="652">
        <f t="shared" si="2"/>
        <v>0</v>
      </c>
      <c r="I67" s="651">
        <v>0</v>
      </c>
      <c r="J67" s="651">
        <v>0</v>
      </c>
      <c r="K67" s="653">
        <f t="shared" si="1"/>
        <v>0</v>
      </c>
      <c r="L67" s="1406"/>
      <c r="M67"/>
      <c r="N67" s="29"/>
      <c r="O67" s="29"/>
      <c r="P67" s="18"/>
      <c r="Q67" s="18"/>
      <c r="R67" s="18"/>
      <c r="S67" s="32"/>
      <c r="T67" s="32"/>
      <c r="U67" s="33"/>
      <c r="V67" s="33"/>
    </row>
    <row r="68" spans="2:24" x14ac:dyDescent="0.2">
      <c r="B68" s="1395"/>
      <c r="C68" s="650" t="s">
        <v>848</v>
      </c>
      <c r="D68" s="650"/>
      <c r="E68" s="650"/>
      <c r="F68" s="650"/>
      <c r="G68" s="651">
        <v>0</v>
      </c>
      <c r="H68" s="652">
        <f t="shared" si="2"/>
        <v>0</v>
      </c>
      <c r="I68" s="651">
        <v>0</v>
      </c>
      <c r="J68" s="651">
        <v>0</v>
      </c>
      <c r="K68" s="653">
        <f t="shared" si="1"/>
        <v>0</v>
      </c>
      <c r="L68" s="1406"/>
      <c r="M68"/>
      <c r="N68" s="29"/>
      <c r="O68" s="29"/>
      <c r="P68" s="18"/>
      <c r="Q68" s="18"/>
      <c r="R68" s="18"/>
      <c r="S68" s="32"/>
      <c r="T68" s="32"/>
      <c r="U68" s="33"/>
      <c r="V68" s="33"/>
    </row>
    <row r="69" spans="2:24" x14ac:dyDescent="0.2">
      <c r="B69" s="1395"/>
      <c r="C69" s="650" t="s">
        <v>849</v>
      </c>
      <c r="D69" s="650"/>
      <c r="E69" s="650"/>
      <c r="F69" s="650"/>
      <c r="G69" s="651">
        <v>0</v>
      </c>
      <c r="H69" s="652">
        <f t="shared" si="2"/>
        <v>0</v>
      </c>
      <c r="I69" s="651">
        <v>0</v>
      </c>
      <c r="J69" s="651">
        <v>0</v>
      </c>
      <c r="K69" s="653">
        <f t="shared" si="1"/>
        <v>0</v>
      </c>
      <c r="L69" s="1406"/>
      <c r="M69"/>
      <c r="N69" s="29"/>
      <c r="O69" s="29"/>
      <c r="P69" s="18"/>
      <c r="Q69" s="18"/>
      <c r="R69" s="18"/>
      <c r="S69" s="32"/>
      <c r="T69" s="32"/>
      <c r="U69" s="33"/>
      <c r="V69" s="33"/>
    </row>
    <row r="70" spans="2:24" ht="13.5" thickBot="1" x14ac:dyDescent="0.25">
      <c r="B70" s="1397"/>
      <c r="C70" s="297" t="s">
        <v>850</v>
      </c>
      <c r="D70" s="297"/>
      <c r="E70" s="297"/>
      <c r="F70" s="297"/>
      <c r="G70" s="298">
        <v>0</v>
      </c>
      <c r="H70" s="340">
        <f t="shared" si="2"/>
        <v>0</v>
      </c>
      <c r="I70" s="298">
        <v>0</v>
      </c>
      <c r="J70" s="298">
        <v>0</v>
      </c>
      <c r="K70" s="523">
        <f t="shared" si="1"/>
        <v>0</v>
      </c>
      <c r="L70" s="1407"/>
      <c r="M70"/>
      <c r="N70" s="29"/>
      <c r="O70" s="29"/>
      <c r="P70" s="18"/>
      <c r="Q70" s="18"/>
      <c r="R70" s="18"/>
      <c r="S70" s="32"/>
      <c r="T70" s="32"/>
      <c r="U70" s="33"/>
      <c r="V70" s="33"/>
    </row>
    <row r="71" spans="2:24" ht="15" customHeight="1" x14ac:dyDescent="0.2">
      <c r="B71" s="1408" t="s">
        <v>114</v>
      </c>
      <c r="C71" s="1410" t="s">
        <v>74</v>
      </c>
      <c r="D71" s="1410" t="s">
        <v>75</v>
      </c>
      <c r="E71" s="1412" t="s">
        <v>3</v>
      </c>
      <c r="F71" s="1412" t="s">
        <v>82</v>
      </c>
      <c r="G71" s="1412" t="s">
        <v>269</v>
      </c>
      <c r="H71" s="1412" t="s">
        <v>282</v>
      </c>
      <c r="I71" s="1412" t="s">
        <v>116</v>
      </c>
      <c r="J71" s="1412" t="s">
        <v>117</v>
      </c>
      <c r="K71" s="1402" t="s">
        <v>280</v>
      </c>
      <c r="L71" s="1345" t="s">
        <v>115</v>
      </c>
      <c r="O71" s="23"/>
      <c r="P71" s="23"/>
      <c r="Q71" s="23"/>
      <c r="R71" s="23"/>
      <c r="S71" s="23"/>
      <c r="T71" s="23"/>
    </row>
    <row r="72" spans="2:24" ht="54.75" customHeight="1" thickBot="1" x14ac:dyDescent="0.25">
      <c r="B72" s="1409"/>
      <c r="C72" s="1411"/>
      <c r="D72" s="1411"/>
      <c r="E72" s="1413"/>
      <c r="F72" s="1413"/>
      <c r="G72" s="1414"/>
      <c r="H72" s="1414"/>
      <c r="I72" s="1414"/>
      <c r="J72" s="1414"/>
      <c r="K72" s="1403"/>
      <c r="L72" s="1404"/>
      <c r="M72"/>
      <c r="N72" s="57"/>
      <c r="O72" s="57"/>
      <c r="P72" s="18"/>
      <c r="Q72" s="18"/>
      <c r="R72" s="18"/>
      <c r="S72"/>
      <c r="T72" s="1415"/>
      <c r="U72" s="1415"/>
      <c r="V72" s="1415"/>
      <c r="W72" s="1415"/>
      <c r="X72"/>
    </row>
    <row r="73" spans="2:24" x14ac:dyDescent="0.2">
      <c r="B73" s="1394" t="str">
        <f>+'[1]A) Resumen Ingresos y Egresos'!A13</f>
        <v>Sala Cuna Caracolito de Mar Diurna</v>
      </c>
      <c r="C73" s="648" t="s">
        <v>340</v>
      </c>
      <c r="D73" s="648" t="s">
        <v>327</v>
      </c>
      <c r="E73" s="648" t="s">
        <v>286</v>
      </c>
      <c r="F73" s="648" t="s">
        <v>341</v>
      </c>
      <c r="G73" s="649">
        <v>11090712</v>
      </c>
      <c r="H73" s="570">
        <f t="shared" ref="H73:H87" si="3">+G73*(1+$L$7)</f>
        <v>12310690.32</v>
      </c>
      <c r="I73" s="649">
        <v>330540</v>
      </c>
      <c r="J73" s="649">
        <v>162394</v>
      </c>
      <c r="K73" s="522">
        <f t="shared" ref="K73" si="4">SUM(H73:J73)</f>
        <v>12803624.32</v>
      </c>
      <c r="L73" s="1398">
        <f>SUM(K73:K87)</f>
        <v>101352542.44000001</v>
      </c>
      <c r="M73"/>
      <c r="N73" s="29"/>
      <c r="O73" s="29"/>
      <c r="P73" s="18"/>
      <c r="Q73" s="18"/>
      <c r="R73" s="18"/>
      <c r="S73" s="32"/>
      <c r="T73" s="32"/>
      <c r="U73" s="33"/>
      <c r="V73" s="33"/>
    </row>
    <row r="74" spans="2:24" x14ac:dyDescent="0.2">
      <c r="B74" s="1395"/>
      <c r="C74" s="1122" t="s">
        <v>267</v>
      </c>
      <c r="D74" s="1122" t="s">
        <v>328</v>
      </c>
      <c r="E74" s="1122" t="s">
        <v>286</v>
      </c>
      <c r="F74" s="1122" t="s">
        <v>341</v>
      </c>
      <c r="G74" s="651"/>
      <c r="H74" s="652">
        <f t="shared" si="3"/>
        <v>0</v>
      </c>
      <c r="I74" s="651">
        <v>330540</v>
      </c>
      <c r="J74" s="651">
        <v>162394</v>
      </c>
      <c r="K74" s="653">
        <f t="shared" ref="K74:K87" si="5">SUM(H74:J74)</f>
        <v>492934</v>
      </c>
      <c r="L74" s="1399"/>
      <c r="M74"/>
      <c r="N74" s="29"/>
      <c r="O74" s="29"/>
      <c r="P74" s="29"/>
      <c r="Q74" s="29"/>
      <c r="R74" s="29"/>
      <c r="S74" s="32"/>
      <c r="T74" s="32"/>
      <c r="U74" s="33"/>
      <c r="V74" s="33"/>
    </row>
    <row r="75" spans="2:24" x14ac:dyDescent="0.2">
      <c r="B75" s="1395"/>
      <c r="C75" s="650"/>
      <c r="D75" s="650"/>
      <c r="E75" s="650"/>
      <c r="F75" s="650"/>
      <c r="G75" s="651"/>
      <c r="H75" s="652">
        <f t="shared" si="3"/>
        <v>0</v>
      </c>
      <c r="I75" s="651"/>
      <c r="J75" s="651"/>
      <c r="K75" s="653">
        <f t="shared" si="5"/>
        <v>0</v>
      </c>
      <c r="L75" s="1399"/>
      <c r="M75"/>
      <c r="N75" s="29"/>
      <c r="O75" s="29"/>
      <c r="P75" s="58"/>
      <c r="Q75" s="58"/>
      <c r="R75" s="58"/>
      <c r="T75" s="128"/>
      <c r="U75" s="128"/>
      <c r="V75" s="128"/>
      <c r="W75" s="128"/>
    </row>
    <row r="76" spans="2:24" x14ac:dyDescent="0.2">
      <c r="B76" s="1395"/>
      <c r="C76" s="650" t="s">
        <v>345</v>
      </c>
      <c r="D76" s="650" t="s">
        <v>346</v>
      </c>
      <c r="E76" s="650" t="s">
        <v>291</v>
      </c>
      <c r="F76" s="650" t="s">
        <v>341</v>
      </c>
      <c r="G76" s="651">
        <v>9380292</v>
      </c>
      <c r="H76" s="652">
        <f t="shared" si="3"/>
        <v>10412124.120000001</v>
      </c>
      <c r="I76" s="651">
        <v>330540</v>
      </c>
      <c r="J76" s="651">
        <v>166178</v>
      </c>
      <c r="K76" s="653">
        <f t="shared" si="5"/>
        <v>10908842.120000001</v>
      </c>
      <c r="L76" s="1399"/>
      <c r="M76"/>
      <c r="N76" s="29"/>
      <c r="O76" s="29"/>
      <c r="P76" s="18"/>
      <c r="Q76" s="18"/>
      <c r="R76" s="18"/>
      <c r="S76" s="32"/>
      <c r="T76" s="32"/>
      <c r="U76" s="33"/>
      <c r="V76" s="33"/>
    </row>
    <row r="77" spans="2:24" x14ac:dyDescent="0.2">
      <c r="B77" s="1395"/>
      <c r="C77" s="650" t="s">
        <v>347</v>
      </c>
      <c r="D77" s="650" t="s">
        <v>348</v>
      </c>
      <c r="E77" s="650" t="s">
        <v>291</v>
      </c>
      <c r="F77" s="650" t="s">
        <v>341</v>
      </c>
      <c r="G77" s="651">
        <v>8996868</v>
      </c>
      <c r="H77" s="652">
        <f t="shared" si="3"/>
        <v>9986523.4800000004</v>
      </c>
      <c r="I77" s="651">
        <v>330540</v>
      </c>
      <c r="J77" s="651">
        <v>166178</v>
      </c>
      <c r="K77" s="653">
        <f t="shared" si="5"/>
        <v>10483241.48</v>
      </c>
      <c r="L77" s="1399"/>
      <c r="M77"/>
      <c r="N77" s="29"/>
      <c r="O77" s="29"/>
      <c r="P77" s="18"/>
      <c r="Q77" s="18"/>
      <c r="R77" s="18"/>
      <c r="S77" s="32"/>
      <c r="T77" s="32"/>
      <c r="U77" s="33"/>
      <c r="V77" s="33"/>
    </row>
    <row r="78" spans="2:24" x14ac:dyDescent="0.2">
      <c r="B78" s="1395"/>
      <c r="C78" s="650" t="s">
        <v>349</v>
      </c>
      <c r="D78" s="650" t="s">
        <v>350</v>
      </c>
      <c r="E78" s="650" t="s">
        <v>291</v>
      </c>
      <c r="F78" s="650" t="s">
        <v>341</v>
      </c>
      <c r="G78" s="651">
        <v>9241176</v>
      </c>
      <c r="H78" s="652">
        <f t="shared" si="3"/>
        <v>10257705.360000001</v>
      </c>
      <c r="I78" s="651">
        <v>330540</v>
      </c>
      <c r="J78" s="651">
        <v>166178</v>
      </c>
      <c r="K78" s="653">
        <f t="shared" si="5"/>
        <v>10754423.360000001</v>
      </c>
      <c r="L78" s="1399"/>
      <c r="M78"/>
      <c r="N78" s="29"/>
      <c r="O78" s="29"/>
      <c r="P78" s="18"/>
      <c r="Q78" s="18"/>
      <c r="R78" s="18"/>
      <c r="S78" s="32"/>
      <c r="T78" s="32"/>
      <c r="U78" s="33"/>
      <c r="V78" s="33"/>
    </row>
    <row r="79" spans="2:24" x14ac:dyDescent="0.2">
      <c r="B79" s="1395"/>
      <c r="C79" s="650" t="s">
        <v>351</v>
      </c>
      <c r="D79" s="650" t="s">
        <v>352</v>
      </c>
      <c r="E79" s="650" t="s">
        <v>291</v>
      </c>
      <c r="F79" s="650" t="s">
        <v>341</v>
      </c>
      <c r="G79" s="651">
        <v>7924632</v>
      </c>
      <c r="H79" s="652">
        <f t="shared" si="3"/>
        <v>8796341.5200000014</v>
      </c>
      <c r="I79" s="651">
        <v>330540</v>
      </c>
      <c r="J79" s="651">
        <v>166178</v>
      </c>
      <c r="K79" s="653">
        <f t="shared" si="5"/>
        <v>9293059.5200000014</v>
      </c>
      <c r="L79" s="1399"/>
      <c r="M79" t="s">
        <v>856</v>
      </c>
      <c r="N79" s="29"/>
      <c r="O79" s="29"/>
      <c r="P79" s="18"/>
      <c r="Q79" s="18"/>
      <c r="R79" s="18"/>
      <c r="S79" s="32"/>
      <c r="T79" s="32"/>
      <c r="U79" s="33"/>
      <c r="V79" s="33"/>
    </row>
    <row r="80" spans="2:24" x14ac:dyDescent="0.2">
      <c r="B80" s="1395"/>
      <c r="C80" s="650" t="s">
        <v>353</v>
      </c>
      <c r="D80" s="650" t="s">
        <v>354</v>
      </c>
      <c r="E80" s="650" t="s">
        <v>291</v>
      </c>
      <c r="F80" s="650" t="s">
        <v>341</v>
      </c>
      <c r="G80" s="651">
        <v>8721276</v>
      </c>
      <c r="H80" s="652">
        <f t="shared" si="3"/>
        <v>9680616.3600000013</v>
      </c>
      <c r="I80" s="651">
        <v>330540</v>
      </c>
      <c r="J80" s="651">
        <v>166178</v>
      </c>
      <c r="K80" s="653">
        <f t="shared" si="5"/>
        <v>10177334.360000001</v>
      </c>
      <c r="L80" s="1399"/>
      <c r="M80" t="s">
        <v>858</v>
      </c>
      <c r="N80" s="29"/>
      <c r="O80" s="29"/>
      <c r="P80" s="18"/>
      <c r="Q80" s="18"/>
      <c r="R80" s="18"/>
      <c r="S80" s="32"/>
      <c r="T80" s="32"/>
      <c r="U80" s="33"/>
      <c r="V80" s="33"/>
    </row>
    <row r="81" spans="2:23" x14ac:dyDescent="0.2">
      <c r="B81" s="1395"/>
      <c r="C81" s="650" t="s">
        <v>355</v>
      </c>
      <c r="D81" s="650" t="s">
        <v>356</v>
      </c>
      <c r="E81" s="650" t="s">
        <v>291</v>
      </c>
      <c r="F81" s="650" t="s">
        <v>341</v>
      </c>
      <c r="G81" s="651">
        <f>G114</f>
        <v>8225052</v>
      </c>
      <c r="H81" s="652">
        <f t="shared" si="3"/>
        <v>9129807.7200000007</v>
      </c>
      <c r="I81" s="651">
        <v>330540</v>
      </c>
      <c r="J81" s="651">
        <v>166178</v>
      </c>
      <c r="K81" s="653">
        <f t="shared" si="5"/>
        <v>9626525.7200000007</v>
      </c>
      <c r="L81" s="1399"/>
      <c r="M81"/>
      <c r="N81" s="29"/>
      <c r="O81" s="29"/>
      <c r="P81" s="18"/>
      <c r="Q81" s="18"/>
      <c r="R81" s="18"/>
      <c r="S81" s="32"/>
      <c r="T81" s="32"/>
      <c r="U81" s="33"/>
      <c r="V81" s="33"/>
    </row>
    <row r="82" spans="2:23" x14ac:dyDescent="0.2">
      <c r="B82" s="1395"/>
      <c r="C82" s="650" t="s">
        <v>357</v>
      </c>
      <c r="D82" s="650" t="s">
        <v>358</v>
      </c>
      <c r="E82" s="650" t="s">
        <v>291</v>
      </c>
      <c r="F82" s="650" t="s">
        <v>341</v>
      </c>
      <c r="G82" s="651">
        <v>8996868</v>
      </c>
      <c r="H82" s="652">
        <f t="shared" si="3"/>
        <v>9986523.4800000004</v>
      </c>
      <c r="I82" s="651">
        <v>330540</v>
      </c>
      <c r="J82" s="651">
        <v>166178</v>
      </c>
      <c r="K82" s="653">
        <f t="shared" si="5"/>
        <v>10483241.48</v>
      </c>
      <c r="L82" s="1399"/>
      <c r="M82"/>
      <c r="N82" s="29"/>
      <c r="O82" s="29"/>
      <c r="P82" s="18"/>
      <c r="Q82" s="18"/>
      <c r="R82" s="18"/>
      <c r="S82" s="32"/>
      <c r="T82" s="32"/>
      <c r="U82" s="33"/>
      <c r="V82" s="33"/>
    </row>
    <row r="83" spans="2:23" x14ac:dyDescent="0.2">
      <c r="B83" s="1395"/>
      <c r="C83" s="650" t="s">
        <v>294</v>
      </c>
      <c r="D83" s="650" t="s">
        <v>359</v>
      </c>
      <c r="E83" s="650" t="s">
        <v>304</v>
      </c>
      <c r="F83" s="650" t="s">
        <v>341</v>
      </c>
      <c r="G83" s="651">
        <v>6477708</v>
      </c>
      <c r="H83" s="652">
        <f t="shared" si="3"/>
        <v>7190255.8800000008</v>
      </c>
      <c r="I83" s="651">
        <v>330540</v>
      </c>
      <c r="J83" s="651">
        <v>166178</v>
      </c>
      <c r="K83" s="653">
        <f t="shared" si="5"/>
        <v>7686973.8800000008</v>
      </c>
      <c r="L83" s="1399"/>
      <c r="M83"/>
      <c r="N83" s="29"/>
      <c r="O83" s="29"/>
      <c r="P83" s="18"/>
      <c r="Q83" s="18"/>
      <c r="R83" s="18"/>
      <c r="S83" s="32"/>
      <c r="T83" s="32"/>
      <c r="U83" s="33"/>
      <c r="V83" s="33"/>
    </row>
    <row r="84" spans="2:23" x14ac:dyDescent="0.2">
      <c r="B84" s="1395"/>
      <c r="C84" s="650" t="s">
        <v>360</v>
      </c>
      <c r="D84" s="650" t="s">
        <v>293</v>
      </c>
      <c r="E84" s="650" t="s">
        <v>309</v>
      </c>
      <c r="F84" s="650" t="s">
        <v>341</v>
      </c>
      <c r="G84" s="651">
        <v>7339020</v>
      </c>
      <c r="H84" s="652">
        <f t="shared" si="3"/>
        <v>8146312.2000000011</v>
      </c>
      <c r="I84" s="651">
        <v>330540</v>
      </c>
      <c r="J84" s="651">
        <v>165490</v>
      </c>
      <c r="K84" s="653">
        <f t="shared" si="5"/>
        <v>8642342.2000000011</v>
      </c>
      <c r="L84" s="1399"/>
      <c r="M84"/>
      <c r="N84" s="29"/>
      <c r="O84" s="29"/>
      <c r="P84" s="18"/>
      <c r="Q84" s="18"/>
      <c r="R84" s="18"/>
      <c r="S84" s="32"/>
      <c r="T84" s="32"/>
      <c r="U84" s="33"/>
      <c r="V84" s="33"/>
    </row>
    <row r="85" spans="2:23" x14ac:dyDescent="0.2">
      <c r="B85" s="1395"/>
      <c r="C85" s="650"/>
      <c r="D85" s="650"/>
      <c r="E85" s="650"/>
      <c r="F85" s="650"/>
      <c r="G85" s="651">
        <v>0</v>
      </c>
      <c r="H85" s="652">
        <f t="shared" si="3"/>
        <v>0</v>
      </c>
      <c r="I85" s="651">
        <v>0</v>
      </c>
      <c r="J85" s="651">
        <v>0</v>
      </c>
      <c r="K85" s="653">
        <f t="shared" si="5"/>
        <v>0</v>
      </c>
      <c r="L85" s="1399"/>
      <c r="M85"/>
      <c r="N85" s="29"/>
      <c r="O85" s="29"/>
      <c r="P85" s="18"/>
      <c r="Q85" s="18"/>
      <c r="R85" s="18"/>
      <c r="S85" s="32"/>
      <c r="T85" s="32"/>
      <c r="U85" s="33"/>
      <c r="V85" s="33"/>
    </row>
    <row r="86" spans="2:23" x14ac:dyDescent="0.2">
      <c r="B86" s="1395"/>
      <c r="C86" s="650"/>
      <c r="D86" s="650"/>
      <c r="E86" s="650"/>
      <c r="F86" s="650"/>
      <c r="G86" s="651">
        <v>0</v>
      </c>
      <c r="H86" s="652">
        <f t="shared" si="3"/>
        <v>0</v>
      </c>
      <c r="I86" s="651">
        <v>0</v>
      </c>
      <c r="J86" s="651">
        <v>0</v>
      </c>
      <c r="K86" s="653">
        <f t="shared" si="5"/>
        <v>0</v>
      </c>
      <c r="L86" s="1399"/>
      <c r="M86"/>
      <c r="N86" s="29"/>
      <c r="O86" s="29"/>
      <c r="P86" s="18"/>
      <c r="Q86" s="18"/>
      <c r="R86" s="18"/>
      <c r="S86" s="32"/>
      <c r="T86" s="32"/>
      <c r="U86" s="33"/>
      <c r="V86" s="33"/>
    </row>
    <row r="87" spans="2:23" ht="13.5" thickBot="1" x14ac:dyDescent="0.25">
      <c r="B87" s="1397"/>
      <c r="C87" s="297"/>
      <c r="D87" s="297"/>
      <c r="E87" s="297"/>
      <c r="F87" s="297"/>
      <c r="G87" s="298">
        <v>0</v>
      </c>
      <c r="H87" s="340">
        <f t="shared" si="3"/>
        <v>0</v>
      </c>
      <c r="I87" s="298">
        <v>0</v>
      </c>
      <c r="J87" s="298">
        <v>0</v>
      </c>
      <c r="K87" s="523">
        <f t="shared" si="5"/>
        <v>0</v>
      </c>
      <c r="L87" s="1401"/>
      <c r="M87"/>
      <c r="N87" s="29"/>
      <c r="O87" s="29"/>
      <c r="P87" s="18"/>
      <c r="Q87" s="18"/>
      <c r="R87" s="18"/>
      <c r="S87" s="32"/>
      <c r="T87" s="32"/>
      <c r="U87" s="33"/>
      <c r="V87" s="33"/>
    </row>
    <row r="88" spans="2:23" x14ac:dyDescent="0.2">
      <c r="B88" s="1394" t="str">
        <f>+'[1]A) Resumen Ingresos y Egresos'!A14</f>
        <v>Sala Cuna Caracolito de Mar Nocturna</v>
      </c>
      <c r="C88" s="1115"/>
      <c r="D88" s="1115"/>
      <c r="E88" s="1115"/>
      <c r="F88" s="1115"/>
      <c r="G88" s="1116"/>
      <c r="H88" s="1117"/>
      <c r="I88" s="1116"/>
      <c r="J88" s="1116"/>
      <c r="K88" s="524"/>
      <c r="L88" s="1424"/>
      <c r="M88"/>
      <c r="N88" s="29"/>
      <c r="O88" s="29"/>
      <c r="P88" s="18"/>
      <c r="Q88" s="18"/>
      <c r="R88" s="18"/>
      <c r="S88" s="32"/>
      <c r="T88" s="32"/>
      <c r="U88" s="33"/>
      <c r="V88" s="33"/>
    </row>
    <row r="89" spans="2:23" ht="12.75" customHeight="1" x14ac:dyDescent="0.2">
      <c r="B89" s="1395"/>
      <c r="C89" s="1118"/>
      <c r="D89" s="1118"/>
      <c r="E89" s="1118"/>
      <c r="F89" s="1118"/>
      <c r="G89" s="1119"/>
      <c r="H89" s="1120"/>
      <c r="I89" s="1119"/>
      <c r="J89" s="1119"/>
      <c r="K89" s="1121"/>
      <c r="L89" s="1425"/>
      <c r="M89"/>
      <c r="N89" s="29"/>
      <c r="O89" s="29"/>
      <c r="P89" s="29"/>
      <c r="Q89" s="29"/>
      <c r="R89" s="29"/>
      <c r="S89" s="32"/>
      <c r="T89" s="32"/>
      <c r="U89" s="33"/>
      <c r="V89" s="33"/>
    </row>
    <row r="90" spans="2:23" ht="12.75" customHeight="1" x14ac:dyDescent="0.2">
      <c r="B90" s="1395"/>
      <c r="C90" s="1118"/>
      <c r="D90" s="1118"/>
      <c r="E90" s="1118"/>
      <c r="F90" s="1118"/>
      <c r="G90" s="1119"/>
      <c r="H90" s="1120"/>
      <c r="I90" s="1119"/>
      <c r="J90" s="1119"/>
      <c r="K90" s="1121"/>
      <c r="L90" s="1425"/>
      <c r="M90"/>
      <c r="N90" s="29"/>
      <c r="O90" s="29"/>
      <c r="P90" s="58"/>
      <c r="Q90" s="58"/>
      <c r="R90" s="58"/>
      <c r="T90" s="128"/>
      <c r="U90" s="128"/>
      <c r="V90" s="128"/>
      <c r="W90" s="128"/>
    </row>
    <row r="91" spans="2:23" ht="12.75" customHeight="1" x14ac:dyDescent="0.2">
      <c r="B91" s="1395"/>
      <c r="C91" s="1118"/>
      <c r="D91" s="1118"/>
      <c r="E91" s="1118"/>
      <c r="F91" s="1118"/>
      <c r="G91" s="1119"/>
      <c r="H91" s="1120"/>
      <c r="I91" s="1119"/>
      <c r="J91" s="1119"/>
      <c r="K91" s="1121"/>
      <c r="L91" s="1425"/>
      <c r="M91"/>
      <c r="N91" s="29"/>
      <c r="O91" s="29"/>
      <c r="P91" s="18"/>
      <c r="Q91" s="18"/>
      <c r="R91" s="18"/>
      <c r="S91" s="32"/>
      <c r="T91" s="32"/>
      <c r="U91" s="33"/>
      <c r="V91" s="33"/>
    </row>
    <row r="92" spans="2:23" ht="12.75" customHeight="1" x14ac:dyDescent="0.2">
      <c r="B92" s="1395"/>
      <c r="C92" s="1118"/>
      <c r="D92" s="1118"/>
      <c r="E92" s="1118"/>
      <c r="F92" s="1118"/>
      <c r="G92" s="1119"/>
      <c r="H92" s="1120"/>
      <c r="I92" s="1119"/>
      <c r="J92" s="1119"/>
      <c r="K92" s="1121"/>
      <c r="L92" s="1425"/>
      <c r="M92"/>
      <c r="N92" s="29"/>
      <c r="O92" s="29"/>
      <c r="P92" s="18"/>
      <c r="Q92" s="18"/>
      <c r="R92" s="18"/>
      <c r="S92" s="32"/>
      <c r="T92" s="32"/>
      <c r="U92" s="33"/>
      <c r="V92" s="33"/>
    </row>
    <row r="93" spans="2:23" ht="12.75" customHeight="1" x14ac:dyDescent="0.2">
      <c r="B93" s="1395"/>
      <c r="C93" s="1118"/>
      <c r="D93" s="1118"/>
      <c r="E93" s="1118"/>
      <c r="F93" s="1118"/>
      <c r="G93" s="1119"/>
      <c r="H93" s="1120"/>
      <c r="I93" s="1119"/>
      <c r="J93" s="1119"/>
      <c r="K93" s="1121"/>
      <c r="L93" s="1425"/>
      <c r="M93"/>
      <c r="N93" s="29"/>
      <c r="O93" s="29"/>
      <c r="P93" s="18"/>
      <c r="Q93" s="18"/>
      <c r="R93" s="18"/>
      <c r="S93" s="32"/>
      <c r="T93" s="32"/>
      <c r="U93" s="33"/>
      <c r="V93" s="33"/>
    </row>
    <row r="94" spans="2:23" ht="12.75" customHeight="1" x14ac:dyDescent="0.2">
      <c r="B94" s="1395"/>
      <c r="C94" s="1118"/>
      <c r="D94" s="1118"/>
      <c r="E94" s="1118"/>
      <c r="F94" s="1118"/>
      <c r="G94" s="1119"/>
      <c r="H94" s="1120"/>
      <c r="I94" s="1119"/>
      <c r="J94" s="1119"/>
      <c r="K94" s="1121"/>
      <c r="L94" s="1425"/>
      <c r="M94"/>
      <c r="N94" s="29"/>
      <c r="O94" s="29"/>
      <c r="P94" s="18"/>
      <c r="Q94" s="18"/>
      <c r="R94" s="18"/>
      <c r="S94" s="32"/>
      <c r="T94" s="32"/>
      <c r="U94" s="33"/>
      <c r="V94" s="33"/>
    </row>
    <row r="95" spans="2:23" ht="12.75" customHeight="1" x14ac:dyDescent="0.2">
      <c r="B95" s="1395"/>
      <c r="C95" s="1118"/>
      <c r="D95" s="1118"/>
      <c r="E95" s="1118"/>
      <c r="F95" s="1118"/>
      <c r="G95" s="1119"/>
      <c r="H95" s="1120"/>
      <c r="I95" s="1119"/>
      <c r="J95" s="1119"/>
      <c r="K95" s="1121"/>
      <c r="L95" s="1425"/>
      <c r="M95"/>
      <c r="N95" s="29"/>
      <c r="O95" s="29"/>
      <c r="P95" s="18"/>
      <c r="Q95" s="18"/>
      <c r="R95" s="18"/>
      <c r="S95" s="32"/>
      <c r="T95" s="32"/>
      <c r="U95" s="33"/>
      <c r="V95" s="33"/>
    </row>
    <row r="96" spans="2:23" x14ac:dyDescent="0.2">
      <c r="B96" s="1395"/>
      <c r="C96" s="1118"/>
      <c r="D96" s="1118"/>
      <c r="E96" s="1118"/>
      <c r="F96" s="1118"/>
      <c r="G96" s="1119"/>
      <c r="H96" s="1120"/>
      <c r="I96" s="1119"/>
      <c r="J96" s="1119"/>
      <c r="K96" s="1121"/>
      <c r="L96" s="1425"/>
      <c r="M96"/>
      <c r="N96" s="29"/>
      <c r="O96" s="29"/>
      <c r="P96" s="18"/>
      <c r="Q96" s="18"/>
      <c r="R96" s="18"/>
      <c r="S96" s="32"/>
      <c r="T96" s="32"/>
      <c r="U96" s="33"/>
      <c r="V96" s="33"/>
    </row>
    <row r="97" spans="2:22" ht="12.75" customHeight="1" x14ac:dyDescent="0.2">
      <c r="B97" s="1395"/>
      <c r="C97" s="1118"/>
      <c r="D97" s="1118"/>
      <c r="E97" s="1118"/>
      <c r="F97" s="1118"/>
      <c r="G97" s="1119"/>
      <c r="H97" s="1120"/>
      <c r="I97" s="1119"/>
      <c r="J97" s="1119"/>
      <c r="K97" s="1121"/>
      <c r="L97" s="1425"/>
      <c r="M97"/>
      <c r="N97" s="29"/>
      <c r="O97" s="29"/>
      <c r="P97" s="18"/>
      <c r="Q97" s="18"/>
      <c r="R97" s="18"/>
      <c r="S97" s="32"/>
      <c r="T97" s="32"/>
      <c r="U97" s="33"/>
      <c r="V97" s="33"/>
    </row>
    <row r="98" spans="2:22" ht="12.75" customHeight="1" x14ac:dyDescent="0.2">
      <c r="B98" s="1395"/>
      <c r="C98" s="1118"/>
      <c r="D98" s="1118"/>
      <c r="E98" s="1118"/>
      <c r="F98" s="1118"/>
      <c r="G98" s="1119"/>
      <c r="H98" s="1120"/>
      <c r="I98" s="1119"/>
      <c r="J98" s="1119"/>
      <c r="K98" s="1121"/>
      <c r="L98" s="1425"/>
      <c r="M98"/>
      <c r="N98" s="29"/>
      <c r="O98" s="29"/>
      <c r="P98" s="18"/>
      <c r="Q98" s="18"/>
      <c r="R98" s="18"/>
      <c r="S98" s="32"/>
      <c r="T98" s="32"/>
      <c r="U98" s="33"/>
      <c r="V98" s="33"/>
    </row>
    <row r="99" spans="2:22" ht="13.5" customHeight="1" x14ac:dyDescent="0.2">
      <c r="B99" s="1395"/>
      <c r="C99" s="1118"/>
      <c r="D99" s="1118"/>
      <c r="E99" s="1118"/>
      <c r="F99" s="1118"/>
      <c r="G99" s="1119"/>
      <c r="H99" s="1120"/>
      <c r="I99" s="1119"/>
      <c r="J99" s="1119"/>
      <c r="K99" s="1121"/>
      <c r="L99" s="1425"/>
      <c r="M99"/>
      <c r="N99" s="29"/>
      <c r="O99" s="29"/>
      <c r="P99" s="18"/>
      <c r="Q99" s="18"/>
      <c r="R99" s="18"/>
      <c r="S99" s="32"/>
      <c r="T99" s="32"/>
      <c r="U99" s="33"/>
      <c r="V99" s="33"/>
    </row>
    <row r="100" spans="2:22" ht="12.75" customHeight="1" x14ac:dyDescent="0.2">
      <c r="B100" s="1395"/>
      <c r="C100" s="1118"/>
      <c r="D100" s="1118"/>
      <c r="E100" s="1118"/>
      <c r="F100" s="1118"/>
      <c r="G100" s="1119"/>
      <c r="H100" s="1120"/>
      <c r="I100" s="1119"/>
      <c r="J100" s="1119"/>
      <c r="K100" s="1121"/>
      <c r="L100" s="1425"/>
      <c r="M100"/>
      <c r="N100" s="29"/>
      <c r="O100" s="29"/>
      <c r="P100" s="18"/>
      <c r="Q100" s="18"/>
      <c r="R100" s="18"/>
      <c r="S100" s="32"/>
      <c r="T100" s="32"/>
      <c r="U100" s="33"/>
      <c r="V100" s="33"/>
    </row>
    <row r="101" spans="2:22" ht="13.5" customHeight="1" x14ac:dyDescent="0.2">
      <c r="B101" s="1395"/>
      <c r="C101" s="1118"/>
      <c r="D101" s="1118"/>
      <c r="E101" s="1118"/>
      <c r="F101" s="1118"/>
      <c r="G101" s="1119"/>
      <c r="H101" s="1120"/>
      <c r="I101" s="1119"/>
      <c r="J101" s="1119"/>
      <c r="K101" s="1121"/>
      <c r="L101" s="1425"/>
      <c r="M101"/>
      <c r="N101" s="29"/>
      <c r="O101" s="29"/>
      <c r="P101" s="18"/>
      <c r="Q101" s="18"/>
      <c r="R101" s="18"/>
      <c r="S101" s="32"/>
      <c r="T101" s="32"/>
      <c r="U101" s="33"/>
      <c r="V101" s="33"/>
    </row>
    <row r="102" spans="2:22" ht="13.5" customHeight="1" thickBot="1" x14ac:dyDescent="0.25">
      <c r="B102" s="1397"/>
      <c r="C102" s="538"/>
      <c r="D102" s="538"/>
      <c r="E102" s="538"/>
      <c r="F102" s="538"/>
      <c r="G102" s="539"/>
      <c r="H102" s="521"/>
      <c r="I102" s="539"/>
      <c r="J102" s="539"/>
      <c r="K102" s="525"/>
      <c r="L102" s="1426"/>
      <c r="M102"/>
      <c r="N102" s="29"/>
      <c r="O102" s="29"/>
      <c r="P102" s="18"/>
      <c r="Q102" s="18"/>
      <c r="R102" s="18"/>
      <c r="S102" s="32"/>
      <c r="T102" s="32"/>
      <c r="U102" s="33"/>
      <c r="V102" s="33"/>
    </row>
    <row r="103" spans="2:22" x14ac:dyDescent="0.2">
      <c r="B103" s="1394" t="str">
        <f>+'[1]A) Resumen Ingresos y Egresos'!A15</f>
        <v>Sala Cuna Mar Azul Diurna</v>
      </c>
      <c r="C103" s="648" t="s">
        <v>305</v>
      </c>
      <c r="D103" s="648" t="s">
        <v>374</v>
      </c>
      <c r="E103" s="648" t="s">
        <v>291</v>
      </c>
      <c r="F103" s="648" t="s">
        <v>373</v>
      </c>
      <c r="G103" s="649">
        <v>8210628</v>
      </c>
      <c r="H103" s="570">
        <f t="shared" ref="H103:H145" si="6">+G103*(1+$L$7)</f>
        <v>9113797.0800000001</v>
      </c>
      <c r="I103" s="649">
        <v>330540</v>
      </c>
      <c r="J103" s="649">
        <v>166178</v>
      </c>
      <c r="K103" s="522">
        <f t="shared" ref="K103:K145" si="7">SUM(H103:J103)</f>
        <v>9610515.0800000001</v>
      </c>
      <c r="L103" s="1398">
        <f>SUM(K103:K130)</f>
        <v>231825914.53999996</v>
      </c>
      <c r="M103"/>
      <c r="N103" s="29"/>
      <c r="O103" s="29"/>
      <c r="P103" s="18"/>
      <c r="Q103" s="18"/>
      <c r="R103" s="18"/>
      <c r="S103" s="32"/>
      <c r="T103" s="32"/>
      <c r="U103" s="33"/>
      <c r="V103" s="33"/>
    </row>
    <row r="104" spans="2:22" x14ac:dyDescent="0.2">
      <c r="B104" s="1395"/>
      <c r="C104" s="650" t="s">
        <v>307</v>
      </c>
      <c r="D104" s="650" t="s">
        <v>375</v>
      </c>
      <c r="E104" s="650" t="s">
        <v>291</v>
      </c>
      <c r="F104" s="650" t="s">
        <v>373</v>
      </c>
      <c r="G104" s="651">
        <v>9428928</v>
      </c>
      <c r="H104" s="652">
        <f t="shared" si="6"/>
        <v>10466110.08</v>
      </c>
      <c r="I104" s="651">
        <v>330540</v>
      </c>
      <c r="J104" s="651">
        <v>166178</v>
      </c>
      <c r="K104" s="653">
        <f t="shared" si="7"/>
        <v>10962828.08</v>
      </c>
      <c r="L104" s="1399"/>
      <c r="M104"/>
      <c r="N104" s="29"/>
      <c r="O104" s="29"/>
      <c r="P104" s="18"/>
      <c r="Q104" s="18"/>
      <c r="R104" s="18"/>
      <c r="S104" s="32"/>
      <c r="T104" s="32"/>
      <c r="U104" s="33"/>
      <c r="V104" s="33"/>
    </row>
    <row r="105" spans="2:22" x14ac:dyDescent="0.2">
      <c r="B105" s="1395"/>
      <c r="C105" s="650" t="s">
        <v>376</v>
      </c>
      <c r="D105" s="650" t="s">
        <v>377</v>
      </c>
      <c r="E105" s="650" t="s">
        <v>291</v>
      </c>
      <c r="F105" s="650" t="s">
        <v>373</v>
      </c>
      <c r="G105" s="651">
        <v>11010732</v>
      </c>
      <c r="H105" s="652">
        <f t="shared" si="6"/>
        <v>12221912.520000001</v>
      </c>
      <c r="I105" s="651">
        <v>330540</v>
      </c>
      <c r="J105" s="651">
        <v>166178</v>
      </c>
      <c r="K105" s="653">
        <f t="shared" si="7"/>
        <v>12718630.520000001</v>
      </c>
      <c r="L105" s="1399"/>
      <c r="M105"/>
      <c r="N105" s="29"/>
      <c r="O105" s="29"/>
      <c r="P105" s="18"/>
      <c r="Q105" s="18"/>
      <c r="R105" s="18"/>
      <c r="S105" s="32"/>
      <c r="T105" s="32"/>
      <c r="U105" s="33"/>
      <c r="V105" s="33"/>
    </row>
    <row r="106" spans="2:22" x14ac:dyDescent="0.2">
      <c r="B106" s="1395"/>
      <c r="C106" s="650" t="s">
        <v>378</v>
      </c>
      <c r="D106" s="650" t="s">
        <v>379</v>
      </c>
      <c r="E106" s="650" t="s">
        <v>291</v>
      </c>
      <c r="F106" s="650" t="s">
        <v>373</v>
      </c>
      <c r="G106" s="651">
        <v>9380292</v>
      </c>
      <c r="H106" s="652">
        <f t="shared" si="6"/>
        <v>10412124.120000001</v>
      </c>
      <c r="I106" s="651">
        <v>330540</v>
      </c>
      <c r="J106" s="651">
        <v>166178</v>
      </c>
      <c r="K106" s="653">
        <f t="shared" si="7"/>
        <v>10908842.120000001</v>
      </c>
      <c r="L106" s="1399"/>
      <c r="M106"/>
      <c r="N106" s="29"/>
      <c r="O106" s="29"/>
      <c r="P106" s="18"/>
      <c r="Q106" s="18"/>
      <c r="R106" s="18"/>
      <c r="S106" s="32"/>
      <c r="T106" s="32"/>
      <c r="U106" s="33"/>
      <c r="V106" s="33"/>
    </row>
    <row r="107" spans="2:22" x14ac:dyDescent="0.2">
      <c r="B107" s="1395"/>
      <c r="C107" s="650" t="s">
        <v>380</v>
      </c>
      <c r="D107" s="650" t="s">
        <v>325</v>
      </c>
      <c r="E107" s="650" t="s">
        <v>291</v>
      </c>
      <c r="F107" s="650" t="s">
        <v>373</v>
      </c>
      <c r="G107" s="651">
        <v>8616288</v>
      </c>
      <c r="H107" s="652">
        <f t="shared" si="6"/>
        <v>9564079.6800000016</v>
      </c>
      <c r="I107" s="651">
        <v>330540</v>
      </c>
      <c r="J107" s="651">
        <v>166178</v>
      </c>
      <c r="K107" s="653">
        <f t="shared" si="7"/>
        <v>10060797.680000002</v>
      </c>
      <c r="L107" s="1399"/>
      <c r="M107"/>
      <c r="N107" s="29"/>
      <c r="O107" s="29"/>
      <c r="P107" s="18"/>
      <c r="Q107" s="18"/>
      <c r="R107" s="18"/>
      <c r="S107" s="32"/>
      <c r="T107" s="32"/>
      <c r="U107" s="33"/>
      <c r="V107" s="33"/>
    </row>
    <row r="108" spans="2:22" x14ac:dyDescent="0.2">
      <c r="B108" s="1395"/>
      <c r="C108" s="650" t="s">
        <v>381</v>
      </c>
      <c r="D108" s="650" t="s">
        <v>382</v>
      </c>
      <c r="E108" s="650" t="s">
        <v>291</v>
      </c>
      <c r="F108" s="650" t="s">
        <v>373</v>
      </c>
      <c r="G108" s="651">
        <v>8130120</v>
      </c>
      <c r="H108" s="652">
        <f t="shared" si="6"/>
        <v>9024433.2000000011</v>
      </c>
      <c r="I108" s="651">
        <v>330540</v>
      </c>
      <c r="J108" s="651">
        <v>166178</v>
      </c>
      <c r="K108" s="653">
        <f t="shared" si="7"/>
        <v>9521151.2000000011</v>
      </c>
      <c r="L108" s="1399"/>
      <c r="M108"/>
      <c r="N108" s="29"/>
      <c r="O108" s="29"/>
      <c r="P108" s="18"/>
      <c r="Q108" s="18"/>
      <c r="R108" s="18"/>
      <c r="S108" s="32"/>
      <c r="T108" s="32"/>
      <c r="U108" s="33"/>
      <c r="V108" s="33"/>
    </row>
    <row r="109" spans="2:22" x14ac:dyDescent="0.2">
      <c r="B109" s="1395"/>
      <c r="C109" s="650" t="s">
        <v>383</v>
      </c>
      <c r="D109" s="650" t="s">
        <v>346</v>
      </c>
      <c r="E109" s="650" t="s">
        <v>291</v>
      </c>
      <c r="F109" s="650" t="s">
        <v>373</v>
      </c>
      <c r="G109" s="651">
        <v>8088372</v>
      </c>
      <c r="H109" s="652">
        <f t="shared" si="6"/>
        <v>8978092.9199999999</v>
      </c>
      <c r="I109" s="651">
        <v>330540</v>
      </c>
      <c r="J109" s="651">
        <v>166178</v>
      </c>
      <c r="K109" s="653">
        <f t="shared" si="7"/>
        <v>9474810.9199999999</v>
      </c>
      <c r="L109" s="1399"/>
      <c r="M109" t="s">
        <v>859</v>
      </c>
      <c r="N109" s="29"/>
      <c r="O109" s="29"/>
      <c r="P109" s="18"/>
      <c r="Q109" s="18"/>
      <c r="R109" s="18"/>
      <c r="S109" s="32"/>
      <c r="T109" s="32"/>
      <c r="U109" s="33"/>
      <c r="V109" s="33"/>
    </row>
    <row r="110" spans="2:22" x14ac:dyDescent="0.2">
      <c r="B110" s="1395"/>
      <c r="C110" s="650" t="s">
        <v>383</v>
      </c>
      <c r="D110" s="650" t="s">
        <v>368</v>
      </c>
      <c r="E110" s="650" t="s">
        <v>291</v>
      </c>
      <c r="F110" s="650" t="s">
        <v>373</v>
      </c>
      <c r="G110" s="651">
        <v>8179716</v>
      </c>
      <c r="H110" s="652">
        <f t="shared" si="6"/>
        <v>9079484.7600000016</v>
      </c>
      <c r="I110" s="651">
        <v>330540</v>
      </c>
      <c r="J110" s="651">
        <v>166178</v>
      </c>
      <c r="K110" s="653">
        <f t="shared" si="7"/>
        <v>9576202.7600000016</v>
      </c>
      <c r="L110" s="1399"/>
      <c r="M110"/>
      <c r="N110" s="29"/>
      <c r="O110" s="29"/>
      <c r="P110" s="18"/>
      <c r="Q110" s="18"/>
      <c r="R110" s="18"/>
      <c r="S110" s="32"/>
      <c r="T110" s="32"/>
      <c r="U110" s="33"/>
      <c r="V110" s="33"/>
    </row>
    <row r="111" spans="2:22" x14ac:dyDescent="0.2">
      <c r="B111" s="1395"/>
      <c r="C111" s="650" t="s">
        <v>384</v>
      </c>
      <c r="D111" s="650" t="s">
        <v>385</v>
      </c>
      <c r="E111" s="650" t="s">
        <v>291</v>
      </c>
      <c r="F111" s="650" t="s">
        <v>373</v>
      </c>
      <c r="G111" s="651">
        <v>8834580</v>
      </c>
      <c r="H111" s="652">
        <f t="shared" si="6"/>
        <v>9806383.8000000007</v>
      </c>
      <c r="I111" s="651">
        <v>330540</v>
      </c>
      <c r="J111" s="651">
        <v>166178</v>
      </c>
      <c r="K111" s="653">
        <f t="shared" si="7"/>
        <v>10303101.800000001</v>
      </c>
      <c r="L111" s="1399"/>
      <c r="M111" t="s">
        <v>860</v>
      </c>
      <c r="N111" s="29"/>
      <c r="O111" s="29"/>
      <c r="P111" s="18"/>
      <c r="Q111" s="18"/>
      <c r="R111" s="18"/>
      <c r="S111" s="32"/>
      <c r="T111" s="32"/>
      <c r="U111" s="33"/>
      <c r="V111" s="33"/>
    </row>
    <row r="112" spans="2:22" x14ac:dyDescent="0.2">
      <c r="B112" s="1395"/>
      <c r="C112" s="650" t="s">
        <v>386</v>
      </c>
      <c r="D112" s="650" t="s">
        <v>387</v>
      </c>
      <c r="E112" s="650" t="s">
        <v>291</v>
      </c>
      <c r="F112" s="650" t="s">
        <v>373</v>
      </c>
      <c r="G112" s="651">
        <v>8023212</v>
      </c>
      <c r="H112" s="652">
        <f t="shared" si="6"/>
        <v>8905765.3200000003</v>
      </c>
      <c r="I112" s="651">
        <v>330540</v>
      </c>
      <c r="J112" s="651">
        <v>166178</v>
      </c>
      <c r="K112" s="653">
        <f t="shared" si="7"/>
        <v>9402483.3200000003</v>
      </c>
      <c r="L112" s="1399"/>
      <c r="M112"/>
      <c r="N112" s="29"/>
      <c r="O112" s="29"/>
      <c r="P112" s="18"/>
      <c r="Q112" s="18"/>
      <c r="R112" s="18"/>
      <c r="S112" s="32"/>
      <c r="T112" s="32"/>
      <c r="U112" s="33"/>
      <c r="V112" s="33"/>
    </row>
    <row r="113" spans="2:23" x14ac:dyDescent="0.2">
      <c r="B113" s="1395"/>
      <c r="C113" s="650" t="s">
        <v>388</v>
      </c>
      <c r="D113" s="650" t="s">
        <v>327</v>
      </c>
      <c r="E113" s="650" t="s">
        <v>291</v>
      </c>
      <c r="F113" s="650" t="s">
        <v>373</v>
      </c>
      <c r="G113" s="651">
        <f>G114</f>
        <v>8225052</v>
      </c>
      <c r="H113" s="652">
        <f t="shared" si="6"/>
        <v>9129807.7200000007</v>
      </c>
      <c r="I113" s="651">
        <v>330540</v>
      </c>
      <c r="J113" s="651">
        <v>166178</v>
      </c>
      <c r="K113" s="653">
        <f t="shared" si="7"/>
        <v>9626525.7200000007</v>
      </c>
      <c r="L113" s="1399"/>
      <c r="M113"/>
      <c r="N113" s="29"/>
      <c r="O113" s="29"/>
      <c r="P113" s="18"/>
      <c r="Q113" s="18"/>
      <c r="R113" s="18"/>
      <c r="S113" s="32"/>
      <c r="T113" s="32"/>
      <c r="U113" s="33"/>
      <c r="V113" s="33"/>
    </row>
    <row r="114" spans="2:23" x14ac:dyDescent="0.2">
      <c r="B114" s="1395"/>
      <c r="C114" s="650" t="s">
        <v>383</v>
      </c>
      <c r="D114" s="650" t="s">
        <v>389</v>
      </c>
      <c r="E114" s="650" t="s">
        <v>291</v>
      </c>
      <c r="F114" s="650" t="s">
        <v>373</v>
      </c>
      <c r="G114" s="651">
        <v>8225052</v>
      </c>
      <c r="H114" s="652">
        <f t="shared" si="6"/>
        <v>9129807.7200000007</v>
      </c>
      <c r="I114" s="651">
        <v>330540</v>
      </c>
      <c r="J114" s="651">
        <v>166178</v>
      </c>
      <c r="K114" s="653">
        <f t="shared" si="7"/>
        <v>9626525.7200000007</v>
      </c>
      <c r="L114" s="1399"/>
      <c r="M114"/>
      <c r="N114" s="29"/>
      <c r="O114" s="29"/>
      <c r="P114" s="18"/>
      <c r="Q114" s="18"/>
      <c r="R114" s="18"/>
      <c r="S114" s="32"/>
      <c r="T114" s="32"/>
      <c r="U114" s="33"/>
      <c r="V114" s="33"/>
    </row>
    <row r="115" spans="2:23" x14ac:dyDescent="0.2">
      <c r="B115" s="1395"/>
      <c r="C115" s="650"/>
      <c r="D115" s="650"/>
      <c r="E115" s="650"/>
      <c r="F115" s="650"/>
      <c r="G115" s="651">
        <v>0</v>
      </c>
      <c r="H115" s="652">
        <f t="shared" si="6"/>
        <v>0</v>
      </c>
      <c r="I115" s="651">
        <v>0</v>
      </c>
      <c r="J115" s="651">
        <v>0</v>
      </c>
      <c r="K115" s="653">
        <f t="shared" si="7"/>
        <v>0</v>
      </c>
      <c r="L115" s="1399"/>
      <c r="M115"/>
      <c r="N115" s="29"/>
      <c r="O115" s="29"/>
      <c r="P115" s="18"/>
      <c r="Q115" s="18"/>
      <c r="R115" s="18"/>
      <c r="S115" s="32"/>
      <c r="T115" s="32"/>
      <c r="U115" s="33"/>
      <c r="V115" s="33"/>
    </row>
    <row r="116" spans="2:23" x14ac:dyDescent="0.2">
      <c r="B116" s="1395"/>
      <c r="C116" s="650" t="s">
        <v>832</v>
      </c>
      <c r="D116" s="650" t="s">
        <v>390</v>
      </c>
      <c r="E116" s="650" t="s">
        <v>286</v>
      </c>
      <c r="F116" s="650" t="s">
        <v>373</v>
      </c>
      <c r="G116" s="651">
        <f>(12293820/12)*2</f>
        <v>2048970</v>
      </c>
      <c r="H116" s="652">
        <f t="shared" si="6"/>
        <v>2274356.7000000002</v>
      </c>
      <c r="I116" s="651">
        <v>330540</v>
      </c>
      <c r="J116" s="651">
        <v>162394</v>
      </c>
      <c r="K116" s="653">
        <f t="shared" si="7"/>
        <v>2767290.7</v>
      </c>
      <c r="L116" s="1399"/>
      <c r="M116" s="1123" t="s">
        <v>861</v>
      </c>
      <c r="N116" s="29"/>
      <c r="O116" s="29"/>
      <c r="P116" s="18"/>
      <c r="Q116" s="18"/>
      <c r="R116" s="18"/>
      <c r="S116" s="32"/>
      <c r="T116" s="32"/>
      <c r="U116" s="33"/>
      <c r="V116" s="33"/>
    </row>
    <row r="117" spans="2:23" ht="12.75" customHeight="1" x14ac:dyDescent="0.2">
      <c r="B117" s="1395"/>
      <c r="C117" s="650" t="s">
        <v>391</v>
      </c>
      <c r="D117" s="650" t="s">
        <v>295</v>
      </c>
      <c r="E117" s="650" t="s">
        <v>286</v>
      </c>
      <c r="F117" s="650" t="s">
        <v>373</v>
      </c>
      <c r="G117" s="651">
        <v>11090712</v>
      </c>
      <c r="H117" s="652">
        <f t="shared" si="6"/>
        <v>12310690.32</v>
      </c>
      <c r="I117" s="651">
        <v>330540</v>
      </c>
      <c r="J117" s="651">
        <v>162394</v>
      </c>
      <c r="K117" s="653">
        <f t="shared" si="7"/>
        <v>12803624.32</v>
      </c>
      <c r="L117" s="1399"/>
      <c r="M117"/>
      <c r="N117" s="29"/>
      <c r="O117" s="29"/>
      <c r="P117" s="29"/>
      <c r="Q117" s="29"/>
      <c r="R117" s="29"/>
      <c r="S117" s="32"/>
      <c r="T117" s="32"/>
      <c r="U117" s="33"/>
      <c r="V117" s="33"/>
    </row>
    <row r="118" spans="2:23" ht="12.75" customHeight="1" x14ac:dyDescent="0.2">
      <c r="B118" s="1395"/>
      <c r="C118" s="650" t="s">
        <v>392</v>
      </c>
      <c r="D118" s="650" t="s">
        <v>311</v>
      </c>
      <c r="E118" s="650" t="s">
        <v>286</v>
      </c>
      <c r="F118" s="650" t="s">
        <v>373</v>
      </c>
      <c r="G118" s="651">
        <v>11692260</v>
      </c>
      <c r="H118" s="652">
        <f t="shared" si="6"/>
        <v>12978408.600000001</v>
      </c>
      <c r="I118" s="651">
        <v>330540</v>
      </c>
      <c r="J118" s="651">
        <v>162394</v>
      </c>
      <c r="K118" s="653">
        <f t="shared" si="7"/>
        <v>13471342.600000001</v>
      </c>
      <c r="L118" s="1399"/>
      <c r="M118"/>
      <c r="N118" s="29"/>
      <c r="O118" s="29"/>
      <c r="P118" s="58"/>
      <c r="Q118" s="58"/>
      <c r="R118" s="58"/>
      <c r="T118" s="128"/>
      <c r="U118" s="128"/>
      <c r="V118" s="128"/>
      <c r="W118" s="128"/>
    </row>
    <row r="119" spans="2:23" ht="12.75" customHeight="1" x14ac:dyDescent="0.2">
      <c r="B119" s="1395"/>
      <c r="C119" s="650" t="s">
        <v>393</v>
      </c>
      <c r="D119" s="650" t="s">
        <v>394</v>
      </c>
      <c r="E119" s="650" t="s">
        <v>286</v>
      </c>
      <c r="F119" s="650" t="s">
        <v>373</v>
      </c>
      <c r="G119" s="651">
        <v>11133600</v>
      </c>
      <c r="H119" s="652">
        <f t="shared" si="6"/>
        <v>12358296.000000002</v>
      </c>
      <c r="I119" s="651">
        <v>330540</v>
      </c>
      <c r="J119" s="651">
        <v>162394</v>
      </c>
      <c r="K119" s="653">
        <f t="shared" si="7"/>
        <v>12851230.000000002</v>
      </c>
      <c r="L119" s="1399"/>
      <c r="M119"/>
      <c r="N119" s="29"/>
      <c r="O119" s="29"/>
      <c r="P119" s="18"/>
      <c r="Q119" s="18"/>
      <c r="R119" s="18"/>
      <c r="S119" s="32"/>
      <c r="T119" s="32"/>
      <c r="U119" s="33"/>
      <c r="V119" s="33"/>
    </row>
    <row r="120" spans="2:23" ht="12.75" customHeight="1" x14ac:dyDescent="0.2">
      <c r="B120" s="1395"/>
      <c r="C120" s="650" t="s">
        <v>267</v>
      </c>
      <c r="D120" s="650" t="s">
        <v>328</v>
      </c>
      <c r="E120" s="650" t="s">
        <v>286</v>
      </c>
      <c r="F120" s="650" t="s">
        <v>373</v>
      </c>
      <c r="G120" s="651">
        <v>11133600</v>
      </c>
      <c r="H120" s="652">
        <f t="shared" si="6"/>
        <v>12358296.000000002</v>
      </c>
      <c r="I120" s="651">
        <v>330540</v>
      </c>
      <c r="J120" s="651">
        <v>162394</v>
      </c>
      <c r="K120" s="653">
        <f t="shared" si="7"/>
        <v>12851230.000000002</v>
      </c>
      <c r="L120" s="1399"/>
      <c r="M120"/>
      <c r="N120" s="29"/>
      <c r="O120" s="29"/>
      <c r="P120" s="18"/>
      <c r="Q120" s="18"/>
      <c r="R120" s="18"/>
      <c r="S120" s="32"/>
      <c r="T120" s="32"/>
      <c r="U120" s="33"/>
      <c r="V120" s="33"/>
    </row>
    <row r="121" spans="2:23" ht="12.75" customHeight="1" x14ac:dyDescent="0.2">
      <c r="B121" s="1395"/>
      <c r="C121" s="650" t="s">
        <v>267</v>
      </c>
      <c r="D121" s="650" t="s">
        <v>328</v>
      </c>
      <c r="E121" s="650" t="s">
        <v>286</v>
      </c>
      <c r="F121" s="650" t="s">
        <v>373</v>
      </c>
      <c r="G121" s="651">
        <v>11133600</v>
      </c>
      <c r="H121" s="652">
        <f t="shared" si="6"/>
        <v>12358296.000000002</v>
      </c>
      <c r="I121" s="651">
        <v>330540</v>
      </c>
      <c r="J121" s="651">
        <v>162394</v>
      </c>
      <c r="K121" s="653">
        <f t="shared" si="7"/>
        <v>12851230.000000002</v>
      </c>
      <c r="L121" s="1399"/>
      <c r="M121"/>
      <c r="N121" s="29"/>
      <c r="O121" s="29"/>
      <c r="P121" s="18"/>
      <c r="Q121" s="18"/>
      <c r="R121" s="18"/>
      <c r="S121" s="32"/>
      <c r="T121" s="32"/>
      <c r="U121" s="33"/>
      <c r="V121" s="33"/>
    </row>
    <row r="122" spans="2:23" ht="12.75" customHeight="1" x14ac:dyDescent="0.2">
      <c r="B122" s="1395"/>
      <c r="C122" s="650"/>
      <c r="D122" s="650"/>
      <c r="E122" s="650"/>
      <c r="F122" s="650"/>
      <c r="G122" s="651">
        <v>0</v>
      </c>
      <c r="H122" s="652">
        <f t="shared" si="6"/>
        <v>0</v>
      </c>
      <c r="I122" s="651">
        <v>0</v>
      </c>
      <c r="J122" s="651">
        <v>0</v>
      </c>
      <c r="K122" s="653">
        <f t="shared" si="7"/>
        <v>0</v>
      </c>
      <c r="L122" s="1399"/>
      <c r="M122"/>
      <c r="N122" s="29"/>
      <c r="O122" s="29"/>
      <c r="P122" s="18"/>
      <c r="Q122" s="18"/>
      <c r="R122" s="18"/>
      <c r="S122" s="32"/>
      <c r="T122" s="32"/>
      <c r="U122" s="33"/>
      <c r="V122" s="33"/>
    </row>
    <row r="123" spans="2:23" ht="12.75" customHeight="1" x14ac:dyDescent="0.2">
      <c r="B123" s="1395"/>
      <c r="C123" s="650" t="s">
        <v>395</v>
      </c>
      <c r="D123" s="650" t="s">
        <v>396</v>
      </c>
      <c r="E123" s="650" t="s">
        <v>304</v>
      </c>
      <c r="F123" s="650" t="s">
        <v>373</v>
      </c>
      <c r="G123" s="651">
        <v>9509568</v>
      </c>
      <c r="H123" s="652">
        <f t="shared" si="6"/>
        <v>10555620.48</v>
      </c>
      <c r="I123" s="651">
        <v>330540</v>
      </c>
      <c r="J123" s="651">
        <v>166178</v>
      </c>
      <c r="K123" s="653">
        <f t="shared" si="7"/>
        <v>11052338.48</v>
      </c>
      <c r="L123" s="1399"/>
      <c r="M123"/>
      <c r="N123" s="29"/>
      <c r="O123" s="29"/>
      <c r="P123" s="18"/>
      <c r="Q123" s="18"/>
      <c r="R123" s="18"/>
      <c r="S123" s="32"/>
      <c r="T123" s="32"/>
      <c r="U123" s="33"/>
      <c r="V123" s="33"/>
    </row>
    <row r="124" spans="2:23" x14ac:dyDescent="0.2">
      <c r="B124" s="1395"/>
      <c r="C124" s="650" t="s">
        <v>397</v>
      </c>
      <c r="D124" s="650" t="s">
        <v>398</v>
      </c>
      <c r="E124" s="650" t="s">
        <v>304</v>
      </c>
      <c r="F124" s="650" t="s">
        <v>373</v>
      </c>
      <c r="G124" s="651">
        <v>7041060</v>
      </c>
      <c r="H124" s="652">
        <f t="shared" si="6"/>
        <v>7815576.6000000006</v>
      </c>
      <c r="I124" s="651">
        <v>330540</v>
      </c>
      <c r="J124" s="651">
        <v>166178</v>
      </c>
      <c r="K124" s="653">
        <f t="shared" si="7"/>
        <v>8312294.6000000006</v>
      </c>
      <c r="L124" s="1399"/>
      <c r="M124"/>
      <c r="N124" s="29"/>
      <c r="O124" s="29"/>
      <c r="P124" s="18"/>
      <c r="Q124" s="18"/>
      <c r="R124" s="18"/>
      <c r="S124" s="32"/>
      <c r="T124" s="32"/>
      <c r="U124" s="33"/>
      <c r="V124" s="33"/>
    </row>
    <row r="125" spans="2:23" ht="12.75" customHeight="1" x14ac:dyDescent="0.2">
      <c r="B125" s="1395"/>
      <c r="C125" s="650" t="s">
        <v>267</v>
      </c>
      <c r="D125" s="650" t="s">
        <v>328</v>
      </c>
      <c r="E125" s="650" t="s">
        <v>304</v>
      </c>
      <c r="F125" s="650" t="s">
        <v>373</v>
      </c>
      <c r="G125" s="651">
        <f>G41</f>
        <v>6277500</v>
      </c>
      <c r="H125" s="652">
        <f t="shared" si="6"/>
        <v>6968025.0000000009</v>
      </c>
      <c r="I125" s="651">
        <v>330540</v>
      </c>
      <c r="J125" s="651">
        <v>166178</v>
      </c>
      <c r="K125" s="653">
        <f t="shared" si="7"/>
        <v>7464743.0000000009</v>
      </c>
      <c r="L125" s="1399"/>
      <c r="M125"/>
      <c r="N125" s="29"/>
      <c r="O125" s="29"/>
      <c r="P125" s="18"/>
      <c r="Q125" s="18"/>
      <c r="R125" s="18"/>
      <c r="S125" s="32"/>
      <c r="T125" s="32"/>
      <c r="U125" s="33"/>
      <c r="V125" s="33"/>
    </row>
    <row r="126" spans="2:23" ht="12.75" customHeight="1" x14ac:dyDescent="0.2">
      <c r="B126" s="1395"/>
      <c r="C126" s="650"/>
      <c r="D126" s="650"/>
      <c r="E126" s="650"/>
      <c r="F126" s="650"/>
      <c r="G126" s="651">
        <v>0</v>
      </c>
      <c r="H126" s="652">
        <f t="shared" si="6"/>
        <v>0</v>
      </c>
      <c r="I126" s="651">
        <v>0</v>
      </c>
      <c r="J126" s="651">
        <v>0</v>
      </c>
      <c r="K126" s="653">
        <f t="shared" si="7"/>
        <v>0</v>
      </c>
      <c r="L126" s="1399"/>
      <c r="M126"/>
      <c r="N126" s="29"/>
      <c r="O126" s="29"/>
      <c r="P126" s="18"/>
      <c r="Q126" s="18"/>
      <c r="R126" s="18"/>
      <c r="S126" s="32"/>
      <c r="T126" s="32"/>
      <c r="U126" s="33"/>
      <c r="V126" s="33"/>
    </row>
    <row r="127" spans="2:23" ht="13.5" customHeight="1" x14ac:dyDescent="0.2">
      <c r="B127" s="1395"/>
      <c r="C127" s="650" t="s">
        <v>317</v>
      </c>
      <c r="D127" s="650" t="s">
        <v>399</v>
      </c>
      <c r="E127" s="650" t="s">
        <v>309</v>
      </c>
      <c r="F127" s="650" t="s">
        <v>373</v>
      </c>
      <c r="G127" s="651">
        <v>6589572</v>
      </c>
      <c r="H127" s="652">
        <f t="shared" si="6"/>
        <v>7314424.9200000009</v>
      </c>
      <c r="I127" s="651">
        <v>330540</v>
      </c>
      <c r="J127" s="651">
        <v>165490</v>
      </c>
      <c r="K127" s="653">
        <f t="shared" si="7"/>
        <v>7810454.9200000009</v>
      </c>
      <c r="L127" s="1399"/>
      <c r="M127"/>
      <c r="N127" s="29"/>
      <c r="O127" s="29"/>
      <c r="P127" s="18"/>
      <c r="Q127" s="18"/>
      <c r="R127" s="18"/>
      <c r="S127" s="32"/>
      <c r="T127" s="32"/>
      <c r="U127" s="33"/>
      <c r="V127" s="33"/>
    </row>
    <row r="128" spans="2:23" ht="12.75" customHeight="1" x14ac:dyDescent="0.2">
      <c r="B128" s="1395"/>
      <c r="C128" s="650" t="s">
        <v>324</v>
      </c>
      <c r="D128" s="650" t="s">
        <v>400</v>
      </c>
      <c r="E128" s="650" t="s">
        <v>309</v>
      </c>
      <c r="F128" s="650" t="s">
        <v>373</v>
      </c>
      <c r="G128" s="651">
        <v>6578100</v>
      </c>
      <c r="H128" s="652">
        <f t="shared" si="6"/>
        <v>7301691.0000000009</v>
      </c>
      <c r="I128" s="651">
        <v>330540</v>
      </c>
      <c r="J128" s="651">
        <v>165490</v>
      </c>
      <c r="K128" s="653">
        <f t="shared" si="7"/>
        <v>7797721.0000000009</v>
      </c>
      <c r="L128" s="1399"/>
      <c r="M128"/>
      <c r="N128" s="29"/>
      <c r="O128" s="29"/>
      <c r="P128" s="18"/>
      <c r="Q128" s="18"/>
      <c r="R128" s="18"/>
      <c r="S128" s="32"/>
      <c r="T128" s="32"/>
      <c r="U128" s="33"/>
      <c r="V128" s="33"/>
    </row>
    <row r="129" spans="2:23" ht="13.5" customHeight="1" x14ac:dyDescent="0.2">
      <c r="B129" s="1395"/>
      <c r="C129" s="650"/>
      <c r="D129" s="650"/>
      <c r="E129" s="650"/>
      <c r="F129" s="650"/>
      <c r="G129" s="651">
        <v>0</v>
      </c>
      <c r="H129" s="652">
        <f t="shared" si="6"/>
        <v>0</v>
      </c>
      <c r="I129" s="651">
        <v>0</v>
      </c>
      <c r="J129" s="651">
        <v>0</v>
      </c>
      <c r="K129" s="653">
        <f t="shared" si="7"/>
        <v>0</v>
      </c>
      <c r="L129" s="1399"/>
      <c r="M129"/>
      <c r="N129" s="29"/>
      <c r="O129" s="29"/>
      <c r="P129" s="18"/>
      <c r="Q129" s="18"/>
      <c r="R129" s="18"/>
      <c r="S129" s="32"/>
      <c r="T129" s="32"/>
      <c r="U129" s="33"/>
      <c r="V129" s="33"/>
    </row>
    <row r="130" spans="2:23" ht="13.5" customHeight="1" thickBot="1" x14ac:dyDescent="0.25">
      <c r="B130" s="1397"/>
      <c r="C130" s="297"/>
      <c r="D130" s="297"/>
      <c r="E130" s="297"/>
      <c r="F130" s="297"/>
      <c r="G130" s="298">
        <v>0</v>
      </c>
      <c r="H130" s="340">
        <f t="shared" si="6"/>
        <v>0</v>
      </c>
      <c r="I130" s="298">
        <v>0</v>
      </c>
      <c r="J130" s="298">
        <v>0</v>
      </c>
      <c r="K130" s="523">
        <f t="shared" si="7"/>
        <v>0</v>
      </c>
      <c r="L130" s="1401"/>
      <c r="M130"/>
      <c r="N130" s="29"/>
      <c r="O130" s="29"/>
      <c r="P130" s="18"/>
      <c r="Q130" s="18"/>
      <c r="R130" s="18"/>
      <c r="S130" s="32"/>
      <c r="T130" s="32"/>
      <c r="U130" s="33"/>
      <c r="V130" s="33"/>
    </row>
    <row r="131" spans="2:23" x14ac:dyDescent="0.2">
      <c r="B131" s="1394" t="str">
        <f>+'[1]A) Resumen Ingresos y Egresos'!A16</f>
        <v>Sala Cuna Mar Azul Nocturna</v>
      </c>
      <c r="C131" s="648" t="s">
        <v>361</v>
      </c>
      <c r="D131" s="648" t="s">
        <v>362</v>
      </c>
      <c r="E131" s="648" t="s">
        <v>291</v>
      </c>
      <c r="F131" s="648" t="s">
        <v>373</v>
      </c>
      <c r="G131" s="649">
        <v>9052860</v>
      </c>
      <c r="H131" s="570">
        <f t="shared" si="6"/>
        <v>10048674.600000001</v>
      </c>
      <c r="I131" s="649">
        <v>330540</v>
      </c>
      <c r="J131" s="649">
        <v>166178</v>
      </c>
      <c r="K131" s="522">
        <f t="shared" si="7"/>
        <v>10545392.600000001</v>
      </c>
      <c r="L131" s="1398">
        <f>SUM(K131:K145)</f>
        <v>65350755.120000005</v>
      </c>
      <c r="M131"/>
      <c r="N131" s="29"/>
      <c r="O131" s="29"/>
      <c r="P131" s="18"/>
      <c r="Q131" s="18"/>
      <c r="R131" s="18"/>
      <c r="S131" s="32"/>
      <c r="T131" s="32"/>
      <c r="U131" s="33"/>
      <c r="V131" s="33"/>
    </row>
    <row r="132" spans="2:23" ht="12.75" customHeight="1" x14ac:dyDescent="0.2">
      <c r="B132" s="1395"/>
      <c r="C132" s="650" t="s">
        <v>363</v>
      </c>
      <c r="D132" s="650" t="s">
        <v>364</v>
      </c>
      <c r="E132" s="650" t="s">
        <v>291</v>
      </c>
      <c r="F132" s="650" t="s">
        <v>373</v>
      </c>
      <c r="G132" s="651">
        <v>8834580</v>
      </c>
      <c r="H132" s="652">
        <f t="shared" si="6"/>
        <v>9806383.8000000007</v>
      </c>
      <c r="I132" s="651">
        <v>330540</v>
      </c>
      <c r="J132" s="651">
        <v>166178</v>
      </c>
      <c r="K132" s="653">
        <f t="shared" si="7"/>
        <v>10303101.800000001</v>
      </c>
      <c r="L132" s="1399"/>
      <c r="M132"/>
      <c r="N132" s="29"/>
      <c r="O132" s="29"/>
      <c r="P132" s="29"/>
      <c r="Q132" s="29"/>
      <c r="R132" s="29"/>
      <c r="S132" s="32"/>
      <c r="T132" s="32"/>
      <c r="U132" s="33"/>
      <c r="V132" s="33"/>
    </row>
    <row r="133" spans="2:23" ht="12.75" customHeight="1" x14ac:dyDescent="0.2">
      <c r="B133" s="1395"/>
      <c r="C133" s="650" t="s">
        <v>365</v>
      </c>
      <c r="D133" s="650" t="s">
        <v>366</v>
      </c>
      <c r="E133" s="650" t="s">
        <v>291</v>
      </c>
      <c r="F133" s="650" t="s">
        <v>373</v>
      </c>
      <c r="G133" s="651">
        <v>8139324</v>
      </c>
      <c r="H133" s="652">
        <f t="shared" si="6"/>
        <v>9034649.6400000006</v>
      </c>
      <c r="I133" s="651">
        <v>330540</v>
      </c>
      <c r="J133" s="651">
        <v>166178</v>
      </c>
      <c r="K133" s="653">
        <f t="shared" si="7"/>
        <v>9531367.6400000006</v>
      </c>
      <c r="L133" s="1399"/>
      <c r="M133"/>
      <c r="N133" s="29"/>
      <c r="O133" s="29"/>
      <c r="P133" s="58"/>
      <c r="Q133" s="58"/>
      <c r="R133" s="58"/>
      <c r="T133" s="128"/>
      <c r="U133" s="128"/>
      <c r="V133" s="128"/>
      <c r="W133" s="128"/>
    </row>
    <row r="134" spans="2:23" ht="12.75" customHeight="1" x14ac:dyDescent="0.2">
      <c r="B134" s="1395"/>
      <c r="C134" s="650" t="s">
        <v>367</v>
      </c>
      <c r="D134" s="650" t="s">
        <v>368</v>
      </c>
      <c r="E134" s="650" t="s">
        <v>291</v>
      </c>
      <c r="F134" s="650" t="s">
        <v>373</v>
      </c>
      <c r="G134" s="651">
        <v>12751128</v>
      </c>
      <c r="H134" s="652">
        <f t="shared" si="6"/>
        <v>14153752.080000002</v>
      </c>
      <c r="I134" s="651">
        <v>330540</v>
      </c>
      <c r="J134" s="651">
        <v>166178</v>
      </c>
      <c r="K134" s="653">
        <f t="shared" si="7"/>
        <v>14650470.080000002</v>
      </c>
      <c r="L134" s="1399"/>
      <c r="M134" t="s">
        <v>853</v>
      </c>
      <c r="N134" s="29"/>
      <c r="O134" s="29"/>
      <c r="P134" s="18"/>
      <c r="Q134" s="18"/>
      <c r="R134" s="18"/>
      <c r="S134" s="32"/>
      <c r="T134" s="32"/>
      <c r="U134" s="33"/>
      <c r="V134" s="33"/>
    </row>
    <row r="135" spans="2:23" ht="12.75" customHeight="1" x14ac:dyDescent="0.2">
      <c r="B135" s="1395"/>
      <c r="C135" s="650" t="s">
        <v>369</v>
      </c>
      <c r="D135" s="650" t="s">
        <v>370</v>
      </c>
      <c r="E135" s="650" t="s">
        <v>291</v>
      </c>
      <c r="F135" s="650" t="s">
        <v>373</v>
      </c>
      <c r="G135" s="651">
        <v>9216588</v>
      </c>
      <c r="H135" s="652">
        <f t="shared" si="6"/>
        <v>10230412.680000002</v>
      </c>
      <c r="I135" s="651">
        <v>330540</v>
      </c>
      <c r="J135" s="651">
        <v>166178</v>
      </c>
      <c r="K135" s="653">
        <f t="shared" si="7"/>
        <v>10727130.680000002</v>
      </c>
      <c r="L135" s="1399"/>
      <c r="M135"/>
      <c r="N135" s="29"/>
      <c r="O135" s="29"/>
      <c r="P135" s="18"/>
      <c r="Q135" s="18"/>
      <c r="R135" s="18"/>
      <c r="S135" s="32"/>
      <c r="T135" s="32"/>
      <c r="U135" s="33"/>
      <c r="V135" s="33"/>
    </row>
    <row r="136" spans="2:23" ht="12.75" customHeight="1" x14ac:dyDescent="0.2">
      <c r="B136" s="1395"/>
      <c r="C136" s="650" t="s">
        <v>371</v>
      </c>
      <c r="D136" s="650" t="s">
        <v>372</v>
      </c>
      <c r="E136" s="650" t="s">
        <v>291</v>
      </c>
      <c r="F136" s="650" t="s">
        <v>373</v>
      </c>
      <c r="G136" s="651">
        <v>8195112</v>
      </c>
      <c r="H136" s="652">
        <f t="shared" si="6"/>
        <v>9096574.3200000003</v>
      </c>
      <c r="I136" s="651">
        <v>330540</v>
      </c>
      <c r="J136" s="651">
        <v>166178</v>
      </c>
      <c r="K136" s="653">
        <f t="shared" si="7"/>
        <v>9593292.3200000003</v>
      </c>
      <c r="L136" s="1399"/>
      <c r="M136"/>
      <c r="N136" s="29"/>
      <c r="O136" s="29"/>
      <c r="P136" s="18"/>
      <c r="Q136" s="18"/>
      <c r="R136" s="18"/>
      <c r="S136" s="32"/>
      <c r="T136" s="32"/>
      <c r="U136" s="33"/>
      <c r="V136" s="33"/>
    </row>
    <row r="137" spans="2:23" ht="12.75" customHeight="1" x14ac:dyDescent="0.2">
      <c r="B137" s="1395"/>
      <c r="C137" s="650"/>
      <c r="D137" s="650"/>
      <c r="E137" s="650"/>
      <c r="F137" s="650"/>
      <c r="G137" s="651">
        <v>0</v>
      </c>
      <c r="H137" s="652">
        <f t="shared" si="6"/>
        <v>0</v>
      </c>
      <c r="I137" s="651">
        <v>0</v>
      </c>
      <c r="J137" s="651">
        <v>0</v>
      </c>
      <c r="K137" s="653">
        <f t="shared" si="7"/>
        <v>0</v>
      </c>
      <c r="L137" s="1399"/>
      <c r="M137"/>
      <c r="N137" s="29"/>
      <c r="O137" s="29"/>
      <c r="P137" s="18"/>
      <c r="Q137" s="18"/>
      <c r="R137" s="18"/>
      <c r="S137" s="32"/>
      <c r="T137" s="32"/>
      <c r="U137" s="33"/>
      <c r="V137" s="33"/>
    </row>
    <row r="138" spans="2:23" ht="12.75" customHeight="1" x14ac:dyDescent="0.2">
      <c r="B138" s="1395"/>
      <c r="C138" s="650"/>
      <c r="D138" s="650"/>
      <c r="E138" s="650"/>
      <c r="F138" s="650"/>
      <c r="G138" s="651">
        <v>0</v>
      </c>
      <c r="H138" s="652">
        <f t="shared" si="6"/>
        <v>0</v>
      </c>
      <c r="I138" s="651">
        <v>0</v>
      </c>
      <c r="J138" s="651">
        <v>0</v>
      </c>
      <c r="K138" s="653">
        <f t="shared" si="7"/>
        <v>0</v>
      </c>
      <c r="L138" s="1399"/>
      <c r="M138"/>
      <c r="N138" s="29"/>
      <c r="O138" s="29"/>
      <c r="P138" s="18"/>
      <c r="Q138" s="18"/>
      <c r="R138" s="18"/>
      <c r="S138" s="32"/>
      <c r="T138" s="32"/>
      <c r="U138" s="33"/>
      <c r="V138" s="33"/>
    </row>
    <row r="139" spans="2:23" x14ac:dyDescent="0.2">
      <c r="B139" s="1395"/>
      <c r="C139" s="650"/>
      <c r="D139" s="650"/>
      <c r="E139" s="650"/>
      <c r="F139" s="650"/>
      <c r="G139" s="651">
        <v>0</v>
      </c>
      <c r="H139" s="652">
        <f t="shared" si="6"/>
        <v>0</v>
      </c>
      <c r="I139" s="651">
        <v>0</v>
      </c>
      <c r="J139" s="651">
        <v>0</v>
      </c>
      <c r="K139" s="653">
        <f t="shared" si="7"/>
        <v>0</v>
      </c>
      <c r="L139" s="1399"/>
      <c r="M139"/>
      <c r="N139" s="29"/>
      <c r="O139" s="29"/>
      <c r="P139" s="18"/>
      <c r="Q139" s="18"/>
      <c r="R139" s="18"/>
      <c r="S139" s="32"/>
      <c r="T139" s="32"/>
      <c r="U139" s="33"/>
      <c r="V139" s="33"/>
    </row>
    <row r="140" spans="2:23" ht="12.75" customHeight="1" x14ac:dyDescent="0.2">
      <c r="B140" s="1395"/>
      <c r="C140" s="650"/>
      <c r="D140" s="650"/>
      <c r="E140" s="650"/>
      <c r="F140" s="650"/>
      <c r="G140" s="651">
        <v>0</v>
      </c>
      <c r="H140" s="652">
        <f t="shared" si="6"/>
        <v>0</v>
      </c>
      <c r="I140" s="651">
        <v>0</v>
      </c>
      <c r="J140" s="651">
        <v>0</v>
      </c>
      <c r="K140" s="653">
        <f t="shared" si="7"/>
        <v>0</v>
      </c>
      <c r="L140" s="1399"/>
      <c r="M140"/>
      <c r="N140" s="29"/>
      <c r="O140" s="29"/>
      <c r="P140" s="18"/>
      <c r="Q140" s="18"/>
      <c r="R140" s="18"/>
      <c r="S140" s="32"/>
      <c r="T140" s="32"/>
      <c r="U140" s="33"/>
      <c r="V140" s="33"/>
    </row>
    <row r="141" spans="2:23" ht="12.75" customHeight="1" x14ac:dyDescent="0.2">
      <c r="B141" s="1395"/>
      <c r="C141" s="650"/>
      <c r="D141" s="650"/>
      <c r="E141" s="650"/>
      <c r="F141" s="650"/>
      <c r="G141" s="651">
        <v>0</v>
      </c>
      <c r="H141" s="652">
        <f t="shared" si="6"/>
        <v>0</v>
      </c>
      <c r="I141" s="651">
        <v>0</v>
      </c>
      <c r="J141" s="651">
        <v>0</v>
      </c>
      <c r="K141" s="653">
        <f t="shared" si="7"/>
        <v>0</v>
      </c>
      <c r="L141" s="1399"/>
      <c r="M141"/>
      <c r="N141" s="29"/>
      <c r="O141" s="29"/>
      <c r="P141" s="18"/>
      <c r="Q141" s="18"/>
      <c r="R141" s="18"/>
      <c r="S141" s="32"/>
      <c r="T141" s="32"/>
      <c r="U141" s="33"/>
      <c r="V141" s="33"/>
    </row>
    <row r="142" spans="2:23" ht="13.5" customHeight="1" x14ac:dyDescent="0.2">
      <c r="B142" s="1395"/>
      <c r="C142" s="650"/>
      <c r="D142" s="650"/>
      <c r="E142" s="650"/>
      <c r="F142" s="650"/>
      <c r="G142" s="651">
        <v>0</v>
      </c>
      <c r="H142" s="652">
        <f t="shared" si="6"/>
        <v>0</v>
      </c>
      <c r="I142" s="651">
        <v>0</v>
      </c>
      <c r="J142" s="651">
        <v>0</v>
      </c>
      <c r="K142" s="653">
        <f t="shared" si="7"/>
        <v>0</v>
      </c>
      <c r="L142" s="1399"/>
      <c r="M142"/>
      <c r="N142" s="29"/>
      <c r="O142" s="29"/>
      <c r="P142" s="18"/>
      <c r="Q142" s="18"/>
      <c r="R142" s="18"/>
      <c r="S142" s="32"/>
      <c r="T142" s="32"/>
      <c r="U142" s="33"/>
      <c r="V142" s="33"/>
    </row>
    <row r="143" spans="2:23" ht="12.75" customHeight="1" x14ac:dyDescent="0.2">
      <c r="B143" s="1395"/>
      <c r="C143" s="650"/>
      <c r="D143" s="650"/>
      <c r="E143" s="650"/>
      <c r="F143" s="650"/>
      <c r="G143" s="651">
        <v>0</v>
      </c>
      <c r="H143" s="652">
        <f t="shared" si="6"/>
        <v>0</v>
      </c>
      <c r="I143" s="651">
        <v>0</v>
      </c>
      <c r="J143" s="651">
        <v>0</v>
      </c>
      <c r="K143" s="653">
        <f t="shared" si="7"/>
        <v>0</v>
      </c>
      <c r="L143" s="1399"/>
      <c r="M143"/>
      <c r="N143" s="29"/>
      <c r="O143" s="29"/>
      <c r="P143" s="18"/>
      <c r="Q143" s="18"/>
      <c r="R143" s="18"/>
      <c r="S143" s="32"/>
      <c r="T143" s="32"/>
      <c r="U143" s="33"/>
      <c r="V143" s="33"/>
    </row>
    <row r="144" spans="2:23" ht="13.5" customHeight="1" x14ac:dyDescent="0.2">
      <c r="B144" s="1395"/>
      <c r="C144" s="650"/>
      <c r="D144" s="650"/>
      <c r="E144" s="650"/>
      <c r="F144" s="650"/>
      <c r="G144" s="651">
        <v>0</v>
      </c>
      <c r="H144" s="652">
        <f t="shared" si="6"/>
        <v>0</v>
      </c>
      <c r="I144" s="651">
        <v>0</v>
      </c>
      <c r="J144" s="651">
        <v>0</v>
      </c>
      <c r="K144" s="653">
        <f t="shared" si="7"/>
        <v>0</v>
      </c>
      <c r="L144" s="1399"/>
      <c r="M144"/>
      <c r="N144" s="29"/>
      <c r="O144" s="29"/>
      <c r="P144" s="18"/>
      <c r="Q144" s="18"/>
      <c r="R144" s="18"/>
      <c r="S144" s="32"/>
      <c r="T144" s="32"/>
      <c r="U144" s="33"/>
      <c r="V144" s="33"/>
    </row>
    <row r="145" spans="2:22" ht="13.5" customHeight="1" thickBot="1" x14ac:dyDescent="0.25">
      <c r="B145" s="1397"/>
      <c r="C145" s="297"/>
      <c r="D145" s="297"/>
      <c r="E145" s="297"/>
      <c r="F145" s="297"/>
      <c r="G145" s="298">
        <v>0</v>
      </c>
      <c r="H145" s="340">
        <f t="shared" si="6"/>
        <v>0</v>
      </c>
      <c r="I145" s="298">
        <v>0</v>
      </c>
      <c r="J145" s="298">
        <v>0</v>
      </c>
      <c r="K145" s="523">
        <f t="shared" si="7"/>
        <v>0</v>
      </c>
      <c r="L145" s="1401"/>
      <c r="M145"/>
      <c r="N145" s="29"/>
      <c r="O145" s="29"/>
      <c r="P145" s="18"/>
      <c r="Q145" s="18"/>
      <c r="R145" s="18"/>
      <c r="S145" s="32"/>
      <c r="T145" s="32"/>
      <c r="U145" s="33"/>
      <c r="V145" s="33"/>
    </row>
    <row r="146" spans="2:22" ht="16.5" thickBot="1" x14ac:dyDescent="0.25">
      <c r="B146" s="22"/>
      <c r="C146"/>
      <c r="D146"/>
      <c r="E146" s="38"/>
      <c r="F146" s="38"/>
      <c r="G146" s="38"/>
      <c r="H146" s="38"/>
      <c r="I146" s="38"/>
      <c r="J146" s="38"/>
      <c r="K146" s="520" t="s">
        <v>94</v>
      </c>
      <c r="L146" s="299">
        <f>+L11+L32+L53+L59+L73+L103+L131</f>
        <v>635646700.80000007</v>
      </c>
      <c r="M146" s="23"/>
      <c r="N146" s="23"/>
      <c r="O146" s="23"/>
      <c r="P146" s="29"/>
      <c r="Q146" s="29"/>
      <c r="R146" s="29"/>
      <c r="S146" s="32"/>
      <c r="T146" s="32"/>
      <c r="U146" s="33"/>
      <c r="V146" s="33"/>
    </row>
    <row r="147" spans="2:22" x14ac:dyDescent="0.2">
      <c r="B147" s="22"/>
      <c r="C147"/>
      <c r="D147"/>
      <c r="E147" s="38"/>
      <c r="F147" s="38"/>
      <c r="G147" s="38"/>
      <c r="H147" s="38"/>
      <c r="I147" s="38"/>
      <c r="J147" s="38"/>
      <c r="K147" s="34"/>
      <c r="L147" s="34"/>
      <c r="M147" s="23"/>
      <c r="N147" s="23"/>
      <c r="O147" s="23"/>
      <c r="P147" s="29"/>
      <c r="Q147" s="29"/>
      <c r="R147" s="29"/>
      <c r="S147" s="32"/>
      <c r="T147" s="32"/>
      <c r="U147" s="33"/>
      <c r="V147" s="33"/>
    </row>
    <row r="148" spans="2:22" x14ac:dyDescent="0.2">
      <c r="B148" s="22"/>
      <c r="C148" s="22"/>
      <c r="D148" s="22"/>
      <c r="E148" s="22"/>
      <c r="F148" s="22"/>
      <c r="G148" s="22"/>
      <c r="H148" s="22"/>
      <c r="I148" s="22"/>
      <c r="J148" s="2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3"/>
      <c r="V148" s="33"/>
    </row>
    <row r="149" spans="2:22" x14ac:dyDescent="0.2">
      <c r="B149" s="22"/>
      <c r="C149" s="22"/>
      <c r="D149" s="22"/>
      <c r="E149" s="22"/>
      <c r="F149" s="22"/>
      <c r="G149" s="22"/>
      <c r="H149" s="22"/>
      <c r="I149" s="22"/>
      <c r="J149" s="2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3"/>
      <c r="V149" s="33"/>
    </row>
    <row r="150" spans="2:22" x14ac:dyDescent="0.2">
      <c r="B150" s="22"/>
      <c r="C150" s="22"/>
      <c r="D150" s="22"/>
      <c r="E150" s="22"/>
      <c r="F150" s="22"/>
      <c r="G150" s="22"/>
      <c r="H150" s="22"/>
      <c r="I150" s="22"/>
      <c r="J150" s="2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3"/>
      <c r="V150" s="33"/>
    </row>
    <row r="151" spans="2:22" x14ac:dyDescent="0.2">
      <c r="B151" s="22"/>
      <c r="C151" s="22"/>
      <c r="D151" s="22"/>
      <c r="E151" s="22"/>
      <c r="F151" s="22"/>
      <c r="G151" s="22"/>
      <c r="H151" s="22"/>
      <c r="I151" s="22"/>
      <c r="J151" s="2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3"/>
      <c r="V151" s="33"/>
    </row>
    <row r="152" spans="2:22" x14ac:dyDescent="0.2">
      <c r="B152" s="22"/>
      <c r="C152" s="22"/>
      <c r="D152" s="22"/>
      <c r="E152" s="22"/>
      <c r="F152" s="22"/>
      <c r="G152" s="22"/>
      <c r="H152" s="22"/>
      <c r="I152" s="22"/>
      <c r="J152" s="2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3"/>
      <c r="V152" s="33"/>
    </row>
    <row r="153" spans="2:22" x14ac:dyDescent="0.2">
      <c r="B153" s="22"/>
      <c r="C153" s="22"/>
      <c r="D153" s="22"/>
      <c r="E153" s="22"/>
      <c r="F153" s="22"/>
      <c r="G153" s="22"/>
      <c r="H153" s="22"/>
      <c r="I153" s="22"/>
      <c r="J153" s="2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3"/>
      <c r="V153" s="33"/>
    </row>
  </sheetData>
  <mergeCells count="41">
    <mergeCell ref="B88:B102"/>
    <mergeCell ref="L88:L102"/>
    <mergeCell ref="B131:B145"/>
    <mergeCell ref="L131:L145"/>
    <mergeCell ref="T72:W72"/>
    <mergeCell ref="B103:B130"/>
    <mergeCell ref="L103:L130"/>
    <mergeCell ref="B73:B87"/>
    <mergeCell ref="L73:L87"/>
    <mergeCell ref="I71:I72"/>
    <mergeCell ref="J71:J72"/>
    <mergeCell ref="B7:E7"/>
    <mergeCell ref="B9:B10"/>
    <mergeCell ref="C9:C10"/>
    <mergeCell ref="D9:D10"/>
    <mergeCell ref="E9:E10"/>
    <mergeCell ref="K9:K10"/>
    <mergeCell ref="L9:L10"/>
    <mergeCell ref="T10:W10"/>
    <mergeCell ref="B11:B31"/>
    <mergeCell ref="L11:L31"/>
    <mergeCell ref="F9:F10"/>
    <mergeCell ref="G9:G10"/>
    <mergeCell ref="H9:H10"/>
    <mergeCell ref="I9:I10"/>
    <mergeCell ref="J9:J10"/>
    <mergeCell ref="B32:B52"/>
    <mergeCell ref="L32:L52"/>
    <mergeCell ref="B53:B58"/>
    <mergeCell ref="K71:K72"/>
    <mergeCell ref="L71:L72"/>
    <mergeCell ref="L53:L58"/>
    <mergeCell ref="B59:B70"/>
    <mergeCell ref="L59:L70"/>
    <mergeCell ref="B71:B72"/>
    <mergeCell ref="C71:C72"/>
    <mergeCell ref="D71:D72"/>
    <mergeCell ref="E71:E72"/>
    <mergeCell ref="F71:F72"/>
    <mergeCell ref="G71:G72"/>
    <mergeCell ref="H71:H72"/>
  </mergeCells>
  <phoneticPr fontId="4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S31"/>
  <sheetViews>
    <sheetView showGridLines="0" zoomScale="80" zoomScaleNormal="80" workbookViewId="0">
      <selection activeCell="A12" sqref="A12:D12"/>
    </sheetView>
  </sheetViews>
  <sheetFormatPr baseColWidth="10" defaultColWidth="10.85546875" defaultRowHeight="12.75" x14ac:dyDescent="0.2"/>
  <cols>
    <col min="1" max="1" width="33" style="2" customWidth="1"/>
    <col min="2" max="2" width="33" style="2" bestFit="1" customWidth="1"/>
    <col min="3" max="12" width="14.85546875" style="2" customWidth="1"/>
    <col min="13" max="13" width="33.5703125" style="2" bestFit="1" customWidth="1"/>
    <col min="14" max="14" width="14.85546875" style="2" customWidth="1"/>
    <col min="15" max="15" width="33.5703125" style="2" bestFit="1" customWidth="1"/>
    <col min="16" max="16" width="14.85546875" style="2" customWidth="1"/>
    <col min="17" max="17" width="14.140625" style="2" customWidth="1"/>
    <col min="18" max="16384" width="10.85546875" style="2"/>
  </cols>
  <sheetData>
    <row r="1" spans="1:19" x14ac:dyDescent="0.2">
      <c r="B1" s="37"/>
      <c r="C1" s="37"/>
      <c r="D1" s="37" t="s">
        <v>227</v>
      </c>
      <c r="E1" s="37"/>
      <c r="F1" s="37"/>
      <c r="G1" s="37"/>
      <c r="H1" s="37"/>
      <c r="I1" s="37"/>
      <c r="J1" s="37"/>
      <c r="K1" s="37"/>
      <c r="L1" s="37"/>
      <c r="M1" s="37"/>
      <c r="N1" s="37"/>
      <c r="P1" s="37"/>
    </row>
    <row r="2" spans="1:19" x14ac:dyDescent="0.2">
      <c r="B2" s="37"/>
      <c r="C2" s="37"/>
      <c r="D2" s="37" t="s">
        <v>219</v>
      </c>
      <c r="E2" s="37"/>
      <c r="F2" s="37"/>
      <c r="G2" s="37"/>
      <c r="H2" s="37"/>
      <c r="I2" s="37"/>
      <c r="J2" s="37"/>
      <c r="K2" s="37"/>
      <c r="L2" s="37"/>
      <c r="M2" s="37"/>
      <c r="N2" s="37"/>
      <c r="P2" s="37"/>
    </row>
    <row r="3" spans="1:19" x14ac:dyDescent="0.2">
      <c r="C3" s="4"/>
      <c r="D3" s="4"/>
      <c r="E3" s="4"/>
      <c r="F3" s="4"/>
      <c r="G3" s="4"/>
      <c r="H3" s="4"/>
      <c r="I3" s="4"/>
      <c r="J3" s="4"/>
      <c r="K3" s="4"/>
      <c r="L3" s="4"/>
      <c r="N3" s="4"/>
      <c r="P3" s="4"/>
    </row>
    <row r="4" spans="1:19" ht="18.75" customHeight="1" x14ac:dyDescent="0.2">
      <c r="C4" s="17" t="s">
        <v>0</v>
      </c>
      <c r="D4" s="1276" t="str">
        <f>+'B) Reajuste Tarifas y Ocupación'!F5</f>
        <v>BIENVALP</v>
      </c>
      <c r="E4" s="1439"/>
      <c r="F4" s="1440"/>
      <c r="G4" s="37"/>
      <c r="H4" s="37"/>
      <c r="I4" s="37"/>
      <c r="J4" s="37"/>
      <c r="K4" s="37"/>
      <c r="L4" s="37"/>
      <c r="N4" s="37"/>
      <c r="P4" s="37"/>
    </row>
    <row r="5" spans="1:19" x14ac:dyDescent="0.2">
      <c r="A5" s="6"/>
      <c r="B5" s="6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P5" s="37"/>
    </row>
    <row r="6" spans="1:19" x14ac:dyDescent="0.2">
      <c r="A6" s="6"/>
      <c r="B6" s="6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</row>
    <row r="7" spans="1:19" ht="12.75" customHeight="1" x14ac:dyDescent="0.2">
      <c r="A7" s="1454" t="s">
        <v>131</v>
      </c>
      <c r="B7" s="1455"/>
      <c r="C7" s="1455"/>
      <c r="D7" s="1455"/>
      <c r="E7" s="1455"/>
      <c r="F7" s="1455"/>
      <c r="G7" s="1455"/>
      <c r="H7" s="1455"/>
      <c r="I7" s="1455"/>
      <c r="J7" s="1455"/>
      <c r="K7" s="1455"/>
      <c r="L7" s="1455"/>
      <c r="M7" s="1455"/>
      <c r="N7" s="1455"/>
      <c r="O7" s="1456"/>
      <c r="P7" s="55"/>
    </row>
    <row r="8" spans="1:19" x14ac:dyDescent="0.2">
      <c r="A8" s="1457"/>
      <c r="B8" s="1458"/>
      <c r="C8" s="1458"/>
      <c r="D8" s="1458"/>
      <c r="E8" s="1458"/>
      <c r="F8" s="1458"/>
      <c r="G8" s="1458"/>
      <c r="H8" s="1458"/>
      <c r="I8" s="1458"/>
      <c r="J8" s="1458"/>
      <c r="K8" s="1458"/>
      <c r="L8" s="1458"/>
      <c r="M8" s="1458"/>
      <c r="N8" s="1458"/>
      <c r="O8" s="1459"/>
      <c r="P8" s="55"/>
    </row>
    <row r="9" spans="1:19" x14ac:dyDescent="0.2">
      <c r="A9" s="1460"/>
      <c r="B9" s="1461"/>
      <c r="C9" s="1461"/>
      <c r="D9" s="1461"/>
      <c r="E9" s="1461"/>
      <c r="F9" s="1461"/>
      <c r="G9" s="1461"/>
      <c r="H9" s="1461"/>
      <c r="I9" s="1461"/>
      <c r="J9" s="1461"/>
      <c r="K9" s="1461"/>
      <c r="L9" s="1461"/>
      <c r="M9" s="1461"/>
      <c r="N9" s="1461"/>
      <c r="O9" s="1462"/>
      <c r="P9" s="55"/>
    </row>
    <row r="10" spans="1:19" x14ac:dyDescent="0.2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</row>
    <row r="11" spans="1:19" x14ac:dyDescent="0.2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</row>
    <row r="12" spans="1:19" ht="15.75" x14ac:dyDescent="0.2">
      <c r="A12" s="1166" t="s">
        <v>176</v>
      </c>
      <c r="B12" s="1166"/>
      <c r="C12" s="1166"/>
      <c r="D12" s="1166"/>
      <c r="E12" s="127"/>
      <c r="F12" s="55"/>
      <c r="G12" s="55"/>
      <c r="H12" s="55"/>
      <c r="I12" s="47"/>
      <c r="J12" s="47"/>
      <c r="K12" s="55"/>
      <c r="L12" s="55"/>
      <c r="M12" s="55"/>
      <c r="N12" s="55"/>
      <c r="O12" s="55"/>
      <c r="P12" s="55"/>
    </row>
    <row r="13" spans="1:19" ht="13.5" thickBot="1" x14ac:dyDescent="0.25">
      <c r="A13" s="6"/>
      <c r="B13" s="6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P13" s="37"/>
    </row>
    <row r="14" spans="1:19" ht="20.25" customHeight="1" x14ac:dyDescent="0.2">
      <c r="A14" s="1435" t="s">
        <v>140</v>
      </c>
      <c r="B14" s="1444" t="s">
        <v>5</v>
      </c>
      <c r="C14" s="1448" t="s">
        <v>276</v>
      </c>
      <c r="D14" s="1449"/>
      <c r="E14" s="1449"/>
      <c r="F14" s="1449"/>
      <c r="G14" s="1450"/>
      <c r="H14" s="1451" t="s">
        <v>157</v>
      </c>
      <c r="I14" s="1452"/>
      <c r="J14" s="1452"/>
      <c r="K14" s="1452"/>
      <c r="L14" s="1453"/>
      <c r="M14" s="1446" t="s">
        <v>110</v>
      </c>
      <c r="N14" s="1447"/>
      <c r="O14" s="1441" t="s">
        <v>111</v>
      </c>
      <c r="P14" s="1442"/>
      <c r="Q14" s="1437" t="s">
        <v>132</v>
      </c>
    </row>
    <row r="15" spans="1:19" ht="72.75" customHeight="1" thickBot="1" x14ac:dyDescent="0.25">
      <c r="A15" s="1443"/>
      <c r="B15" s="1445"/>
      <c r="C15" s="224" t="s">
        <v>86</v>
      </c>
      <c r="D15" s="225" t="s">
        <v>142</v>
      </c>
      <c r="E15" s="225" t="s">
        <v>143</v>
      </c>
      <c r="F15" s="225" t="s">
        <v>87</v>
      </c>
      <c r="G15" s="226" t="s">
        <v>88</v>
      </c>
      <c r="H15" s="231" t="s">
        <v>86</v>
      </c>
      <c r="I15" s="232" t="s">
        <v>142</v>
      </c>
      <c r="J15" s="232" t="s">
        <v>143</v>
      </c>
      <c r="K15" s="232" t="s">
        <v>87</v>
      </c>
      <c r="L15" s="233" t="s">
        <v>88</v>
      </c>
      <c r="M15" s="309" t="s">
        <v>72</v>
      </c>
      <c r="N15" s="317" t="s">
        <v>85</v>
      </c>
      <c r="O15" s="306" t="s">
        <v>72</v>
      </c>
      <c r="P15" s="317" t="s">
        <v>85</v>
      </c>
      <c r="Q15" s="1438"/>
    </row>
    <row r="16" spans="1:19" ht="12.75" customHeight="1" x14ac:dyDescent="0.2">
      <c r="A16" s="1427" t="str">
        <f>'B) Reajuste Tarifas y Ocupación'!A12</f>
        <v>Jardín Infantil Lobito Marino</v>
      </c>
      <c r="B16" s="227" t="str">
        <f>+'B) Reajuste Tarifas y Ocupación'!B12</f>
        <v>Media jornada</v>
      </c>
      <c r="C16" s="165">
        <f>+'B) Reajuste Tarifas y Ocupación'!M12</f>
        <v>118900</v>
      </c>
      <c r="D16" s="166">
        <f>+'B) Reajuste Tarifas y Ocupación'!N12</f>
        <v>160500</v>
      </c>
      <c r="E16" s="166">
        <f>+'B) Reajuste Tarifas y Ocupación'!O12</f>
        <v>166400</v>
      </c>
      <c r="F16" s="166">
        <f>+'B) Reajuste Tarifas y Ocupación'!P12</f>
        <v>159300</v>
      </c>
      <c r="G16" s="171">
        <f>+'B) Reajuste Tarifas y Ocupación'!Q12</f>
        <v>234400</v>
      </c>
      <c r="H16" s="234">
        <f>IFERROR(C16/$Q16,0)</f>
        <v>0</v>
      </c>
      <c r="I16" s="235">
        <f>IFERROR(D16/$Q16,0)</f>
        <v>0</v>
      </c>
      <c r="J16" s="235">
        <f>IFERROR(E16/$Q16,0)</f>
        <v>0</v>
      </c>
      <c r="K16" s="235">
        <f>IFERROR(F16/$Q16,0)</f>
        <v>0</v>
      </c>
      <c r="L16" s="236">
        <f t="shared" ref="L16" si="0">IFERROR(G16/$Q16,0)</f>
        <v>0</v>
      </c>
      <c r="M16" s="318" t="s">
        <v>129</v>
      </c>
      <c r="N16" s="301">
        <v>0</v>
      </c>
      <c r="O16" s="213" t="s">
        <v>130</v>
      </c>
      <c r="P16" s="301">
        <v>0</v>
      </c>
      <c r="Q16" s="228">
        <f>AVERAGE(N16,P16)</f>
        <v>0</v>
      </c>
      <c r="R16" s="18"/>
      <c r="S16" s="19"/>
    </row>
    <row r="17" spans="1:19" ht="13.5" thickBot="1" x14ac:dyDescent="0.25">
      <c r="A17" s="1427"/>
      <c r="B17" s="227" t="str">
        <f>+'B) Reajuste Tarifas y Ocupación'!B13</f>
        <v>Jornada completa</v>
      </c>
      <c r="C17" s="191">
        <f>+'B) Reajuste Tarifas y Ocupación'!M13</f>
        <v>194000</v>
      </c>
      <c r="D17" s="223">
        <f>+'B) Reajuste Tarifas y Ocupación'!N13</f>
        <v>261900</v>
      </c>
      <c r="E17" s="223">
        <f>+'B) Reajuste Tarifas y Ocupación'!O13</f>
        <v>271600</v>
      </c>
      <c r="F17" s="223">
        <f>+'B) Reajuste Tarifas y Ocupación'!P13</f>
        <v>327500</v>
      </c>
      <c r="G17" s="230">
        <f>+'B) Reajuste Tarifas y Ocupación'!Q13</f>
        <v>488400</v>
      </c>
      <c r="H17" s="319">
        <f t="shared" ref="H17:H19" si="1">IFERROR(C17/$Q17,0)</f>
        <v>0</v>
      </c>
      <c r="I17" s="320">
        <f t="shared" ref="I17:I19" si="2">IFERROR(D17/$Q17,0)</f>
        <v>0</v>
      </c>
      <c r="J17" s="320">
        <f t="shared" ref="J17:J19" si="3">IFERROR(E17/$Q17,0)</f>
        <v>0</v>
      </c>
      <c r="K17" s="320">
        <f t="shared" ref="K17:K19" si="4">IFERROR(F17/$Q17,0)</f>
        <v>0</v>
      </c>
      <c r="L17" s="321">
        <f t="shared" ref="L17:L19" si="5">IFERROR(G17/$Q17,0)</f>
        <v>0</v>
      </c>
      <c r="M17" s="344" t="s">
        <v>129</v>
      </c>
      <c r="N17" s="345">
        <v>0</v>
      </c>
      <c r="O17" s="344" t="s">
        <v>130</v>
      </c>
      <c r="P17" s="345">
        <v>0</v>
      </c>
      <c r="Q17" s="346">
        <f t="shared" ref="Q17:Q18" si="6">AVERAGE(N17,P17)</f>
        <v>0</v>
      </c>
      <c r="R17" s="18"/>
      <c r="S17" s="19"/>
    </row>
    <row r="18" spans="1:19" ht="12.75" customHeight="1" x14ac:dyDescent="0.2">
      <c r="A18" s="1428" t="str">
        <f>'B) Reajuste Tarifas y Ocupación'!A14</f>
        <v>Jardín Infantil Los Delfines</v>
      </c>
      <c r="B18" s="211" t="str">
        <f>+'B) Reajuste Tarifas y Ocupación'!B14</f>
        <v>Media jornada</v>
      </c>
      <c r="C18" s="165">
        <f>+'B) Reajuste Tarifas y Ocupación'!M14</f>
        <v>118900</v>
      </c>
      <c r="D18" s="166">
        <f>+'B) Reajuste Tarifas y Ocupación'!N14</f>
        <v>160500</v>
      </c>
      <c r="E18" s="166">
        <f>+'B) Reajuste Tarifas y Ocupación'!O14</f>
        <v>166400</v>
      </c>
      <c r="F18" s="166">
        <f>+'B) Reajuste Tarifas y Ocupación'!P14</f>
        <v>159300</v>
      </c>
      <c r="G18" s="171">
        <f>+'B) Reajuste Tarifas y Ocupación'!Q14</f>
        <v>234400</v>
      </c>
      <c r="H18" s="234">
        <f t="shared" si="1"/>
        <v>0</v>
      </c>
      <c r="I18" s="235">
        <f t="shared" si="2"/>
        <v>0</v>
      </c>
      <c r="J18" s="235">
        <f t="shared" si="3"/>
        <v>0</v>
      </c>
      <c r="K18" s="235">
        <f t="shared" si="4"/>
        <v>0</v>
      </c>
      <c r="L18" s="236">
        <f t="shared" si="5"/>
        <v>0</v>
      </c>
      <c r="M18" s="348" t="s">
        <v>73</v>
      </c>
      <c r="N18" s="301">
        <v>0</v>
      </c>
      <c r="O18" s="318" t="s">
        <v>73</v>
      </c>
      <c r="P18" s="301">
        <v>0</v>
      </c>
      <c r="Q18" s="214">
        <f t="shared" si="6"/>
        <v>0</v>
      </c>
    </row>
    <row r="19" spans="1:19" ht="12.75" customHeight="1" thickBot="1" x14ac:dyDescent="0.25">
      <c r="A19" s="1427"/>
      <c r="B19" s="227" t="str">
        <f>+'B) Reajuste Tarifas y Ocupación'!B15</f>
        <v>Jornada completa</v>
      </c>
      <c r="C19" s="191">
        <f>+'B) Reajuste Tarifas y Ocupación'!M15</f>
        <v>194000</v>
      </c>
      <c r="D19" s="223">
        <f>+'B) Reajuste Tarifas y Ocupación'!N15</f>
        <v>261900</v>
      </c>
      <c r="E19" s="223">
        <f>+'B) Reajuste Tarifas y Ocupación'!O15</f>
        <v>271600</v>
      </c>
      <c r="F19" s="223">
        <f>+'B) Reajuste Tarifas y Ocupación'!P15</f>
        <v>327500</v>
      </c>
      <c r="G19" s="230">
        <f>+'B) Reajuste Tarifas y Ocupación'!Q15</f>
        <v>488400</v>
      </c>
      <c r="H19" s="319">
        <f t="shared" si="1"/>
        <v>0</v>
      </c>
      <c r="I19" s="320">
        <f t="shared" si="2"/>
        <v>0</v>
      </c>
      <c r="J19" s="320">
        <f t="shared" si="3"/>
        <v>0</v>
      </c>
      <c r="K19" s="320">
        <f t="shared" si="4"/>
        <v>0</v>
      </c>
      <c r="L19" s="321">
        <f t="shared" si="5"/>
        <v>0</v>
      </c>
      <c r="M19" s="304" t="s">
        <v>73</v>
      </c>
      <c r="N19" s="305">
        <v>0</v>
      </c>
      <c r="O19" s="308" t="s">
        <v>73</v>
      </c>
      <c r="P19" s="305">
        <v>0</v>
      </c>
      <c r="Q19" s="349">
        <f>AVERAGE(N19,P19)</f>
        <v>0</v>
      </c>
    </row>
    <row r="20" spans="1:19" ht="27" customHeight="1" thickBot="1" x14ac:dyDescent="0.25">
      <c r="A20" s="332" t="str">
        <f>'B) Reajuste Tarifas y Ocupación'!A16</f>
        <v>Jardín Infantil Pecesitos de Colores</v>
      </c>
      <c r="B20" s="211" t="str">
        <f>+'B) Reajuste Tarifas y Ocupación'!B16</f>
        <v>Media jornada</v>
      </c>
      <c r="C20" s="191">
        <f>+'B) Reajuste Tarifas y Ocupación'!M16</f>
        <v>51300</v>
      </c>
      <c r="D20" s="223">
        <f>+'B) Reajuste Tarifas y Ocupación'!N16</f>
        <v>69300</v>
      </c>
      <c r="E20" s="223">
        <f>+'B) Reajuste Tarifas y Ocupación'!O16</f>
        <v>71900</v>
      </c>
      <c r="F20" s="223">
        <f>+'B) Reajuste Tarifas y Ocupación'!P16</f>
        <v>64300</v>
      </c>
      <c r="G20" s="230">
        <f>+'B) Reajuste Tarifas y Ocupación'!Q16</f>
        <v>77000</v>
      </c>
      <c r="H20" s="319">
        <f t="shared" ref="H20:H22" si="7">IFERROR(C20/$Q20,0)</f>
        <v>0</v>
      </c>
      <c r="I20" s="320">
        <f t="shared" ref="I20:I22" si="8">IFERROR(D20/$Q20,0)</f>
        <v>0</v>
      </c>
      <c r="J20" s="320">
        <f t="shared" ref="J20:J22" si="9">IFERROR(E20/$Q20,0)</f>
        <v>0</v>
      </c>
      <c r="K20" s="320">
        <f t="shared" ref="K20:K22" si="10">IFERROR(F20/$Q20,0)</f>
        <v>0</v>
      </c>
      <c r="L20" s="321">
        <f t="shared" ref="L20:L22" si="11">IFERROR(G20/$Q20,0)</f>
        <v>0</v>
      </c>
      <c r="M20" s="304" t="s">
        <v>73</v>
      </c>
      <c r="N20" s="305">
        <v>0</v>
      </c>
      <c r="O20" s="308" t="s">
        <v>73</v>
      </c>
      <c r="P20" s="305">
        <v>0</v>
      </c>
      <c r="Q20" s="349">
        <f>AVERAGE(N20,P20)</f>
        <v>0</v>
      </c>
    </row>
    <row r="21" spans="1:19" ht="12.75" customHeight="1" thickBot="1" x14ac:dyDescent="0.25">
      <c r="A21" s="1428" t="str">
        <f>'B) Reajuste Tarifas y Ocupación'!A17</f>
        <v>Jardín Infantil Caracolito de Mar</v>
      </c>
      <c r="B21" s="211" t="str">
        <f>+'B) Reajuste Tarifas y Ocupación'!B17</f>
        <v>Media jornada</v>
      </c>
      <c r="C21" s="191">
        <f>+'B) Reajuste Tarifas y Ocupación'!M17</f>
        <v>118900</v>
      </c>
      <c r="D21" s="223">
        <f>+'B) Reajuste Tarifas y Ocupación'!N17</f>
        <v>160500</v>
      </c>
      <c r="E21" s="223">
        <f>+'B) Reajuste Tarifas y Ocupación'!O17</f>
        <v>166400</v>
      </c>
      <c r="F21" s="223">
        <f>+'B) Reajuste Tarifas y Ocupación'!P17</f>
        <v>159300</v>
      </c>
      <c r="G21" s="230">
        <f>+'B) Reajuste Tarifas y Ocupación'!Q17</f>
        <v>234400</v>
      </c>
      <c r="H21" s="319">
        <f t="shared" si="7"/>
        <v>0</v>
      </c>
      <c r="I21" s="320">
        <f t="shared" si="8"/>
        <v>0</v>
      </c>
      <c r="J21" s="320">
        <f t="shared" si="9"/>
        <v>0</v>
      </c>
      <c r="K21" s="320">
        <f t="shared" si="10"/>
        <v>0</v>
      </c>
      <c r="L21" s="321">
        <f t="shared" si="11"/>
        <v>0</v>
      </c>
      <c r="M21" s="304" t="s">
        <v>73</v>
      </c>
      <c r="N21" s="305">
        <v>0</v>
      </c>
      <c r="O21" s="308" t="s">
        <v>73</v>
      </c>
      <c r="P21" s="305">
        <v>0</v>
      </c>
      <c r="Q21" s="349">
        <f t="shared" ref="Q21:Q22" si="12">AVERAGE(N21,P21)</f>
        <v>0</v>
      </c>
    </row>
    <row r="22" spans="1:19" ht="12.75" customHeight="1" thickBot="1" x14ac:dyDescent="0.25">
      <c r="A22" s="1429"/>
      <c r="B22" s="229" t="str">
        <f>+'B) Reajuste Tarifas y Ocupación'!B18</f>
        <v>Jornada completa</v>
      </c>
      <c r="C22" s="191">
        <f>+'B) Reajuste Tarifas y Ocupación'!M18</f>
        <v>194000</v>
      </c>
      <c r="D22" s="223">
        <f>+'B) Reajuste Tarifas y Ocupación'!N18</f>
        <v>261900</v>
      </c>
      <c r="E22" s="223">
        <f>+'B) Reajuste Tarifas y Ocupación'!O18</f>
        <v>271600</v>
      </c>
      <c r="F22" s="223">
        <f>+'B) Reajuste Tarifas y Ocupación'!P18</f>
        <v>327500</v>
      </c>
      <c r="G22" s="230">
        <f>+'B) Reajuste Tarifas y Ocupación'!Q18</f>
        <v>488400</v>
      </c>
      <c r="H22" s="319">
        <f t="shared" si="7"/>
        <v>0</v>
      </c>
      <c r="I22" s="320">
        <f t="shared" si="8"/>
        <v>0</v>
      </c>
      <c r="J22" s="320">
        <f t="shared" si="9"/>
        <v>0</v>
      </c>
      <c r="K22" s="320">
        <f t="shared" si="10"/>
        <v>0</v>
      </c>
      <c r="L22" s="321">
        <f t="shared" si="11"/>
        <v>0</v>
      </c>
      <c r="M22" s="304" t="s">
        <v>73</v>
      </c>
      <c r="N22" s="305">
        <v>0</v>
      </c>
      <c r="O22" s="308" t="s">
        <v>73</v>
      </c>
      <c r="P22" s="305">
        <v>0</v>
      </c>
      <c r="Q22" s="349">
        <f t="shared" si="12"/>
        <v>0</v>
      </c>
    </row>
    <row r="23" spans="1:19" ht="12.75" customHeight="1" thickBot="1" x14ac:dyDescent="0.25"/>
    <row r="24" spans="1:19" ht="20.25" customHeight="1" x14ac:dyDescent="0.2">
      <c r="A24" s="1435" t="s">
        <v>141</v>
      </c>
      <c r="B24" s="1444" t="s">
        <v>5</v>
      </c>
      <c r="C24" s="1448" t="s">
        <v>276</v>
      </c>
      <c r="D24" s="1449"/>
      <c r="E24" s="1449"/>
      <c r="F24" s="1449"/>
      <c r="G24" s="1450"/>
      <c r="H24" s="1451" t="s">
        <v>157</v>
      </c>
      <c r="I24" s="1452"/>
      <c r="J24" s="1452"/>
      <c r="K24" s="1452"/>
      <c r="L24" s="1453"/>
      <c r="M24" s="1466" t="s">
        <v>110</v>
      </c>
      <c r="N24" s="1467"/>
      <c r="O24" s="1468" t="s">
        <v>111</v>
      </c>
      <c r="P24" s="1467"/>
      <c r="Q24" s="1463" t="s">
        <v>132</v>
      </c>
    </row>
    <row r="25" spans="1:19" ht="84" customHeight="1" thickBot="1" x14ac:dyDescent="0.25">
      <c r="A25" s="1436"/>
      <c r="B25" s="1465"/>
      <c r="C25" s="215" t="s">
        <v>86</v>
      </c>
      <c r="D25" s="216" t="s">
        <v>142</v>
      </c>
      <c r="E25" s="216" t="s">
        <v>143</v>
      </c>
      <c r="F25" s="216" t="s">
        <v>87</v>
      </c>
      <c r="G25" s="217" t="s">
        <v>88</v>
      </c>
      <c r="H25" s="242" t="s">
        <v>86</v>
      </c>
      <c r="I25" s="243" t="s">
        <v>142</v>
      </c>
      <c r="J25" s="240" t="s">
        <v>143</v>
      </c>
      <c r="K25" s="243" t="s">
        <v>87</v>
      </c>
      <c r="L25" s="310" t="s">
        <v>88</v>
      </c>
      <c r="M25" s="350" t="s">
        <v>72</v>
      </c>
      <c r="N25" s="295" t="s">
        <v>85</v>
      </c>
      <c r="O25" s="351" t="s">
        <v>72</v>
      </c>
      <c r="P25" s="295" t="s">
        <v>85</v>
      </c>
      <c r="Q25" s="1464"/>
    </row>
    <row r="26" spans="1:19" ht="12.75" customHeight="1" x14ac:dyDescent="0.2">
      <c r="A26" s="1428" t="str">
        <f>'B) Reajuste Tarifas y Ocupación'!A22</f>
        <v>Sala Cuna Caracolito de Mar</v>
      </c>
      <c r="B26" s="211" t="str">
        <f>+'B) Reajuste Tarifas y Ocupación'!B22</f>
        <v>Diurna</v>
      </c>
      <c r="C26" s="165">
        <f>+'B) Reajuste Tarifas y Ocupación'!M22</f>
        <v>397800</v>
      </c>
      <c r="D26" s="166">
        <f>+'B) Reajuste Tarifas y Ocupación'!N22</f>
        <v>537000</v>
      </c>
      <c r="E26" s="166">
        <f>+'B) Reajuste Tarifas y Ocupación'!O22</f>
        <v>556900</v>
      </c>
      <c r="F26" s="166">
        <f>+'B) Reajuste Tarifas y Ocupación'!P22</f>
        <v>497200</v>
      </c>
      <c r="G26" s="171">
        <f>+'B) Reajuste Tarifas y Ocupación'!Q22</f>
        <v>596600</v>
      </c>
      <c r="H26" s="234">
        <f>IFERROR(C26/$Q26,0)</f>
        <v>0</v>
      </c>
      <c r="I26" s="235">
        <f t="shared" ref="I26:L26" si="13">IFERROR(D26/$Q26,0)</f>
        <v>0</v>
      </c>
      <c r="J26" s="235">
        <f t="shared" si="13"/>
        <v>0</v>
      </c>
      <c r="K26" s="235">
        <f t="shared" si="13"/>
        <v>0</v>
      </c>
      <c r="L26" s="311">
        <f t="shared" si="13"/>
        <v>0</v>
      </c>
      <c r="M26" s="348" t="s">
        <v>138</v>
      </c>
      <c r="N26" s="301">
        <v>0</v>
      </c>
      <c r="O26" s="318" t="s">
        <v>139</v>
      </c>
      <c r="P26" s="301">
        <v>0</v>
      </c>
      <c r="Q26" s="214">
        <f t="shared" ref="Q26:Q31" si="14">AVERAGE(N26,P26)</f>
        <v>0</v>
      </c>
    </row>
    <row r="27" spans="1:19" ht="12.75" customHeight="1" x14ac:dyDescent="0.2">
      <c r="A27" s="1430"/>
      <c r="B27" s="210" t="str">
        <f>+'B) Reajuste Tarifas y Ocupación'!B23</f>
        <v>Nocturna</v>
      </c>
      <c r="C27" s="1474"/>
      <c r="D27" s="1475"/>
      <c r="E27" s="1475"/>
      <c r="F27" s="1475"/>
      <c r="G27" s="1476"/>
      <c r="H27" s="1471"/>
      <c r="I27" s="1472"/>
      <c r="J27" s="1472"/>
      <c r="K27" s="1472"/>
      <c r="L27" s="1473"/>
      <c r="M27" s="1469"/>
      <c r="N27" s="1470"/>
      <c r="O27" s="1469"/>
      <c r="P27" s="1470"/>
      <c r="Q27" s="440"/>
    </row>
    <row r="28" spans="1:19" ht="12.75" customHeight="1" thickBot="1" x14ac:dyDescent="0.25">
      <c r="A28" s="1431"/>
      <c r="B28" s="219" t="str">
        <f>+'B) Reajuste Tarifas y Ocupación'!B24</f>
        <v>Media Jornada</v>
      </c>
      <c r="C28" s="220">
        <f>+'B) Reajuste Tarifas y Ocupación'!M24</f>
        <v>238900</v>
      </c>
      <c r="D28" s="221">
        <f>+'B) Reajuste Tarifas y Ocupación'!N24</f>
        <v>322600</v>
      </c>
      <c r="E28" s="221">
        <f>+'B) Reajuste Tarifas y Ocupación'!O24</f>
        <v>334500</v>
      </c>
      <c r="F28" s="221">
        <f>+'B) Reajuste Tarifas y Ocupación'!P24</f>
        <v>358100</v>
      </c>
      <c r="G28" s="239">
        <f>+'B) Reajuste Tarifas y Ocupación'!Q24</f>
        <v>477400</v>
      </c>
      <c r="H28" s="237">
        <f t="shared" ref="H28:H31" si="15">IFERROR(C28/$Q28,0)</f>
        <v>0</v>
      </c>
      <c r="I28" s="238">
        <f t="shared" ref="I28:I31" si="16">IFERROR(D28/$Q28,0)</f>
        <v>0</v>
      </c>
      <c r="J28" s="238">
        <f t="shared" ref="J28:J31" si="17">IFERROR(E28/$Q28,0)</f>
        <v>0</v>
      </c>
      <c r="K28" s="238">
        <f t="shared" ref="K28:K31" si="18">IFERROR(F28/$Q28,0)</f>
        <v>0</v>
      </c>
      <c r="L28" s="300">
        <f t="shared" ref="L28:L31" si="19">IFERROR(G28/$Q28,0)</f>
        <v>0</v>
      </c>
      <c r="M28" s="304" t="s">
        <v>138</v>
      </c>
      <c r="N28" s="305">
        <v>0</v>
      </c>
      <c r="O28" s="308" t="s">
        <v>139</v>
      </c>
      <c r="P28" s="305">
        <v>0</v>
      </c>
      <c r="Q28" s="349">
        <f t="shared" si="14"/>
        <v>0</v>
      </c>
    </row>
    <row r="29" spans="1:19" ht="12.75" customHeight="1" x14ac:dyDescent="0.2">
      <c r="A29" s="1432" t="str">
        <f>'B) Reajuste Tarifas y Ocupación'!A25</f>
        <v>Sala Cuna Mar Azul</v>
      </c>
      <c r="B29" s="212" t="str">
        <f>+'B) Reajuste Tarifas y Ocupación'!B25</f>
        <v>Diurna</v>
      </c>
      <c r="C29" s="165">
        <f>+'B) Reajuste Tarifas y Ocupación'!M25</f>
        <v>397800</v>
      </c>
      <c r="D29" s="166">
        <f>+'B) Reajuste Tarifas y Ocupación'!N25</f>
        <v>537000</v>
      </c>
      <c r="E29" s="166">
        <f>+'B) Reajuste Tarifas y Ocupación'!O25</f>
        <v>556900</v>
      </c>
      <c r="F29" s="166">
        <f>+'B) Reajuste Tarifas y Ocupación'!P25</f>
        <v>497200</v>
      </c>
      <c r="G29" s="171">
        <f>+'B) Reajuste Tarifas y Ocupación'!Q25</f>
        <v>596600</v>
      </c>
      <c r="H29" s="234">
        <f t="shared" si="15"/>
        <v>0</v>
      </c>
      <c r="I29" s="235">
        <f t="shared" si="16"/>
        <v>0</v>
      </c>
      <c r="J29" s="235">
        <f t="shared" si="17"/>
        <v>0</v>
      </c>
      <c r="K29" s="235">
        <f t="shared" si="18"/>
        <v>0</v>
      </c>
      <c r="L29" s="311">
        <f t="shared" si="19"/>
        <v>0</v>
      </c>
      <c r="M29" s="314" t="s">
        <v>73</v>
      </c>
      <c r="N29" s="315">
        <v>0</v>
      </c>
      <c r="O29" s="316" t="s">
        <v>73</v>
      </c>
      <c r="P29" s="315">
        <v>0</v>
      </c>
      <c r="Q29" s="347">
        <f t="shared" si="14"/>
        <v>0</v>
      </c>
    </row>
    <row r="30" spans="1:19" ht="12.75" customHeight="1" x14ac:dyDescent="0.2">
      <c r="A30" s="1433"/>
      <c r="B30" s="210" t="str">
        <f>+'B) Reajuste Tarifas y Ocupación'!B26</f>
        <v>Nocturna</v>
      </c>
      <c r="C30" s="218">
        <f>+'B) Reajuste Tarifas y Ocupación'!M26</f>
        <v>320900</v>
      </c>
      <c r="D30" s="1378"/>
      <c r="E30" s="1379"/>
      <c r="F30" s="1379"/>
      <c r="G30" s="1380"/>
      <c r="H30" s="241">
        <f t="shared" si="15"/>
        <v>0</v>
      </c>
      <c r="I30" s="1477"/>
      <c r="J30" s="1478"/>
      <c r="K30" s="1478"/>
      <c r="L30" s="1479"/>
      <c r="M30" s="302" t="s">
        <v>73</v>
      </c>
      <c r="N30" s="303">
        <v>0</v>
      </c>
      <c r="O30" s="307" t="s">
        <v>73</v>
      </c>
      <c r="P30" s="303">
        <v>0</v>
      </c>
      <c r="Q30" s="312">
        <f t="shared" si="14"/>
        <v>0</v>
      </c>
    </row>
    <row r="31" spans="1:19" ht="12.75" customHeight="1" thickBot="1" x14ac:dyDescent="0.25">
      <c r="A31" s="1434"/>
      <c r="B31" s="222" t="str">
        <f>+'B) Reajuste Tarifas y Ocupación'!B27</f>
        <v>Media Jornada</v>
      </c>
      <c r="C31" s="191">
        <f>+'B) Reajuste Tarifas y Ocupación'!M27</f>
        <v>238900</v>
      </c>
      <c r="D31" s="223">
        <f>+'B) Reajuste Tarifas y Ocupación'!N27</f>
        <v>322600</v>
      </c>
      <c r="E31" s="223">
        <f>+'B) Reajuste Tarifas y Ocupación'!O27</f>
        <v>334500</v>
      </c>
      <c r="F31" s="223">
        <f>+'B) Reajuste Tarifas y Ocupación'!P27</f>
        <v>358100</v>
      </c>
      <c r="G31" s="230">
        <f>+'B) Reajuste Tarifas y Ocupación'!Q27</f>
        <v>477400</v>
      </c>
      <c r="H31" s="237">
        <f t="shared" si="15"/>
        <v>0</v>
      </c>
      <c r="I31" s="238">
        <f t="shared" si="16"/>
        <v>0</v>
      </c>
      <c r="J31" s="238">
        <f t="shared" si="17"/>
        <v>0</v>
      </c>
      <c r="K31" s="238">
        <f t="shared" si="18"/>
        <v>0</v>
      </c>
      <c r="L31" s="300">
        <f t="shared" si="19"/>
        <v>0</v>
      </c>
      <c r="M31" s="304" t="s">
        <v>73</v>
      </c>
      <c r="N31" s="305">
        <v>0</v>
      </c>
      <c r="O31" s="308" t="s">
        <v>73</v>
      </c>
      <c r="P31" s="305">
        <v>0</v>
      </c>
      <c r="Q31" s="313">
        <f t="shared" si="14"/>
        <v>0</v>
      </c>
    </row>
  </sheetData>
  <sheetProtection algorithmName="SHA-512" hashValue="gVLlh0HvG3NTv/AbEDV7AB/gypkhRCxQERcXHMdsQ/eLketWt2ZGQm8e3l44TbG+CCvwYiJcpxW4nQiU7BSS3Q==" saltValue="6e/pCMqgSA3FRffQoyneMg==" spinCount="100000" sheet="1" objects="1" scenarios="1"/>
  <mergeCells count="28">
    <mergeCell ref="O27:P27"/>
    <mergeCell ref="M27:N27"/>
    <mergeCell ref="H27:L27"/>
    <mergeCell ref="C27:G27"/>
    <mergeCell ref="D30:G30"/>
    <mergeCell ref="I30:L30"/>
    <mergeCell ref="Q24:Q25"/>
    <mergeCell ref="B24:B25"/>
    <mergeCell ref="C24:G24"/>
    <mergeCell ref="H24:L24"/>
    <mergeCell ref="M24:N24"/>
    <mergeCell ref="O24:P24"/>
    <mergeCell ref="Q14:Q15"/>
    <mergeCell ref="D4:F4"/>
    <mergeCell ref="O14:P14"/>
    <mergeCell ref="A14:A15"/>
    <mergeCell ref="B14:B15"/>
    <mergeCell ref="M14:N14"/>
    <mergeCell ref="C14:G14"/>
    <mergeCell ref="H14:L14"/>
    <mergeCell ref="A7:O9"/>
    <mergeCell ref="A12:D12"/>
    <mergeCell ref="A16:A17"/>
    <mergeCell ref="A18:A19"/>
    <mergeCell ref="A21:A22"/>
    <mergeCell ref="A26:A28"/>
    <mergeCell ref="A29:A31"/>
    <mergeCell ref="A24:A25"/>
  </mergeCells>
  <pageMargins left="0.7" right="0.7" top="0.75" bottom="0.75" header="0.51180555555555551" footer="0.51180555555555551"/>
  <pageSetup scale="5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12</vt:i4>
      </vt:variant>
    </vt:vector>
  </HeadingPairs>
  <TitlesOfParts>
    <vt:vector size="23" baseType="lpstr">
      <vt:lpstr>Instrucciones</vt:lpstr>
      <vt:lpstr>Índice Tablas</vt:lpstr>
      <vt:lpstr>A) Resumen Ingresos y Egresos</vt:lpstr>
      <vt:lpstr>B) Reajuste Tarifas y Ocupación</vt:lpstr>
      <vt:lpstr>C) Costos Directos</vt:lpstr>
      <vt:lpstr>D) Costos Indirectos</vt:lpstr>
      <vt:lpstr>E) Resumen Tarifado </vt:lpstr>
      <vt:lpstr>F) Remuneraciones</vt:lpstr>
      <vt:lpstr>G) Comparación Mercado</vt:lpstr>
      <vt:lpstr>H) Detalle Datos</vt:lpstr>
      <vt:lpstr>I) Proyección Mensual</vt:lpstr>
      <vt:lpstr>__xlnm_Print_Area</vt:lpstr>
      <vt:lpstr>__xlnm_Print_Area_1</vt:lpstr>
      <vt:lpstr>__xlnm_Print_Area_2</vt:lpstr>
      <vt:lpstr>__xlnm_Print_Titles</vt:lpstr>
      <vt:lpstr>__xlnm_Print_Titles_1</vt:lpstr>
      <vt:lpstr>'A) Resumen Ingresos y Egresos'!Área_de_impresión</vt:lpstr>
      <vt:lpstr>'C) Costos Directos'!Área_de_impresión</vt:lpstr>
      <vt:lpstr>'E) Resumen Tarifado '!Área_de_impresión</vt:lpstr>
      <vt:lpstr>bienique1</vt:lpstr>
      <vt:lpstr>'C) Costos Directos'!Excel_BuiltIn_Print_Area</vt:lpstr>
      <vt:lpstr>'A) Resumen Ingresos y Egresos'!Títulos_a_imprimir</vt:lpstr>
      <vt:lpstr>'C) Costos Directos'!Títulos_a_imprimir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cverall@armada.cl</dc:creator>
  <cp:lastModifiedBy>340 Roxana Mery</cp:lastModifiedBy>
  <cp:lastPrinted>2017-09-14T16:34:08Z</cp:lastPrinted>
  <dcterms:created xsi:type="dcterms:W3CDTF">2017-05-11T00:45:10Z</dcterms:created>
  <dcterms:modified xsi:type="dcterms:W3CDTF">2024-12-12T15:22:09Z</dcterms:modified>
</cp:coreProperties>
</file>