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G:\Documentos\2024\TARIFAS 2025\TARIFAS 2025 A. EDUCACIONAL\4. PROPUESTA DIREBIEN TARIFAS 2025 A. EDUCACIONAL APROBADAS - copia\"/>
    </mc:Choice>
  </mc:AlternateContent>
  <xr:revisionPtr revIDLastSave="0" documentId="13_ncr:1_{47E6EC95-3F58-4375-856B-5A3FA92C293F}" xr6:coauthVersionLast="47" xr6:coauthVersionMax="47" xr10:uidLastSave="{00000000-0000-0000-0000-000000000000}"/>
  <bookViews>
    <workbookView xWindow="-120" yWindow="-120" windowWidth="29040" windowHeight="15840" tabRatio="929" activeTab="3" xr2:uid="{00000000-000D-0000-FFFF-FFFF00000000}"/>
  </bookViews>
  <sheets>
    <sheet name="Instrucciones" sheetId="18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J84" i="13" l="1"/>
  <c r="K84" i="13" s="1"/>
  <c r="J83" i="13"/>
  <c r="K83" i="13" s="1"/>
  <c r="J82" i="13"/>
  <c r="K82" i="13" s="1"/>
  <c r="J81" i="13"/>
  <c r="K81" i="13" s="1"/>
  <c r="J80" i="13"/>
  <c r="K80" i="13" s="1"/>
  <c r="W78" i="13"/>
  <c r="J77" i="13"/>
  <c r="K77" i="13" s="1"/>
  <c r="J76" i="13"/>
  <c r="K76" i="13" s="1"/>
  <c r="J75" i="13"/>
  <c r="K75" i="13" s="1"/>
  <c r="J74" i="13"/>
  <c r="K74" i="13" s="1"/>
  <c r="J73" i="13"/>
  <c r="K73" i="13" s="1"/>
  <c r="W70" i="13"/>
  <c r="J69" i="13"/>
  <c r="K69" i="13" s="1"/>
  <c r="J68" i="13"/>
  <c r="K68" i="13" s="1"/>
  <c r="J67" i="13"/>
  <c r="K67" i="13" s="1"/>
  <c r="J66" i="13"/>
  <c r="K66" i="13" s="1"/>
  <c r="J65" i="13"/>
  <c r="K65" i="13" s="1"/>
  <c r="S61" i="13"/>
  <c r="K61" i="13"/>
  <c r="N61" i="13" s="1"/>
  <c r="J61" i="13"/>
  <c r="W60" i="13"/>
  <c r="S60" i="13"/>
  <c r="J60" i="13"/>
  <c r="K60" i="13" s="1"/>
  <c r="R60" i="13" s="1"/>
  <c r="S59" i="13"/>
  <c r="P59" i="13"/>
  <c r="J59" i="13"/>
  <c r="K59" i="13" s="1"/>
  <c r="R59" i="13" s="1"/>
  <c r="S58" i="13"/>
  <c r="J58" i="13"/>
  <c r="K58" i="13" s="1"/>
  <c r="R58" i="13" s="1"/>
  <c r="S57" i="13"/>
  <c r="P57" i="13"/>
  <c r="J57" i="13"/>
  <c r="K57" i="13" s="1"/>
  <c r="R57" i="13" s="1"/>
  <c r="S56" i="13"/>
  <c r="J56" i="13"/>
  <c r="K56" i="13" s="1"/>
  <c r="R56" i="13" s="1"/>
  <c r="S55" i="13"/>
  <c r="P55" i="13"/>
  <c r="J55" i="13"/>
  <c r="K55" i="13" s="1"/>
  <c r="R55" i="13" s="1"/>
  <c r="S54" i="13"/>
  <c r="J54" i="13"/>
  <c r="K54" i="13" s="1"/>
  <c r="R54" i="13" s="1"/>
  <c r="S53" i="13"/>
  <c r="P53" i="13"/>
  <c r="J53" i="13"/>
  <c r="K53" i="13" s="1"/>
  <c r="R53" i="13" s="1"/>
  <c r="S52" i="13"/>
  <c r="J52" i="13"/>
  <c r="K52" i="13" s="1"/>
  <c r="R52" i="13" s="1"/>
  <c r="S51" i="13"/>
  <c r="P51" i="13"/>
  <c r="J51" i="13"/>
  <c r="K51" i="13" s="1"/>
  <c r="R51" i="13" s="1"/>
  <c r="S50" i="13"/>
  <c r="J50" i="13"/>
  <c r="K50" i="13" s="1"/>
  <c r="R50" i="13" s="1"/>
  <c r="W49" i="13"/>
  <c r="S49" i="13"/>
  <c r="J49" i="13"/>
  <c r="K49" i="13" s="1"/>
  <c r="N49" i="13" s="1"/>
  <c r="S48" i="13"/>
  <c r="J48" i="13"/>
  <c r="K48" i="13" s="1"/>
  <c r="N48" i="13" s="1"/>
  <c r="S47" i="13"/>
  <c r="J47" i="13"/>
  <c r="K47" i="13" s="1"/>
  <c r="N47" i="13" s="1"/>
  <c r="W46" i="13"/>
  <c r="S46" i="13"/>
  <c r="J46" i="13"/>
  <c r="K46" i="13" s="1"/>
  <c r="R46" i="13" s="1"/>
  <c r="S45" i="13"/>
  <c r="J45" i="13"/>
  <c r="K45" i="13" s="1"/>
  <c r="S44" i="13"/>
  <c r="J44" i="13"/>
  <c r="K44" i="13" s="1"/>
  <c r="R44" i="13" s="1"/>
  <c r="S43" i="13"/>
  <c r="J43" i="13"/>
  <c r="K43" i="13" s="1"/>
  <c r="S42" i="13"/>
  <c r="J42" i="13"/>
  <c r="K42" i="13" s="1"/>
  <c r="R42" i="13" s="1"/>
  <c r="W41" i="13"/>
  <c r="S41" i="13"/>
  <c r="K41" i="13"/>
  <c r="N41" i="13" s="1"/>
  <c r="J41" i="13"/>
  <c r="S40" i="13"/>
  <c r="G40" i="13"/>
  <c r="J40" i="13" s="1"/>
  <c r="K40" i="13" s="1"/>
  <c r="S39" i="13"/>
  <c r="J39" i="13"/>
  <c r="K39" i="13" s="1"/>
  <c r="N39" i="13" s="1"/>
  <c r="S38" i="13"/>
  <c r="J38" i="13"/>
  <c r="K38" i="13" s="1"/>
  <c r="N38" i="13" s="1"/>
  <c r="S37" i="13"/>
  <c r="J37" i="13"/>
  <c r="K37" i="13" s="1"/>
  <c r="N37" i="13" s="1"/>
  <c r="S36" i="13"/>
  <c r="J36" i="13"/>
  <c r="K36" i="13" s="1"/>
  <c r="N36" i="13" s="1"/>
  <c r="S35" i="13"/>
  <c r="J35" i="13"/>
  <c r="K35" i="13" s="1"/>
  <c r="N35" i="13" s="1"/>
  <c r="S34" i="13"/>
  <c r="K34" i="13"/>
  <c r="N34" i="13" s="1"/>
  <c r="J34" i="13"/>
  <c r="S33" i="13"/>
  <c r="R33" i="13"/>
  <c r="P33" i="13"/>
  <c r="J33" i="13"/>
  <c r="K33" i="13" s="1"/>
  <c r="N33" i="13" s="1"/>
  <c r="S32" i="13"/>
  <c r="J32" i="13"/>
  <c r="K32" i="13" s="1"/>
  <c r="N32" i="13" s="1"/>
  <c r="S31" i="13"/>
  <c r="J31" i="13"/>
  <c r="K31" i="13" s="1"/>
  <c r="N31" i="13" s="1"/>
  <c r="S30" i="13"/>
  <c r="J30" i="13"/>
  <c r="K30" i="13" s="1"/>
  <c r="N30" i="13" s="1"/>
  <c r="S29" i="13"/>
  <c r="J29" i="13"/>
  <c r="K29" i="13" s="1"/>
  <c r="N29" i="13" s="1"/>
  <c r="S28" i="13"/>
  <c r="J28" i="13"/>
  <c r="K28" i="13" s="1"/>
  <c r="N28" i="13" s="1"/>
  <c r="S27" i="13"/>
  <c r="R27" i="13"/>
  <c r="J27" i="13"/>
  <c r="K27" i="13" s="1"/>
  <c r="N27" i="13" s="1"/>
  <c r="S26" i="13"/>
  <c r="K26" i="13"/>
  <c r="N26" i="13" s="1"/>
  <c r="J26" i="13"/>
  <c r="S25" i="13"/>
  <c r="R25" i="13"/>
  <c r="P25" i="13"/>
  <c r="J25" i="13"/>
  <c r="K25" i="13" s="1"/>
  <c r="N25" i="13" s="1"/>
  <c r="S24" i="13"/>
  <c r="J24" i="13"/>
  <c r="K24" i="13" s="1"/>
  <c r="S23" i="13"/>
  <c r="J23" i="13"/>
  <c r="K23" i="13" s="1"/>
  <c r="S22" i="13"/>
  <c r="J22" i="13"/>
  <c r="K22" i="13" s="1"/>
  <c r="R22" i="13" s="1"/>
  <c r="S21" i="13"/>
  <c r="J21" i="13"/>
  <c r="K21" i="13" s="1"/>
  <c r="N21" i="13" s="1"/>
  <c r="W20" i="13"/>
  <c r="S20" i="13"/>
  <c r="J20" i="13"/>
  <c r="K20" i="13" s="1"/>
  <c r="P20" i="13" s="1"/>
  <c r="S19" i="13"/>
  <c r="J19" i="13"/>
  <c r="K19" i="13" s="1"/>
  <c r="S18" i="13"/>
  <c r="J18" i="13"/>
  <c r="K18" i="13" s="1"/>
  <c r="R18" i="13" s="1"/>
  <c r="S17" i="13"/>
  <c r="G17" i="13"/>
  <c r="J17" i="13" s="1"/>
  <c r="K17" i="13" s="1"/>
  <c r="W16" i="13"/>
  <c r="W15" i="13" s="1"/>
  <c r="S16" i="13"/>
  <c r="J16" i="13"/>
  <c r="K16" i="13" s="1"/>
  <c r="R16" i="13" s="1"/>
  <c r="S15" i="13"/>
  <c r="G15" i="13"/>
  <c r="J15" i="13" s="1"/>
  <c r="K15" i="13" s="1"/>
  <c r="E4" i="13"/>
  <c r="R24" i="13" l="1"/>
  <c r="N24" i="13"/>
  <c r="P24" i="13"/>
  <c r="P17" i="13"/>
  <c r="R17" i="13"/>
  <c r="N17" i="13"/>
  <c r="N18" i="13"/>
  <c r="W40" i="13"/>
  <c r="W80" i="13" s="1"/>
  <c r="P35" i="13"/>
  <c r="R37" i="13"/>
  <c r="P31" i="13"/>
  <c r="P18" i="13"/>
  <c r="P37" i="13"/>
  <c r="P29" i="13"/>
  <c r="R31" i="13"/>
  <c r="P49" i="13"/>
  <c r="P39" i="13"/>
  <c r="K85" i="13"/>
  <c r="R39" i="13"/>
  <c r="R35" i="13"/>
  <c r="R20" i="13"/>
  <c r="P27" i="13"/>
  <c r="R29" i="13"/>
  <c r="R47" i="13"/>
  <c r="R49" i="13"/>
  <c r="N51" i="13"/>
  <c r="N53" i="13"/>
  <c r="N55" i="13"/>
  <c r="N57" i="13"/>
  <c r="N59" i="13"/>
  <c r="P19" i="13"/>
  <c r="R19" i="13"/>
  <c r="N19" i="13"/>
  <c r="P15" i="13"/>
  <c r="K62" i="13"/>
  <c r="R15" i="13"/>
  <c r="N15" i="13"/>
  <c r="P40" i="13"/>
  <c r="N40" i="13"/>
  <c r="R40" i="13"/>
  <c r="P43" i="13"/>
  <c r="N43" i="13"/>
  <c r="R43" i="13"/>
  <c r="P45" i="13"/>
  <c r="N45" i="13"/>
  <c r="R45" i="13"/>
  <c r="N23" i="13"/>
  <c r="R23" i="13"/>
  <c r="P23" i="13"/>
  <c r="N20" i="13"/>
  <c r="R21" i="13"/>
  <c r="N22" i="13"/>
  <c r="N42" i="13"/>
  <c r="N44" i="13"/>
  <c r="N46" i="13"/>
  <c r="P21" i="13"/>
  <c r="R41" i="13"/>
  <c r="P41" i="13"/>
  <c r="R61" i="13"/>
  <c r="P61" i="13"/>
  <c r="K78" i="13"/>
  <c r="P22" i="13"/>
  <c r="P42" i="13"/>
  <c r="P44" i="13"/>
  <c r="P46" i="13"/>
  <c r="P47" i="13"/>
  <c r="R48" i="13"/>
  <c r="P48" i="13"/>
  <c r="R26" i="13"/>
  <c r="P26" i="13"/>
  <c r="R28" i="13"/>
  <c r="P28" i="13"/>
  <c r="R30" i="13"/>
  <c r="P30" i="13"/>
  <c r="R32" i="13"/>
  <c r="P32" i="13"/>
  <c r="R34" i="13"/>
  <c r="P34" i="13"/>
  <c r="R36" i="13"/>
  <c r="P36" i="13"/>
  <c r="R38" i="13"/>
  <c r="P38" i="13"/>
  <c r="P50" i="13"/>
  <c r="N50" i="13"/>
  <c r="P52" i="13"/>
  <c r="N52" i="13"/>
  <c r="P54" i="13"/>
  <c r="N54" i="13"/>
  <c r="P56" i="13"/>
  <c r="N56" i="13"/>
  <c r="P58" i="13"/>
  <c r="N58" i="13"/>
  <c r="P60" i="13"/>
  <c r="N60" i="13"/>
  <c r="K70" i="13"/>
  <c r="G17" i="12"/>
  <c r="N62" i="13" l="1"/>
  <c r="P62" i="13"/>
  <c r="R62" i="13"/>
  <c r="C51" i="9"/>
  <c r="M62" i="13" l="1"/>
  <c r="Z15" i="13" s="1"/>
  <c r="AG15" i="13" s="1"/>
  <c r="AH15" i="13" s="1"/>
  <c r="AN15" i="13" s="1"/>
  <c r="AA15" i="13"/>
  <c r="Q62" i="13"/>
  <c r="AD15" i="13" s="1"/>
  <c r="AK15" i="13" s="1"/>
  <c r="AL15" i="13" s="1"/>
  <c r="AE15" i="13"/>
  <c r="O62" i="13"/>
  <c r="AB15" i="13" s="1"/>
  <c r="AI15" i="13" s="1"/>
  <c r="AJ15" i="13" s="1"/>
  <c r="AC15" i="13"/>
  <c r="D59" i="9"/>
  <c r="C59" i="9"/>
  <c r="D58" i="9"/>
  <c r="C58" i="9"/>
  <c r="D57" i="9"/>
  <c r="C57" i="9"/>
  <c r="D56" i="9"/>
  <c r="C56" i="9"/>
  <c r="D55" i="9"/>
  <c r="C55" i="9"/>
  <c r="D54" i="9"/>
  <c r="C54" i="9"/>
  <c r="D53" i="9"/>
  <c r="C53" i="9"/>
  <c r="D51" i="9"/>
  <c r="D50" i="9"/>
  <c r="C50" i="9"/>
  <c r="D49" i="9"/>
  <c r="C49" i="9"/>
  <c r="D48" i="9"/>
  <c r="C48" i="9"/>
  <c r="D47" i="9"/>
  <c r="C47" i="9"/>
  <c r="D46" i="9"/>
  <c r="C46" i="9"/>
  <c r="D45" i="9"/>
  <c r="C45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4" i="9"/>
  <c r="C34" i="9"/>
  <c r="D32" i="9"/>
  <c r="C32" i="9"/>
  <c r="D31" i="9"/>
  <c r="C31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AP15" i="13" l="1"/>
  <c r="AR15" i="13"/>
  <c r="F21" i="3"/>
  <c r="F20" i="3"/>
  <c r="F19" i="3"/>
  <c r="G24" i="12"/>
  <c r="G23" i="12"/>
  <c r="G13" i="12"/>
  <c r="G11" i="12"/>
  <c r="M17" i="7" l="1"/>
  <c r="M15" i="7"/>
  <c r="M14" i="7"/>
  <c r="M13" i="7"/>
  <c r="M12" i="7"/>
  <c r="J23" i="16" l="1"/>
  <c r="B23" i="16"/>
  <c r="M23" i="16" l="1"/>
  <c r="J11" i="16"/>
  <c r="B11" i="16"/>
  <c r="H12" i="12"/>
  <c r="K12" i="12" s="1"/>
  <c r="H13" i="12"/>
  <c r="K13" i="12" s="1"/>
  <c r="H14" i="12"/>
  <c r="K14" i="12" s="1"/>
  <c r="H15" i="12"/>
  <c r="K15" i="12" s="1"/>
  <c r="H16" i="12"/>
  <c r="K16" i="12" s="1"/>
  <c r="H17" i="12"/>
  <c r="K17" i="12" s="1"/>
  <c r="H18" i="12"/>
  <c r="K18" i="12" s="1"/>
  <c r="H19" i="12"/>
  <c r="K19" i="12" s="1"/>
  <c r="H20" i="12"/>
  <c r="K20" i="12" s="1"/>
  <c r="H21" i="12"/>
  <c r="K21" i="12" s="1"/>
  <c r="H22" i="12"/>
  <c r="K22" i="12" s="1"/>
  <c r="H23" i="12"/>
  <c r="K23" i="12" s="1"/>
  <c r="H24" i="12"/>
  <c r="K24" i="12" s="1"/>
  <c r="H25" i="12"/>
  <c r="K25" i="12" s="1"/>
  <c r="H26" i="12"/>
  <c r="K26" i="12" s="1"/>
  <c r="H27" i="12"/>
  <c r="K27" i="12" s="1"/>
  <c r="H28" i="12"/>
  <c r="K28" i="12" s="1"/>
  <c r="H29" i="12"/>
  <c r="K29" i="12" s="1"/>
  <c r="H30" i="12"/>
  <c r="K30" i="12" s="1"/>
  <c r="H11" i="12"/>
  <c r="K11" i="12" s="1"/>
  <c r="C18" i="16"/>
  <c r="D18" i="16"/>
  <c r="E18" i="16"/>
  <c r="F18" i="16"/>
  <c r="G18" i="16"/>
  <c r="H18" i="16"/>
  <c r="I18" i="16"/>
  <c r="J18" i="16"/>
  <c r="K18" i="16"/>
  <c r="L18" i="16"/>
  <c r="M18" i="16"/>
  <c r="B18" i="16"/>
  <c r="C6" i="16"/>
  <c r="D6" i="16"/>
  <c r="E6" i="16"/>
  <c r="F6" i="16"/>
  <c r="G6" i="16"/>
  <c r="H6" i="16"/>
  <c r="I6" i="16"/>
  <c r="J6" i="16"/>
  <c r="K6" i="16"/>
  <c r="L6" i="16"/>
  <c r="M6" i="16"/>
  <c r="B6" i="16"/>
  <c r="H23" i="7"/>
  <c r="M11" i="16" l="1"/>
  <c r="N11" i="16" s="1"/>
  <c r="E10" i="16"/>
  <c r="M10" i="16"/>
  <c r="I10" i="16"/>
  <c r="L10" i="16"/>
  <c r="H10" i="16"/>
  <c r="D10" i="16"/>
  <c r="K10" i="16"/>
  <c r="G10" i="16"/>
  <c r="C10" i="16"/>
  <c r="B10" i="16"/>
  <c r="J10" i="16"/>
  <c r="F10" i="16"/>
  <c r="C22" i="16"/>
  <c r="G22" i="16"/>
  <c r="K22" i="16"/>
  <c r="D22" i="16"/>
  <c r="L22" i="16"/>
  <c r="I22" i="16"/>
  <c r="F22" i="16"/>
  <c r="J22" i="16"/>
  <c r="B22" i="16"/>
  <c r="H22" i="16"/>
  <c r="E22" i="16"/>
  <c r="M22" i="16"/>
  <c r="N23" i="16"/>
  <c r="I17" i="7" l="1"/>
  <c r="J17" i="7"/>
  <c r="K17" i="7"/>
  <c r="L17" i="7"/>
  <c r="O17" i="7" l="1"/>
  <c r="Q17" i="7"/>
  <c r="P17" i="7"/>
  <c r="N17" i="7"/>
  <c r="R15" i="5"/>
  <c r="S15" i="5"/>
  <c r="T15" i="5"/>
  <c r="U15" i="5"/>
  <c r="V15" i="5"/>
  <c r="R13" i="5"/>
  <c r="H15" i="5"/>
  <c r="I15" i="5"/>
  <c r="J15" i="5"/>
  <c r="K15" i="5"/>
  <c r="L15" i="5"/>
  <c r="H13" i="5"/>
  <c r="I13" i="5"/>
  <c r="J13" i="5"/>
  <c r="K13" i="5"/>
  <c r="L13" i="5"/>
  <c r="J15" i="7"/>
  <c r="K15" i="7"/>
  <c r="L15" i="7"/>
  <c r="I15" i="7"/>
  <c r="N15" i="7" l="1"/>
  <c r="Q15" i="7"/>
  <c r="O15" i="7"/>
  <c r="U13" i="5"/>
  <c r="P15" i="7"/>
  <c r="V13" i="5"/>
  <c r="T13" i="5"/>
  <c r="S13" i="5"/>
  <c r="I37" i="2"/>
  <c r="I31" i="2"/>
  <c r="G138" i="3" l="1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H106" i="3" s="1"/>
  <c r="G105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H28" i="7"/>
  <c r="H26" i="7"/>
  <c r="J38" i="2"/>
  <c r="K38" i="2"/>
  <c r="F38" i="2" s="1"/>
  <c r="L38" i="2"/>
  <c r="G38" i="2" s="1"/>
  <c r="M38" i="2"/>
  <c r="I38" i="2"/>
  <c r="I39" i="2" s="1"/>
  <c r="J32" i="2"/>
  <c r="E32" i="2" s="1"/>
  <c r="K32" i="2"/>
  <c r="F32" i="2" s="1"/>
  <c r="L32" i="2"/>
  <c r="G32" i="2" s="1"/>
  <c r="M32" i="2"/>
  <c r="I32" i="2"/>
  <c r="H25" i="7"/>
  <c r="H24" i="7"/>
  <c r="M37" i="2"/>
  <c r="H37" i="2" s="1"/>
  <c r="L37" i="2"/>
  <c r="K37" i="2"/>
  <c r="F37" i="2" s="1"/>
  <c r="J37" i="2"/>
  <c r="E37" i="2" s="1"/>
  <c r="M31" i="2"/>
  <c r="H31" i="2" s="1"/>
  <c r="L31" i="2"/>
  <c r="G31" i="2" s="1"/>
  <c r="K31" i="2"/>
  <c r="J31" i="2"/>
  <c r="E31" i="2" s="1"/>
  <c r="M35" i="2"/>
  <c r="M36" i="2" s="1"/>
  <c r="L35" i="2"/>
  <c r="L36" i="2" s="1"/>
  <c r="K35" i="2"/>
  <c r="K36" i="2" s="1"/>
  <c r="J35" i="2"/>
  <c r="J36" i="2" s="1"/>
  <c r="I35" i="2"/>
  <c r="I36" i="2" s="1"/>
  <c r="D39" i="2"/>
  <c r="D36" i="2"/>
  <c r="D33" i="2"/>
  <c r="K33" i="2" l="1"/>
  <c r="E35" i="2"/>
  <c r="E36" i="2" s="1"/>
  <c r="H35" i="2"/>
  <c r="H36" i="2" s="1"/>
  <c r="L39" i="2"/>
  <c r="I28" i="7"/>
  <c r="F125" i="3" s="1"/>
  <c r="G125" i="3" s="1"/>
  <c r="H125" i="3" s="1"/>
  <c r="I25" i="7"/>
  <c r="H5" i="16" s="1"/>
  <c r="K17" i="16"/>
  <c r="G111" i="3"/>
  <c r="G129" i="3"/>
  <c r="G77" i="3"/>
  <c r="G35" i="2"/>
  <c r="G36" i="2" s="1"/>
  <c r="G104" i="3"/>
  <c r="M33" i="2"/>
  <c r="F31" i="2"/>
  <c r="F33" i="2" s="1"/>
  <c r="J39" i="2"/>
  <c r="F35" i="2"/>
  <c r="F36" i="2" s="1"/>
  <c r="G33" i="2"/>
  <c r="M39" i="2"/>
  <c r="J33" i="2"/>
  <c r="F39" i="2"/>
  <c r="G37" i="2"/>
  <c r="G39" i="2" s="1"/>
  <c r="I33" i="2"/>
  <c r="G82" i="3"/>
  <c r="H105" i="3"/>
  <c r="H138" i="3"/>
  <c r="H137" i="3" s="1"/>
  <c r="E38" i="2"/>
  <c r="E39" i="2" s="1"/>
  <c r="H32" i="2"/>
  <c r="H33" i="2" s="1"/>
  <c r="L33" i="2"/>
  <c r="H38" i="2"/>
  <c r="H39" i="2" s="1"/>
  <c r="K39" i="2"/>
  <c r="E33" i="2"/>
  <c r="G76" i="3" l="1"/>
  <c r="E5" i="16"/>
  <c r="G5" i="16"/>
  <c r="M5" i="16"/>
  <c r="D5" i="16"/>
  <c r="D17" i="16"/>
  <c r="G120" i="3"/>
  <c r="G103" i="3" s="1"/>
  <c r="G17" i="16"/>
  <c r="M17" i="16"/>
  <c r="L17" i="16"/>
  <c r="J17" i="16"/>
  <c r="I17" i="16"/>
  <c r="K5" i="16"/>
  <c r="I5" i="16"/>
  <c r="H17" i="16"/>
  <c r="F17" i="16"/>
  <c r="E17" i="16"/>
  <c r="F5" i="16"/>
  <c r="F61" i="3"/>
  <c r="O33" i="2"/>
  <c r="J5" i="16"/>
  <c r="L5" i="16"/>
  <c r="G139" i="3" l="1"/>
  <c r="G21" i="1"/>
  <c r="G19" i="1"/>
  <c r="D201" i="3"/>
  <c r="D193" i="3"/>
  <c r="D184" i="3"/>
  <c r="D175" i="3"/>
  <c r="D173" i="3"/>
  <c r="D172" i="3"/>
  <c r="D171" i="3"/>
  <c r="A19" i="1"/>
  <c r="B19" i="1"/>
  <c r="C19" i="1"/>
  <c r="Q19" i="1"/>
  <c r="B20" i="1"/>
  <c r="B21" i="1"/>
  <c r="C21" i="1"/>
  <c r="Q21" i="1"/>
  <c r="A13" i="5"/>
  <c r="B13" i="5"/>
  <c r="C13" i="5"/>
  <c r="M13" i="5" s="1"/>
  <c r="B14" i="5"/>
  <c r="B15" i="5"/>
  <c r="C15" i="5"/>
  <c r="M15" i="5" s="1"/>
  <c r="N14" i="3"/>
  <c r="D22" i="3" s="1"/>
  <c r="O14" i="3"/>
  <c r="D86" i="3" s="1"/>
  <c r="N15" i="3"/>
  <c r="D23" i="3" s="1"/>
  <c r="O15" i="3"/>
  <c r="D87" i="3" s="1"/>
  <c r="H87" i="3" s="1"/>
  <c r="N16" i="3"/>
  <c r="D24" i="3" s="1"/>
  <c r="O16" i="3"/>
  <c r="D88" i="3" s="1"/>
  <c r="H88" i="3" s="1"/>
  <c r="N17" i="3"/>
  <c r="D25" i="3" s="1"/>
  <c r="O17" i="3"/>
  <c r="D89" i="3" s="1"/>
  <c r="H89" i="3" s="1"/>
  <c r="N18" i="3"/>
  <c r="D26" i="3" s="1"/>
  <c r="O18" i="3"/>
  <c r="D90" i="3" s="1"/>
  <c r="H90" i="3" s="1"/>
  <c r="N19" i="3"/>
  <c r="D27" i="3" s="1"/>
  <c r="O19" i="3"/>
  <c r="D91" i="3" s="1"/>
  <c r="H91" i="3" s="1"/>
  <c r="N20" i="3"/>
  <c r="D28" i="3" s="1"/>
  <c r="O20" i="3"/>
  <c r="D92" i="3" s="1"/>
  <c r="H92" i="3" s="1"/>
  <c r="N21" i="3"/>
  <c r="D29" i="3" s="1"/>
  <c r="O21" i="3"/>
  <c r="D93" i="3" s="1"/>
  <c r="H93" i="3" s="1"/>
  <c r="N22" i="3"/>
  <c r="D30" i="3" s="1"/>
  <c r="O22" i="3"/>
  <c r="N23" i="3"/>
  <c r="D31" i="3" s="1"/>
  <c r="O23" i="3"/>
  <c r="D95" i="3" s="1"/>
  <c r="H95" i="3" s="1"/>
  <c r="N24" i="3"/>
  <c r="D32" i="3" s="1"/>
  <c r="O24" i="3"/>
  <c r="D96" i="3" s="1"/>
  <c r="H96" i="3" s="1"/>
  <c r="N25" i="3"/>
  <c r="D33" i="3" s="1"/>
  <c r="O25" i="3"/>
  <c r="D97" i="3" s="1"/>
  <c r="H97" i="3" s="1"/>
  <c r="N26" i="3"/>
  <c r="D34" i="3" s="1"/>
  <c r="O26" i="3"/>
  <c r="D98" i="3" s="1"/>
  <c r="H98" i="3" s="1"/>
  <c r="N27" i="3"/>
  <c r="D35" i="3" s="1"/>
  <c r="O27" i="3"/>
  <c r="D99" i="3" s="1"/>
  <c r="H99" i="3" s="1"/>
  <c r="N28" i="3"/>
  <c r="D36" i="3" s="1"/>
  <c r="O28" i="3"/>
  <c r="D100" i="3" s="1"/>
  <c r="H100" i="3" s="1"/>
  <c r="N29" i="3"/>
  <c r="D37" i="3" s="1"/>
  <c r="O29" i="3"/>
  <c r="D101" i="3" s="1"/>
  <c r="H101" i="3" s="1"/>
  <c r="N30" i="3"/>
  <c r="D38" i="3" s="1"/>
  <c r="O30" i="3"/>
  <c r="D102" i="3" s="1"/>
  <c r="H102" i="3" s="1"/>
  <c r="N33" i="3"/>
  <c r="D43" i="3" s="1"/>
  <c r="O33" i="3"/>
  <c r="D107" i="3" s="1"/>
  <c r="N34" i="3"/>
  <c r="D44" i="3" s="1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D49" i="3" s="1"/>
  <c r="O39" i="3"/>
  <c r="D113" i="3" s="1"/>
  <c r="H113" i="3" s="1"/>
  <c r="N40" i="3"/>
  <c r="D50" i="3" s="1"/>
  <c r="O40" i="3"/>
  <c r="D114" i="3" s="1"/>
  <c r="H114" i="3" s="1"/>
  <c r="N41" i="3"/>
  <c r="D51" i="3" s="1"/>
  <c r="O41" i="3"/>
  <c r="D115" i="3" s="1"/>
  <c r="H115" i="3" s="1"/>
  <c r="N42" i="3"/>
  <c r="D52" i="3" s="1"/>
  <c r="O42" i="3"/>
  <c r="D116" i="3" s="1"/>
  <c r="H116" i="3" s="1"/>
  <c r="N43" i="3"/>
  <c r="D53" i="3" s="1"/>
  <c r="O43" i="3"/>
  <c r="D117" i="3" s="1"/>
  <c r="H117" i="3" s="1"/>
  <c r="N44" i="3"/>
  <c r="D54" i="3" s="1"/>
  <c r="O44" i="3"/>
  <c r="D118" i="3" s="1"/>
  <c r="H118" i="3" s="1"/>
  <c r="N45" i="3"/>
  <c r="D55" i="3" s="1"/>
  <c r="O45" i="3"/>
  <c r="D119" i="3" s="1"/>
  <c r="H119" i="3" s="1"/>
  <c r="N47" i="3"/>
  <c r="D57" i="3" s="1"/>
  <c r="O47" i="3"/>
  <c r="D121" i="3" s="1"/>
  <c r="N48" i="3"/>
  <c r="D58" i="3" s="1"/>
  <c r="O48" i="3"/>
  <c r="D122" i="3" s="1"/>
  <c r="H122" i="3" s="1"/>
  <c r="N49" i="3"/>
  <c r="D59" i="3" s="1"/>
  <c r="O49" i="3"/>
  <c r="D123" i="3" s="1"/>
  <c r="H123" i="3" s="1"/>
  <c r="N50" i="3"/>
  <c r="D60" i="3" s="1"/>
  <c r="O50" i="3"/>
  <c r="D124" i="3" s="1"/>
  <c r="H124" i="3" s="1"/>
  <c r="N51" i="3"/>
  <c r="D62" i="3" s="1"/>
  <c r="O51" i="3"/>
  <c r="D126" i="3" s="1"/>
  <c r="H126" i="3" s="1"/>
  <c r="N52" i="3"/>
  <c r="D63" i="3" s="1"/>
  <c r="O52" i="3"/>
  <c r="D127" i="3" s="1"/>
  <c r="H127" i="3" s="1"/>
  <c r="N53" i="3"/>
  <c r="D64" i="3" s="1"/>
  <c r="O53" i="3"/>
  <c r="D128" i="3" s="1"/>
  <c r="H128" i="3" s="1"/>
  <c r="N55" i="3"/>
  <c r="D66" i="3" s="1"/>
  <c r="O55" i="3"/>
  <c r="D130" i="3" s="1"/>
  <c r="N56" i="3"/>
  <c r="D67" i="3" s="1"/>
  <c r="O56" i="3"/>
  <c r="D131" i="3" s="1"/>
  <c r="H131" i="3" s="1"/>
  <c r="N57" i="3"/>
  <c r="D68" i="3" s="1"/>
  <c r="O57" i="3"/>
  <c r="D132" i="3" s="1"/>
  <c r="H132" i="3" s="1"/>
  <c r="N58" i="3"/>
  <c r="D69" i="3" s="1"/>
  <c r="O58" i="3"/>
  <c r="D133" i="3" s="1"/>
  <c r="H133" i="3" s="1"/>
  <c r="N59" i="3"/>
  <c r="D70" i="3" s="1"/>
  <c r="O59" i="3"/>
  <c r="D134" i="3" s="1"/>
  <c r="H134" i="3" s="1"/>
  <c r="N60" i="3"/>
  <c r="D71" i="3" s="1"/>
  <c r="O60" i="3"/>
  <c r="D135" i="3" s="1"/>
  <c r="H135" i="3" s="1"/>
  <c r="N61" i="3"/>
  <c r="D72" i="3" s="1"/>
  <c r="O61" i="3"/>
  <c r="D136" i="3" s="1"/>
  <c r="H136" i="3" s="1"/>
  <c r="F21" i="1"/>
  <c r="E21" i="1"/>
  <c r="D15" i="5"/>
  <c r="N15" i="5" s="1"/>
  <c r="F13" i="5"/>
  <c r="P13" i="5" s="1"/>
  <c r="E13" i="5"/>
  <c r="O13" i="5" s="1"/>
  <c r="D13" i="5"/>
  <c r="N13" i="5" s="1"/>
  <c r="B34" i="2"/>
  <c r="B31" i="2"/>
  <c r="B37" i="2"/>
  <c r="A31" i="2"/>
  <c r="A20" i="16" s="1"/>
  <c r="P33" i="2"/>
  <c r="P36" i="2"/>
  <c r="P39" i="2"/>
  <c r="B26" i="7"/>
  <c r="B27" i="7"/>
  <c r="B28" i="7"/>
  <c r="B23" i="7"/>
  <c r="A26" i="7"/>
  <c r="J21" i="1" l="1"/>
  <c r="D94" i="3"/>
  <c r="H94" i="3" s="1"/>
  <c r="P40" i="2"/>
  <c r="D168" i="3"/>
  <c r="H130" i="3"/>
  <c r="H129" i="3" s="1"/>
  <c r="D129" i="3"/>
  <c r="D120" i="3"/>
  <c r="H121" i="3"/>
  <c r="H120" i="3" s="1"/>
  <c r="H112" i="3"/>
  <c r="H111" i="3" s="1"/>
  <c r="D111" i="3"/>
  <c r="H110" i="3"/>
  <c r="H109" i="3" s="1"/>
  <c r="D109" i="3"/>
  <c r="H107" i="3"/>
  <c r="H104" i="3" s="1"/>
  <c r="D104" i="3"/>
  <c r="H21" i="1"/>
  <c r="D82" i="3"/>
  <c r="H86" i="3"/>
  <c r="G15" i="5"/>
  <c r="Q15" i="5" s="1"/>
  <c r="G13" i="5"/>
  <c r="Q13" i="5" s="1"/>
  <c r="D21" i="1"/>
  <c r="I21" i="1" s="1"/>
  <c r="F19" i="1"/>
  <c r="K19" i="1" s="1"/>
  <c r="F15" i="5"/>
  <c r="P15" i="5" s="1"/>
  <c r="E19" i="1"/>
  <c r="J19" i="1" s="1"/>
  <c r="E15" i="5"/>
  <c r="O15" i="5" s="1"/>
  <c r="D19" i="1"/>
  <c r="I19" i="1" s="1"/>
  <c r="L23" i="12"/>
  <c r="L21" i="1"/>
  <c r="K21" i="1"/>
  <c r="H19" i="1"/>
  <c r="L19" i="1"/>
  <c r="F40" i="2"/>
  <c r="D40" i="2"/>
  <c r="E40" i="2"/>
  <c r="A23" i="7"/>
  <c r="H82" i="3" l="1"/>
  <c r="D78" i="3"/>
  <c r="D77" i="3" s="1"/>
  <c r="D76" i="3" s="1"/>
  <c r="D103" i="3"/>
  <c r="H103" i="3"/>
  <c r="J138" i="3"/>
  <c r="J40" i="2"/>
  <c r="N36" i="2"/>
  <c r="B11" i="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7" i="3"/>
  <c r="H17" i="3" s="1"/>
  <c r="G16" i="3"/>
  <c r="H16" i="3" s="1"/>
  <c r="G15" i="3"/>
  <c r="H15" i="3" s="1"/>
  <c r="G14" i="3"/>
  <c r="H78" i="3" l="1"/>
  <c r="H77" i="3" s="1"/>
  <c r="H76" i="3"/>
  <c r="H139" i="3" s="1"/>
  <c r="N22" i="16"/>
  <c r="D139" i="3"/>
  <c r="D39" i="3"/>
  <c r="I40" i="2"/>
  <c r="N39" i="2"/>
  <c r="H40" i="2"/>
  <c r="G193" i="3"/>
  <c r="G13" i="3"/>
  <c r="G40" i="3"/>
  <c r="G141" i="3"/>
  <c r="G168" i="3"/>
  <c r="G175" i="3"/>
  <c r="G146" i="3"/>
  <c r="G18" i="3"/>
  <c r="G56" i="3"/>
  <c r="G65" i="3"/>
  <c r="G184" i="3"/>
  <c r="K40" i="2"/>
  <c r="O36" i="2"/>
  <c r="L40" i="2"/>
  <c r="D142" i="3"/>
  <c r="H142" i="3" s="1"/>
  <c r="H141" i="3" s="1"/>
  <c r="F11" i="2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H40" i="3"/>
  <c r="G47" i="3"/>
  <c r="H66" i="3"/>
  <c r="H19" i="3"/>
  <c r="H18" i="3" s="1"/>
  <c r="H46" i="3"/>
  <c r="H45" i="3" s="1"/>
  <c r="H57" i="3"/>
  <c r="H56" i="3" s="1"/>
  <c r="H74" i="3"/>
  <c r="H73" i="3" s="1"/>
  <c r="F10" i="2" l="1"/>
  <c r="F24" i="16"/>
  <c r="J24" i="16"/>
  <c r="B24" i="16"/>
  <c r="C24" i="16"/>
  <c r="G24" i="16"/>
  <c r="K24" i="16"/>
  <c r="D24" i="16"/>
  <c r="H24" i="16"/>
  <c r="L24" i="16"/>
  <c r="E24" i="16"/>
  <c r="I24" i="16"/>
  <c r="M24" i="16"/>
  <c r="J139" i="3"/>
  <c r="G39" i="3"/>
  <c r="D141" i="3"/>
  <c r="D140" i="3" s="1"/>
  <c r="D203" i="3" s="1"/>
  <c r="O39" i="2"/>
  <c r="Q39" i="2" s="1"/>
  <c r="Q36" i="2"/>
  <c r="C11" i="2"/>
  <c r="E11" i="2" s="1"/>
  <c r="M40" i="2"/>
  <c r="J202" i="3"/>
  <c r="G167" i="3"/>
  <c r="G12" i="3"/>
  <c r="H140" i="3"/>
  <c r="G140" i="3"/>
  <c r="G40" i="2"/>
  <c r="N33" i="2"/>
  <c r="H65" i="3"/>
  <c r="H39" i="3" s="1"/>
  <c r="J74" i="3"/>
  <c r="H167" i="3"/>
  <c r="G203" i="3" l="1"/>
  <c r="N24" i="16"/>
  <c r="O40" i="2"/>
  <c r="C10" i="2"/>
  <c r="N40" i="2"/>
  <c r="B10" i="2"/>
  <c r="G75" i="3"/>
  <c r="J206" i="3"/>
  <c r="H203" i="3"/>
  <c r="Q33" i="2"/>
  <c r="Q40" i="2" s="1"/>
  <c r="C21" i="16" l="1"/>
  <c r="C25" i="16" s="1"/>
  <c r="G21" i="16"/>
  <c r="G25" i="16" s="1"/>
  <c r="K21" i="16"/>
  <c r="K25" i="16" s="1"/>
  <c r="I21" i="16"/>
  <c r="I25" i="16" s="1"/>
  <c r="F21" i="16"/>
  <c r="F25" i="16" s="1"/>
  <c r="B21" i="16"/>
  <c r="D21" i="16"/>
  <c r="D25" i="16" s="1"/>
  <c r="H21" i="16"/>
  <c r="H25" i="16" s="1"/>
  <c r="L21" i="16"/>
  <c r="L25" i="16" s="1"/>
  <c r="E21" i="16"/>
  <c r="E25" i="16" s="1"/>
  <c r="M21" i="16"/>
  <c r="M25" i="16" s="1"/>
  <c r="J21" i="16"/>
  <c r="J25" i="16" s="1"/>
  <c r="E10" i="2"/>
  <c r="J203" i="3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C11" i="5"/>
  <c r="L13" i="7"/>
  <c r="K13" i="7"/>
  <c r="J13" i="7"/>
  <c r="I13" i="7"/>
  <c r="N13" i="7" l="1"/>
  <c r="D17" i="1" s="1"/>
  <c r="I17" i="1" s="1"/>
  <c r="M11" i="5"/>
  <c r="O13" i="7"/>
  <c r="P13" i="7"/>
  <c r="Q13" i="7"/>
  <c r="U11" i="5"/>
  <c r="I24" i="2"/>
  <c r="T11" i="5"/>
  <c r="S11" i="5"/>
  <c r="C17" i="1"/>
  <c r="H17" i="1" s="1"/>
  <c r="V11" i="5"/>
  <c r="B24" i="7"/>
  <c r="B25" i="7"/>
  <c r="J24" i="2" l="1"/>
  <c r="D11" i="5"/>
  <c r="N11" i="5" s="1"/>
  <c r="E17" i="1"/>
  <c r="J17" i="1" s="1"/>
  <c r="M24" i="2"/>
  <c r="M26" i="2" s="1"/>
  <c r="L24" i="2"/>
  <c r="L26" i="2" s="1"/>
  <c r="F17" i="1"/>
  <c r="K17" i="1" s="1"/>
  <c r="F11" i="5"/>
  <c r="P11" i="5" s="1"/>
  <c r="G11" i="5"/>
  <c r="Q11" i="5" s="1"/>
  <c r="G17" i="1"/>
  <c r="L17" i="1" s="1"/>
  <c r="E11" i="5"/>
  <c r="O11" i="5" s="1"/>
  <c r="K24" i="2"/>
  <c r="F24" i="2" s="1"/>
  <c r="P26" i="2"/>
  <c r="I26" i="2"/>
  <c r="E24" i="2"/>
  <c r="G25" i="2"/>
  <c r="E25" i="2"/>
  <c r="D24" i="2"/>
  <c r="H24" i="2" l="1"/>
  <c r="K26" i="2"/>
  <c r="E26" i="2"/>
  <c r="J26" i="2"/>
  <c r="G24" i="2"/>
  <c r="G26" i="2" s="1"/>
  <c r="F25" i="2"/>
  <c r="F26" i="2" s="1"/>
  <c r="D25" i="2"/>
  <c r="D26" i="2" s="1"/>
  <c r="H25" i="2"/>
  <c r="H26" i="2" s="1"/>
  <c r="O26" i="2" l="1"/>
  <c r="N26" i="2"/>
  <c r="Q26" i="2" l="1"/>
  <c r="I12" i="7"/>
  <c r="N12" i="7" l="1"/>
  <c r="Q16" i="1" l="1"/>
  <c r="R12" i="5"/>
  <c r="R10" i="5"/>
  <c r="H12" i="5"/>
  <c r="I12" i="5"/>
  <c r="J12" i="5"/>
  <c r="K12" i="5"/>
  <c r="L12" i="5"/>
  <c r="J10" i="5"/>
  <c r="K10" i="5"/>
  <c r="L10" i="5"/>
  <c r="I22" i="2" l="1"/>
  <c r="I21" i="2" l="1"/>
  <c r="C12" i="5" l="1"/>
  <c r="M12" i="5" s="1"/>
  <c r="C18" i="1"/>
  <c r="D16" i="1"/>
  <c r="I16" i="1" s="1"/>
  <c r="S10" i="5"/>
  <c r="L14" i="7"/>
  <c r="K14" i="7"/>
  <c r="J14" i="7"/>
  <c r="I14" i="7"/>
  <c r="L12" i="7"/>
  <c r="K12" i="7"/>
  <c r="Q14" i="7" l="1"/>
  <c r="Q12" i="7"/>
  <c r="N14" i="7"/>
  <c r="O14" i="7"/>
  <c r="P12" i="7"/>
  <c r="P14" i="7"/>
  <c r="U10" i="5"/>
  <c r="V10" i="5"/>
  <c r="U12" i="5"/>
  <c r="V12" i="5"/>
  <c r="S12" i="5"/>
  <c r="T12" i="5"/>
  <c r="P21" i="2"/>
  <c r="F16" i="1" l="1"/>
  <c r="K16" i="1" s="1"/>
  <c r="G16" i="1"/>
  <c r="L16" i="1" s="1"/>
  <c r="E12" i="5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B9" i="16" s="1"/>
  <c r="P41" i="2" l="1"/>
  <c r="K28" i="2"/>
  <c r="F28" i="2" s="1"/>
  <c r="K22" i="2"/>
  <c r="F22" i="2" s="1"/>
  <c r="J12" i="7"/>
  <c r="O12" i="7" l="1"/>
  <c r="T10" i="5"/>
  <c r="K21" i="2" l="1"/>
  <c r="F21" i="2" s="1"/>
  <c r="F23" i="2" s="1"/>
  <c r="E16" i="1"/>
  <c r="J16" i="1" s="1"/>
  <c r="E10" i="5"/>
  <c r="O10" i="5" s="1"/>
  <c r="K23" i="2" l="1"/>
  <c r="K27" i="2"/>
  <c r="D9" i="2"/>
  <c r="D12" i="2" s="1"/>
  <c r="F27" i="2" l="1"/>
  <c r="F29" i="2" s="1"/>
  <c r="K29" i="2"/>
  <c r="E4" i="12"/>
  <c r="B11" i="12"/>
  <c r="K30" i="2" l="1"/>
  <c r="K41" i="2" s="1"/>
  <c r="F30" i="2"/>
  <c r="F41" i="2" s="1"/>
  <c r="L11" i="12"/>
  <c r="L37" i="12" l="1"/>
  <c r="D14" i="3"/>
  <c r="C16" i="1"/>
  <c r="H16" i="1" s="1"/>
  <c r="N10" i="16" l="1"/>
  <c r="H14" i="3"/>
  <c r="H13" i="3" s="1"/>
  <c r="H12" i="3" s="1"/>
  <c r="H75" i="3" s="1"/>
  <c r="D13" i="3"/>
  <c r="D12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B12" i="16" l="1"/>
  <c r="B13" i="16" s="1"/>
  <c r="E12" i="16"/>
  <c r="I12" i="16"/>
  <c r="M12" i="16"/>
  <c r="K12" i="16"/>
  <c r="H12" i="16"/>
  <c r="F12" i="16"/>
  <c r="J12" i="16"/>
  <c r="D12" i="16"/>
  <c r="G12" i="16"/>
  <c r="C12" i="16"/>
  <c r="L12" i="16"/>
  <c r="J75" i="3"/>
  <c r="J207" i="3" s="1"/>
  <c r="H204" i="3"/>
  <c r="D23" i="2"/>
  <c r="H22" i="2"/>
  <c r="M23" i="2"/>
  <c r="D28" i="2"/>
  <c r="D29" i="2" s="1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L30" i="2" l="1"/>
  <c r="L41" i="2" s="1"/>
  <c r="M30" i="2"/>
  <c r="M41" i="2" s="1"/>
  <c r="I30" i="2"/>
  <c r="I41" i="2" s="1"/>
  <c r="D30" i="2"/>
  <c r="N12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H29" i="2"/>
  <c r="H30" i="2" l="1"/>
  <c r="H41" i="2" s="1"/>
  <c r="G30" i="2"/>
  <c r="G41" i="2" s="1"/>
  <c r="D41" i="2"/>
  <c r="F9" i="2" l="1"/>
  <c r="F12" i="2" s="1"/>
  <c r="J27" i="2" l="1"/>
  <c r="G10" i="2" l="1"/>
  <c r="G11" i="2"/>
  <c r="G9" i="2"/>
  <c r="J29" i="2"/>
  <c r="E27" i="2"/>
  <c r="E29" i="2" s="1"/>
  <c r="H11" i="2" l="1"/>
  <c r="I11" i="2" s="1"/>
  <c r="H10" i="2"/>
  <c r="H9" i="2"/>
  <c r="G12" i="2"/>
  <c r="L9" i="2" s="1"/>
  <c r="N29" i="2"/>
  <c r="O29" i="2"/>
  <c r="L10" i="2" l="1"/>
  <c r="L11" i="2"/>
  <c r="H12" i="2"/>
  <c r="Q29" i="2"/>
  <c r="L12" i="2" l="1"/>
  <c r="D10" i="5"/>
  <c r="N10" i="5" s="1"/>
  <c r="J21" i="2"/>
  <c r="J23" i="2" s="1"/>
  <c r="J30" i="2" l="1"/>
  <c r="J41" i="2" s="1"/>
  <c r="E21" i="2"/>
  <c r="E23" i="2" s="1"/>
  <c r="O23" i="2"/>
  <c r="O30" i="2" s="1"/>
  <c r="E30" i="2" l="1"/>
  <c r="E41" i="2" s="1"/>
  <c r="O41" i="2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N23" i="2"/>
  <c r="N30" i="2" s="1"/>
  <c r="C9" i="2" l="1"/>
  <c r="Q23" i="2"/>
  <c r="Q30" i="2" s="1"/>
  <c r="C12" i="2" l="1"/>
  <c r="N41" i="2"/>
  <c r="D9" i="16"/>
  <c r="D13" i="16" s="1"/>
  <c r="C9" i="16"/>
  <c r="I10" i="2"/>
  <c r="Q41" i="2"/>
  <c r="B9" i="2"/>
  <c r="N9" i="16" l="1"/>
  <c r="N13" i="16" s="1"/>
  <c r="C13" i="16"/>
  <c r="B12" i="2"/>
  <c r="E9" i="2"/>
  <c r="E12" i="2" l="1"/>
  <c r="I9" i="2"/>
  <c r="D75" i="3"/>
  <c r="D204" i="3" s="1"/>
  <c r="I12" i="2" l="1"/>
</calcChain>
</file>

<file path=xl/sharedStrings.xml><?xml version="1.0" encoding="utf-8"?>
<sst xmlns="http://schemas.openxmlformats.org/spreadsheetml/2006/main" count="858" uniqueCount="322">
  <si>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</si>
  <si>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</si>
  <si>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</si>
  <si>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</si>
  <si>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</si>
  <si>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</si>
  <si>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</si>
  <si>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</si>
  <si>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</si>
  <si>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</si>
  <si>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</si>
  <si>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</si>
  <si>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</si>
  <si>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</si>
  <si>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</si>
  <si>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</si>
  <si>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</si>
  <si>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</si>
  <si>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</si>
  <si>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</si>
  <si>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</si>
  <si>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</si>
  <si>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</si>
  <si>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</si>
  <si>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</si>
  <si>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</si>
  <si>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</si>
  <si>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</si>
  <si>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</si>
  <si>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</si>
  <si>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</si>
  <si>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</si>
  <si>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</si>
  <si>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</si>
  <si>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</si>
  <si>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</si>
  <si>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</si>
  <si>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</si>
  <si>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</si>
  <si>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</si>
  <si>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</si>
  <si>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</si>
  <si>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</si>
  <si>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</si>
  <si>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</si>
  <si>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</si>
  <si>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</si>
  <si>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</si>
  <si>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</si>
  <si>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</si>
  <si>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</si>
  <si>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</si>
  <si>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</si>
  <si>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</si>
  <si>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</si>
  <si>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</si>
  <si>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</si>
  <si>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</si>
  <si>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</si>
  <si>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</si>
  <si>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</si>
  <si>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</si>
  <si>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</si>
  <si>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</si>
  <si>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</si>
  <si>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</si>
  <si>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</si>
  <si>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</si>
  <si>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</si>
  <si>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</si>
  <si>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</si>
  <si>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</si>
  <si>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</si>
  <si>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</si>
  <si>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</si>
  <si>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</si>
  <si>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</si>
  <si>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</si>
  <si>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</si>
  <si>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</si>
  <si>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</si>
  <si>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</si>
  <si>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</si>
  <si>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</si>
  <si>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</si>
  <si>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</si>
  <si>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</si>
  <si>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</si>
  <si>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</si>
  <si>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</si>
  <si>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</si>
  <si>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</si>
  <si>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</si>
  <si>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</si>
  <si>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</si>
  <si>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</si>
  <si>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</si>
  <si>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</si>
  <si>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</si>
  <si>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</si>
  <si>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</si>
  <si>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</si>
  <si>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</si>
  <si>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</si>
  <si>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</si>
  <si>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</si>
  <si>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</si>
  <si>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</si>
  <si>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</si>
  <si>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</si>
  <si>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</si>
  <si>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</si>
  <si>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</si>
  <si>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</si>
  <si>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</si>
  <si>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</si>
  <si>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</si>
  <si>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</si>
  <si>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</si>
  <si>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</si>
  <si>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</si>
  <si>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</si>
  <si>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</si>
  <si>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</si>
  <si>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</si>
  <si>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</si>
  <si>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</si>
  <si>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</si>
  <si>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</si>
  <si>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</si>
  <si>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</si>
  <si>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</si>
  <si>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</si>
  <si>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</si>
  <si>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</si>
  <si>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</si>
  <si>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</si>
  <si>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</si>
  <si>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</si>
  <si>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</si>
  <si>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</si>
  <si>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</si>
  <si>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</si>
  <si>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</si>
  <si>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</si>
  <si>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</si>
  <si>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</si>
  <si>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</si>
  <si>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</si>
  <si>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</si>
  <si>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</si>
  <si>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</si>
  <si>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</si>
  <si>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</si>
  <si>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</si>
  <si>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</si>
  <si>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</si>
  <si>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</si>
  <si>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</si>
  <si>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</si>
  <si>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</si>
  <si>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</si>
  <si>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</si>
  <si>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</si>
  <si>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</si>
  <si>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</si>
  <si>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</si>
  <si>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</si>
  <si>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</si>
  <si>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</si>
  <si>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</si>
  <si>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</si>
  <si>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</si>
  <si>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</si>
  <si>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</si>
  <si>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</si>
  <si>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</si>
  <si>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</si>
  <si>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</si>
  <si>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</si>
  <si>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</si>
  <si>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</si>
  <si>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</si>
  <si>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</si>
  <si>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</si>
  <si>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</si>
  <si>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</si>
  <si>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</si>
  <si>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</si>
  <si>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</si>
  <si>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</si>
  <si>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</si>
  <si>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</si>
  <si>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</si>
  <si>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</si>
  <si>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</si>
  <si>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</si>
  <si>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</si>
  <si>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</si>
  <si>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</si>
  <si>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</si>
  <si>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</si>
  <si>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</si>
  <si>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</si>
  <si>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</si>
  <si>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</si>
  <si>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</si>
  <si>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</si>
  <si>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</si>
  <si>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</si>
  <si>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</si>
  <si>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</si>
  <si>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</si>
  <si>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</si>
  <si>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</si>
  <si>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</si>
  <si>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</si>
  <si>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</si>
  <si>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>Sala Cuna Olitas de Mar</t>
  </si>
  <si>
    <t>Media Jornada</t>
  </si>
  <si>
    <t>Nocturna</t>
  </si>
  <si>
    <t>Diurna</t>
  </si>
  <si>
    <t>Sala Cuna Olitas de Mar Diurna</t>
  </si>
  <si>
    <t>Sala Cuna Olitas de Mar Nocturna</t>
  </si>
  <si>
    <t>TOTAL</t>
  </si>
  <si>
    <t xml:space="preserve"> COSTOS DIRECTOS COMUNES  "JARDIN INFANTIL Y SALA CUNA OLITAS DE MAR"</t>
  </si>
  <si>
    <t>JI (80%)</t>
  </si>
  <si>
    <t>SC (20%)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</si>
  <si>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</si>
  <si>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</si>
  <si>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</si>
  <si>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</si>
  <si>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</si>
  <si>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</si>
  <si>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</si>
  <si>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</si>
  <si>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</si>
  <si>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</si>
  <si>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</si>
  <si>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</si>
  <si>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</si>
  <si>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</si>
  <si>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</si>
  <si>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</si>
  <si>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</si>
  <si>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</si>
  <si>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</si>
  <si>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</si>
  <si>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</si>
  <si>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</si>
  <si>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DELBIENSAN</t>
  </si>
  <si>
    <t>Mensualidad 2024</t>
  </si>
  <si>
    <t>Gasto Total Empresa
2024</t>
  </si>
  <si>
    <t>INSTRUCCIONES</t>
  </si>
  <si>
    <t>Matrícula 2025</t>
  </si>
  <si>
    <t>Mensualidad 2025</t>
  </si>
  <si>
    <t>Tarifa 2025</t>
  </si>
  <si>
    <t>Propuesta Mensualidad 2025</t>
  </si>
  <si>
    <t>Meta Ocupación niños 2025</t>
  </si>
  <si>
    <t>COSTO DIRECTO ESTIMADO 2025</t>
  </si>
  <si>
    <t>REMUNERACIONES 2024</t>
  </si>
  <si>
    <t>Costo Total anual por Servidor 2024</t>
  </si>
  <si>
    <t>Costo Total por Servidor Reajustado 2025</t>
  </si>
  <si>
    <t>COSTO INDIRECTO ESTIMADO 2025</t>
  </si>
  <si>
    <t>Gasto Total Empresa
2025</t>
  </si>
  <si>
    <t>ARIELA</t>
  </si>
  <si>
    <t>GONZALEZ</t>
  </si>
  <si>
    <t>Ed. De Párvulos</t>
  </si>
  <si>
    <t xml:space="preserve">SERGIO </t>
  </si>
  <si>
    <t>BUENO BUENO</t>
  </si>
  <si>
    <t>Jardinero</t>
  </si>
  <si>
    <t>Aux.  De Aseo</t>
  </si>
  <si>
    <t xml:space="preserve">GABRIELA </t>
  </si>
  <si>
    <t>GONZÁLEZ</t>
  </si>
  <si>
    <t xml:space="preserve"> Sala Cuna Olitas de Mar</t>
  </si>
  <si>
    <t>KARINA</t>
  </si>
  <si>
    <t>CLAVERO</t>
  </si>
  <si>
    <t>Técnicos en Parv.</t>
  </si>
  <si>
    <t>SUSANA</t>
  </si>
  <si>
    <t>COLLINAO</t>
  </si>
  <si>
    <t>Edilia</t>
  </si>
  <si>
    <t>Vidal Alvarez</t>
  </si>
  <si>
    <t xml:space="preserve"> Contador General</t>
  </si>
  <si>
    <t>Myriam</t>
  </si>
  <si>
    <t>Flores Vasquez</t>
  </si>
  <si>
    <t xml:space="preserve"> Encargado Rendición Cuentas</t>
  </si>
  <si>
    <t xml:space="preserve">Matias </t>
  </si>
  <si>
    <t>Torres Tapia</t>
  </si>
  <si>
    <t>Administrador de Contratos</t>
  </si>
  <si>
    <t>Jardín Infantil KIM</t>
  </si>
  <si>
    <t>Sala Cuna KIM</t>
  </si>
  <si>
    <t>Jardín Infantil ZUMBAYLLU</t>
  </si>
  <si>
    <t>Sala Cuna ZUMBAYLLU</t>
  </si>
  <si>
    <t>SE CONSIDERA: MANTENCIÓN DE EXTINTORES ACTUALES.</t>
  </si>
  <si>
    <t>SE CONSIDERA: COMPRA DE CORTADORA Y ORILLADORA DE PASTO.</t>
  </si>
  <si>
    <t>PROMEDIO GASTO ANUAL DE GAS.</t>
  </si>
  <si>
    <t>PROMEDIO GASTO ANUAL DE AGUA.</t>
  </si>
  <si>
    <t>PROMEDIO GASTO ANUAL DE ELECTRICIDAD.</t>
  </si>
  <si>
    <t>SE CONSIDERA: COMPRA DE COMBUSTIBLE PARA MAQUINA CORTADORA DE PASTO.</t>
  </si>
  <si>
    <t>PROMEDIO ANUAL GASTOS MENORES</t>
  </si>
  <si>
    <t>SE CONSIDERA: COMPRA DE LAVAFONDOS INDUSTRIALES, SU INSTALACIÓN Y RECAMBIO DE MUEBLES DE COCINA DEL SECTOR.</t>
  </si>
  <si>
    <t xml:space="preserve">SE CONSIDERA: COMPRA DE BOTIQUÍN EQUIPADO PARA SALAS DE ACTIVIDADES Y SECTOR PERSONAL, EN CUMPLIMIENTO AL PLAN DE SEGURIDAD ESCOLAR Y REGLAMENTO DE HIGIENE Y SEGURIDAD. </t>
  </si>
  <si>
    <t xml:space="preserve">CONSIDERAR TEXTOS INFANTILES EN CADA NIVEL EDUCATIVO, EN APOYO A LA REALIZACION DE DIFERENTES ACTIVIDAES PEDAGOGICAS. </t>
  </si>
  <si>
    <t xml:space="preserve">REPONER TINTAS PARA LA EL FUNCIONAMIENTO DE IMPRESORA DE OFICINA DE DIRECCIÓN </t>
  </si>
  <si>
    <t xml:space="preserve">SE CONSIDERA FUMIGACION DEL ESTABLECIMIENTO EDUCATIVO EN CUMPLIMIENTO A PLAN DE SEGURIDAD </t>
  </si>
  <si>
    <t xml:space="preserve">SE CONSIDERA POSIBLE REPARACION DE CHAPAS, MUEBLES, U OTRAS  SITUACIONES FORTUITAS QUE PUEDAN OCURRIR. </t>
  </si>
  <si>
    <t xml:space="preserve">SE CONSIDERA SERVICIO DE MANTENCIÓN PARA HUERTO SUSTENTABLE, COMO POR EJEMPLO: SERVICIO DE PAISAJISMO, SERVICIO DE RESGUARDO DE HORTALIZAS DE ACUERDO A TEMPORADA, ENTRE OTROS. </t>
  </si>
  <si>
    <t xml:space="preserve">SE CONSIDERA SEMINARIO INTERINSTITUCIONAL ANUAL </t>
  </si>
  <si>
    <t xml:space="preserve">SE CONSIDERA RESPUESTO DE FUNDAS PLÁSTICAS, ARCHIVADORES, LAPICES, ENTRE OTROS. </t>
  </si>
  <si>
    <t xml:space="preserve">REPARACIÓN DE EQUIPOS MENORES OFICINA DE DIRECCION </t>
  </si>
  <si>
    <t xml:space="preserve">CONSIDERAR ADQUISICION DE ARTICULOS DE COCINA CENTRAL Y SEDILE </t>
  </si>
  <si>
    <t xml:space="preserve">SE CONSIDERA: RECAMBIO DE CORTINAS ROLLER DE SALAS DE ACTIVIDADES Y ESPACIOS COMUNES, COMPRA DE TOLDOS PARA HUERTO SUSTENTBLE Y PATIO SECTOR PASTO SINTETICO, OBEJTIVO GARANTIZAR BIENETSAR DE LOS NIIÑOS ANTE ALTAS TEMPERTURAS Y RESGUARDO DE HORTALIZAS DEL HUERTO SUSTENTABLE                                                  </t>
  </si>
  <si>
    <t>SE CONSIDERA: TRABAJO DE MANO DE OBRA PARA CAMBIO DE PASTO SINTÉTICO PATIO SALA CUNA Y HUERTO.</t>
  </si>
  <si>
    <t>SE CONSIDERA: COMPRA DE FERTILIZANTES, FUNGICIDAS Y OTROS MATERIALES  PARA MANTENCION DE HUERTO SUSTENTABLE Y ALRREDEDORES</t>
  </si>
  <si>
    <t xml:space="preserve">PEDIDO ANUAL DE ARTICULOS QUE OPTIMIZAN ASEO Y ORNATO DEL ESTABLECIMIENTO EDUCATIVO </t>
  </si>
  <si>
    <t>SE CONSIDERA: COMPRA DE MOBILIARIO PARA LOS CUATRO NIVELES EDUCATIVOS, ADEMÁS LA COMPRA DE SILLAS DE DESCANSO EN CUMPLIMIENTO A LEY.</t>
  </si>
  <si>
    <t xml:space="preserve">INCORPORAR CAMARAS DE VIGILANCIA EN LOS PATIOS DE NIVELES MEDIOS Y SALA CUNA, ADEMÁS DEL SECTOR DE BODEGAS Y ENTRADA DEL ESTABLECIMIENTO </t>
  </si>
  <si>
    <t>SE CONSIDERA: SERVICIO LAVANDERÍA MENSUAL DE TEXTILES NIVEL SALA CUNA</t>
  </si>
  <si>
    <t xml:space="preserve">ITEM CONSIDERA ARRIENDO DE DIFERENTES SERVICOS PARA CELEBRACIÓN DE ALGUNAS FIESTAS INTERNAS PARA LOS NIÑOS, EJEMPLO: FIESTA DE NAVIDAD, GRADUACIÓN U OTROS. </t>
  </si>
  <si>
    <t xml:space="preserve">SE CONSIDERA: MANTENCIÓN DE COCINA INDUSTRIAL EXISTENTE (QUEMADORES Y HORNO), ADEMÁS DE MANTENCIÓN DE GASFITERIA O PROBLEMATICAS RESPECTO A ELECTRICIDAD </t>
  </si>
  <si>
    <t>Asistencia Recreativa</t>
  </si>
  <si>
    <t>Asistencia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</si>
</sst>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gray125">
        <bgColor rgb="FFFFFF00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gray125">
        <bgColor theme="9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14" fillId="0" borderId="0"/>
    <xf numFmtId="165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8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1" fontId="14" fillId="0" borderId="0" applyFill="0" applyBorder="0" applyAlignment="0" applyProtection="0"/>
    <xf numFmtId="165" fontId="14" fillId="0" borderId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178" applyNumberFormat="0" applyAlignment="0" applyProtection="0"/>
    <xf numFmtId="0" fontId="5" fillId="8" borderId="175" applyNumberFormat="0" applyAlignment="0" applyProtection="0"/>
    <xf numFmtId="0" fontId="5" fillId="8" borderId="176" applyNumberFormat="0" applyAlignment="0" applyProtection="0"/>
    <xf numFmtId="0" fontId="5" fillId="8" borderId="188" applyNumberFormat="0" applyAlignment="0" applyProtection="0"/>
    <xf numFmtId="0" fontId="5" fillId="8" borderId="182" applyNumberFormat="0" applyAlignment="0" applyProtection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168" fontId="14" fillId="0" borderId="0"/>
    <xf numFmtId="165" fontId="14" fillId="0" borderId="0"/>
  </cellStyleXfs>
  <cellXfs count="937">
    <xf numFmtId="0" fontId="0" fillId="0" borderId="0" xfId="0"/>
    <xf numFmtId="168" fontId="0" fillId="0" borderId="0" xfId="16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9" borderId="0" xfId="0" applyFont="1" applyFill="1" applyAlignment="1">
      <alignment horizontal="left" vertical="center"/>
    </xf>
    <xf numFmtId="167" fontId="13" fillId="9" borderId="0" xfId="13" applyNumberFormat="1" applyFont="1" applyFill="1" applyAlignment="1">
      <alignment vertical="center"/>
    </xf>
    <xf numFmtId="165" fontId="13" fillId="0" borderId="0" xfId="13" applyFont="1" applyAlignment="1">
      <alignment vertical="center"/>
    </xf>
    <xf numFmtId="170" fontId="1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7" fontId="13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5" fontId="0" fillId="0" borderId="0" xfId="13" applyFont="1" applyAlignment="1">
      <alignment vertical="center"/>
    </xf>
    <xf numFmtId="168" fontId="16" fillId="0" borderId="0" xfId="16" applyFont="1" applyAlignment="1">
      <alignment vertical="center"/>
    </xf>
    <xf numFmtId="173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6" fontId="0" fillId="11" borderId="0" xfId="0" applyNumberFormat="1" applyFill="1" applyAlignment="1">
      <alignment horizontal="right" vertical="center"/>
    </xf>
    <xf numFmtId="0" fontId="0" fillId="11" borderId="0" xfId="0" applyFill="1"/>
    <xf numFmtId="176" fontId="13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6" fontId="0" fillId="0" borderId="0" xfId="0" applyNumberFormat="1"/>
    <xf numFmtId="0" fontId="13" fillId="0" borderId="0" xfId="0" applyFont="1" applyAlignment="1">
      <alignment horizontal="center" vertical="center"/>
    </xf>
    <xf numFmtId="0" fontId="13" fillId="0" borderId="0" xfId="0" applyFont="1"/>
    <xf numFmtId="168" fontId="13" fillId="0" borderId="0" xfId="16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3" fillId="0" borderId="0" xfId="0" applyFont="1" applyAlignment="1">
      <alignment horizontal="center"/>
    </xf>
    <xf numFmtId="176" fontId="13" fillId="0" borderId="0" xfId="0" applyNumberFormat="1" applyFont="1" applyAlignment="1">
      <alignment horizontal="center" vertical="center" wrapText="1"/>
    </xf>
    <xf numFmtId="0" fontId="13" fillId="16" borderId="18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13" fillId="26" borderId="18" xfId="0" applyNumberFormat="1" applyFont="1" applyFill="1" applyBorder="1" applyAlignment="1">
      <alignment horizontal="center" vertical="center"/>
    </xf>
    <xf numFmtId="169" fontId="13" fillId="19" borderId="18" xfId="16" applyNumberFormat="1" applyFont="1" applyFill="1" applyBorder="1" applyAlignment="1">
      <alignment horizontal="center" vertical="center"/>
    </xf>
    <xf numFmtId="177" fontId="0" fillId="0" borderId="0" xfId="13" applyNumberFormat="1" applyFont="1" applyAlignment="1">
      <alignment vertical="center"/>
    </xf>
    <xf numFmtId="168" fontId="14" fillId="0" borderId="18" xfId="16" applyBorder="1" applyAlignment="1">
      <alignment horizontal="center" vertical="center"/>
    </xf>
    <xf numFmtId="168" fontId="13" fillId="16" borderId="18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67" fontId="13" fillId="34" borderId="36" xfId="0" applyNumberFormat="1" applyFont="1" applyFill="1" applyBorder="1" applyAlignment="1">
      <alignment horizontal="center" vertical="center" wrapText="1"/>
    </xf>
    <xf numFmtId="167" fontId="13" fillId="34" borderId="39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8" fontId="29" fillId="0" borderId="0" xfId="16" applyFont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25" fillId="11" borderId="0" xfId="0" applyFont="1" applyFill="1" applyAlignment="1">
      <alignment horizontal="left" vertical="center" indent="2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179" fontId="14" fillId="36" borderId="75" xfId="16" applyNumberFormat="1" applyFill="1" applyBorder="1" applyAlignment="1">
      <alignment horizontal="center" vertical="center"/>
    </xf>
    <xf numFmtId="179" fontId="14" fillId="36" borderId="76" xfId="16" applyNumberFormat="1" applyFill="1" applyBorder="1" applyAlignment="1">
      <alignment horizontal="center" vertical="center"/>
    </xf>
    <xf numFmtId="179" fontId="14" fillId="36" borderId="77" xfId="16" applyNumberFormat="1" applyFill="1" applyBorder="1" applyAlignment="1">
      <alignment horizontal="center" vertical="center"/>
    </xf>
    <xf numFmtId="179" fontId="14" fillId="36" borderId="78" xfId="16" applyNumberFormat="1" applyFill="1" applyBorder="1" applyAlignment="1">
      <alignment horizontal="center" vertical="center"/>
    </xf>
    <xf numFmtId="178" fontId="0" fillId="12" borderId="80" xfId="13" applyNumberFormat="1" applyFont="1" applyFill="1" applyBorder="1" applyAlignment="1" applyProtection="1">
      <alignment horizontal="center" vertical="center"/>
      <protection locked="0"/>
    </xf>
    <xf numFmtId="168" fontId="14" fillId="0" borderId="0" xfId="16"/>
    <xf numFmtId="0" fontId="23" fillId="12" borderId="31" xfId="0" applyFont="1" applyFill="1" applyBorder="1" applyAlignment="1" applyProtection="1">
      <alignment horizontal="center" vertical="center"/>
      <protection locked="0"/>
    </xf>
    <xf numFmtId="177" fontId="0" fillId="12" borderId="77" xfId="13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vertical="center" wrapText="1"/>
    </xf>
    <xf numFmtId="0" fontId="13" fillId="16" borderId="97" xfId="0" applyFont="1" applyFill="1" applyBorder="1" applyAlignment="1">
      <alignment horizontal="center" vertical="center" wrapText="1"/>
    </xf>
    <xf numFmtId="177" fontId="0" fillId="12" borderId="75" xfId="13" applyNumberFormat="1" applyFont="1" applyFill="1" applyBorder="1" applyAlignment="1" applyProtection="1">
      <alignment vertical="center"/>
      <protection locked="0"/>
    </xf>
    <xf numFmtId="176" fontId="22" fillId="28" borderId="89" xfId="0" applyNumberFormat="1" applyFont="1" applyFill="1" applyBorder="1" applyAlignment="1">
      <alignment horizontal="center" vertical="center"/>
    </xf>
    <xf numFmtId="176" fontId="23" fillId="28" borderId="40" xfId="0" applyNumberFormat="1" applyFont="1" applyFill="1" applyBorder="1" applyAlignment="1">
      <alignment vertical="center"/>
    </xf>
    <xf numFmtId="167" fontId="0" fillId="12" borderId="76" xfId="13" applyNumberFormat="1" applyFont="1" applyFill="1" applyBorder="1" applyAlignment="1" applyProtection="1">
      <alignment vertical="center"/>
      <protection locked="0"/>
    </xf>
    <xf numFmtId="0" fontId="0" fillId="12" borderId="78" xfId="0" applyFill="1" applyBorder="1" applyAlignment="1" applyProtection="1">
      <alignment horizontal="left" vertical="center"/>
      <protection locked="0"/>
    </xf>
    <xf numFmtId="167" fontId="0" fillId="12" borderId="79" xfId="13" applyNumberFormat="1" applyFont="1" applyFill="1" applyBorder="1" applyAlignment="1" applyProtection="1">
      <alignment vertical="center"/>
      <protection locked="0"/>
    </xf>
    <xf numFmtId="0" fontId="0" fillId="12" borderId="82" xfId="0" applyFill="1" applyBorder="1" applyAlignment="1" applyProtection="1">
      <alignment horizontal="left" vertical="center"/>
      <protection locked="0"/>
    </xf>
    <xf numFmtId="167" fontId="0" fillId="12" borderId="81" xfId="13" applyNumberFormat="1" applyFont="1" applyFill="1" applyBorder="1" applyAlignment="1" applyProtection="1">
      <alignment vertical="center"/>
      <protection locked="0"/>
    </xf>
    <xf numFmtId="179" fontId="14" fillId="36" borderId="82" xfId="16" applyNumberFormat="1" applyFill="1" applyBorder="1" applyAlignment="1">
      <alignment horizontal="center" vertical="center"/>
    </xf>
    <xf numFmtId="179" fontId="14" fillId="36" borderId="80" xfId="16" applyNumberFormat="1" applyFill="1" applyBorder="1" applyAlignment="1">
      <alignment horizontal="center" vertical="center"/>
    </xf>
    <xf numFmtId="179" fontId="14" fillId="36" borderId="81" xfId="16" applyNumberFormat="1" applyFill="1" applyBorder="1" applyAlignment="1">
      <alignment horizontal="center" vertical="center"/>
    </xf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17" borderId="77" xfId="0" applyFont="1" applyFill="1" applyBorder="1" applyAlignment="1">
      <alignment horizontal="center" vertical="center" wrapText="1"/>
    </xf>
    <xf numFmtId="173" fontId="13" fillId="17" borderId="77" xfId="12" applyNumberFormat="1" applyFont="1" applyFill="1" applyBorder="1" applyAlignment="1">
      <alignment horizontal="center" vertical="center" wrapText="1"/>
    </xf>
    <xf numFmtId="0" fontId="11" fillId="17" borderId="77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7" fontId="0" fillId="0" borderId="0" xfId="0" applyNumberFormat="1" applyAlignment="1">
      <alignment vertical="center"/>
    </xf>
    <xf numFmtId="167" fontId="13" fillId="0" borderId="0" xfId="0" applyNumberFormat="1" applyFont="1" applyAlignment="1">
      <alignment vertical="center"/>
    </xf>
    <xf numFmtId="0" fontId="0" fillId="12" borderId="41" xfId="0" applyFill="1" applyBorder="1" applyAlignment="1" applyProtection="1">
      <alignment horizontal="left" vertical="center"/>
      <protection locked="0"/>
    </xf>
    <xf numFmtId="178" fontId="0" fillId="12" borderId="113" xfId="13" applyNumberFormat="1" applyFont="1" applyFill="1" applyBorder="1" applyAlignment="1" applyProtection="1">
      <alignment horizontal="center" vertical="center"/>
      <protection locked="0"/>
    </xf>
    <xf numFmtId="167" fontId="0" fillId="0" borderId="120" xfId="0" applyNumberFormat="1" applyBorder="1" applyAlignment="1">
      <alignment vertical="center"/>
    </xf>
    <xf numFmtId="167" fontId="13" fillId="34" borderId="121" xfId="0" applyNumberFormat="1" applyFont="1" applyFill="1" applyBorder="1" applyAlignment="1">
      <alignment horizontal="center" vertical="center" wrapText="1"/>
    </xf>
    <xf numFmtId="167" fontId="13" fillId="34" borderId="122" xfId="0" applyNumberFormat="1" applyFont="1" applyFill="1" applyBorder="1" applyAlignment="1">
      <alignment horizontal="center" vertical="center" wrapText="1"/>
    </xf>
    <xf numFmtId="167" fontId="13" fillId="34" borderId="123" xfId="0" applyNumberFormat="1" applyFont="1" applyFill="1" applyBorder="1" applyAlignment="1">
      <alignment horizontal="center" vertical="center" wrapText="1"/>
    </xf>
    <xf numFmtId="167" fontId="0" fillId="10" borderId="77" xfId="13" applyNumberFormat="1" applyFont="1" applyFill="1" applyBorder="1" applyAlignment="1">
      <alignment horizontal="right" vertical="center"/>
    </xf>
    <xf numFmtId="172" fontId="0" fillId="0" borderId="77" xfId="12" applyNumberFormat="1" applyFont="1" applyBorder="1" applyAlignment="1">
      <alignment vertical="center"/>
    </xf>
    <xf numFmtId="167" fontId="14" fillId="0" borderId="75" xfId="13" applyNumberFormat="1" applyBorder="1" applyAlignment="1">
      <alignment vertical="center"/>
    </xf>
    <xf numFmtId="167" fontId="0" fillId="10" borderId="75" xfId="13" applyNumberFormat="1" applyFont="1" applyFill="1" applyBorder="1" applyAlignment="1">
      <alignment horizontal="right" vertical="center"/>
    </xf>
    <xf numFmtId="167" fontId="13" fillId="39" borderId="126" xfId="0" applyNumberFormat="1" applyFont="1" applyFill="1" applyBorder="1" applyAlignment="1">
      <alignment vertical="center"/>
    </xf>
    <xf numFmtId="167" fontId="13" fillId="39" borderId="80" xfId="13" applyNumberFormat="1" applyFont="1" applyFill="1" applyBorder="1" applyAlignment="1">
      <alignment vertical="center"/>
    </xf>
    <xf numFmtId="167" fontId="13" fillId="39" borderId="80" xfId="13" applyNumberFormat="1" applyFont="1" applyFill="1" applyBorder="1" applyAlignment="1">
      <alignment horizontal="right" vertical="center"/>
    </xf>
    <xf numFmtId="167" fontId="14" fillId="0" borderId="41" xfId="13" applyNumberFormat="1" applyBorder="1" applyAlignment="1">
      <alignment vertical="center"/>
    </xf>
    <xf numFmtId="167" fontId="14" fillId="0" borderId="76" xfId="13" applyNumberFormat="1" applyBorder="1" applyAlignment="1">
      <alignment vertical="center"/>
    </xf>
    <xf numFmtId="172" fontId="0" fillId="0" borderId="78" xfId="12" applyNumberFormat="1" applyFont="1" applyBorder="1" applyAlignment="1">
      <alignment vertical="center"/>
    </xf>
    <xf numFmtId="172" fontId="0" fillId="0" borderId="79" xfId="12" applyNumberFormat="1" applyFont="1" applyBorder="1" applyAlignment="1">
      <alignment vertical="center"/>
    </xf>
    <xf numFmtId="167" fontId="13" fillId="39" borderId="82" xfId="13" applyNumberFormat="1" applyFont="1" applyFill="1" applyBorder="1" applyAlignment="1">
      <alignment vertical="center"/>
    </xf>
    <xf numFmtId="167" fontId="13" fillId="39" borderId="81" xfId="13" applyNumberFormat="1" applyFont="1" applyFill="1" applyBorder="1" applyAlignment="1">
      <alignment vertical="center"/>
    </xf>
    <xf numFmtId="167" fontId="0" fillId="10" borderId="109" xfId="13" applyNumberFormat="1" applyFont="1" applyFill="1" applyBorder="1" applyAlignment="1">
      <alignment horizontal="right" vertical="center"/>
    </xf>
    <xf numFmtId="167" fontId="0" fillId="10" borderId="93" xfId="13" applyNumberFormat="1" applyFont="1" applyFill="1" applyBorder="1" applyAlignment="1">
      <alignment horizontal="right" vertical="center"/>
    </xf>
    <xf numFmtId="167" fontId="13" fillId="39" borderId="92" xfId="13" applyNumberFormat="1" applyFont="1" applyFill="1" applyBorder="1" applyAlignment="1">
      <alignment horizontal="right" vertical="center"/>
    </xf>
    <xf numFmtId="167" fontId="14" fillId="42" borderId="45" xfId="13" applyNumberFormat="1" applyFill="1" applyBorder="1" applyAlignment="1">
      <alignment vertical="center"/>
    </xf>
    <xf numFmtId="172" fontId="0" fillId="12" borderId="87" xfId="12" applyNumberFormat="1" applyFont="1" applyFill="1" applyBorder="1" applyAlignment="1" applyProtection="1">
      <alignment vertical="center"/>
      <protection locked="0"/>
    </xf>
    <xf numFmtId="167" fontId="13" fillId="39" borderId="73" xfId="13" applyNumberFormat="1" applyFont="1" applyFill="1" applyBorder="1" applyAlignment="1">
      <alignment vertical="center"/>
    </xf>
    <xf numFmtId="167" fontId="13" fillId="39" borderId="102" xfId="13" applyNumberFormat="1" applyFont="1" applyFill="1" applyBorder="1" applyAlignment="1">
      <alignment horizontal="right" vertical="center"/>
    </xf>
    <xf numFmtId="0" fontId="13" fillId="15" borderId="108" xfId="0" applyFont="1" applyFill="1" applyBorder="1" applyAlignment="1">
      <alignment horizontal="center" vertical="center" wrapText="1"/>
    </xf>
    <xf numFmtId="167" fontId="18" fillId="35" borderId="65" xfId="0" applyNumberFormat="1" applyFont="1" applyFill="1" applyBorder="1" applyAlignment="1">
      <alignment horizontal="center" vertical="center" wrapText="1"/>
    </xf>
    <xf numFmtId="167" fontId="18" fillId="35" borderId="136" xfId="0" applyNumberFormat="1" applyFont="1" applyFill="1" applyBorder="1" applyAlignment="1">
      <alignment horizontal="center" vertical="center" wrapText="1"/>
    </xf>
    <xf numFmtId="0" fontId="18" fillId="35" borderId="64" xfId="0" applyFont="1" applyFill="1" applyBorder="1" applyAlignment="1">
      <alignment horizontal="center" vertical="center" wrapText="1"/>
    </xf>
    <xf numFmtId="0" fontId="18" fillId="25" borderId="137" xfId="0" applyFont="1" applyFill="1" applyBorder="1" applyAlignment="1">
      <alignment horizontal="center" vertical="center" wrapText="1"/>
    </xf>
    <xf numFmtId="0" fontId="18" fillId="25" borderId="134" xfId="0" applyFont="1" applyFill="1" applyBorder="1" applyAlignment="1">
      <alignment horizontal="center" vertical="center" wrapText="1"/>
    </xf>
    <xf numFmtId="0" fontId="18" fillId="25" borderId="65" xfId="0" applyFont="1" applyFill="1" applyBorder="1" applyAlignment="1">
      <alignment horizontal="center" vertical="center" wrapText="1"/>
    </xf>
    <xf numFmtId="0" fontId="13" fillId="15" borderId="68" xfId="0" applyFont="1" applyFill="1" applyBorder="1" applyAlignment="1">
      <alignment horizontal="center" vertical="center" wrapText="1"/>
    </xf>
    <xf numFmtId="0" fontId="13" fillId="0" borderId="138" xfId="0" applyFont="1" applyBorder="1" applyAlignment="1">
      <alignment horizontal="left" vertical="center"/>
    </xf>
    <xf numFmtId="167" fontId="0" fillId="29" borderId="115" xfId="13" applyNumberFormat="1" applyFont="1" applyFill="1" applyBorder="1" applyAlignment="1">
      <alignment vertical="center"/>
    </xf>
    <xf numFmtId="167" fontId="0" fillId="29" borderId="120" xfId="13" applyNumberFormat="1" applyFont="1" applyFill="1" applyBorder="1" applyAlignment="1">
      <alignment vertical="center"/>
    </xf>
    <xf numFmtId="167" fontId="13" fillId="29" borderId="139" xfId="13" applyNumberFormat="1" applyFont="1" applyFill="1" applyBorder="1" applyAlignment="1">
      <alignment vertical="center"/>
    </xf>
    <xf numFmtId="167" fontId="0" fillId="19" borderId="140" xfId="13" applyNumberFormat="1" applyFont="1" applyFill="1" applyBorder="1" applyAlignment="1">
      <alignment vertical="center"/>
    </xf>
    <xf numFmtId="167" fontId="0" fillId="19" borderId="141" xfId="13" applyNumberFormat="1" applyFont="1" applyFill="1" applyBorder="1" applyAlignment="1">
      <alignment vertical="center"/>
    </xf>
    <xf numFmtId="167" fontId="13" fillId="19" borderId="115" xfId="13" applyNumberFormat="1" applyFont="1" applyFill="1" applyBorder="1" applyAlignment="1">
      <alignment vertical="center"/>
    </xf>
    <xf numFmtId="167" fontId="13" fillId="0" borderId="142" xfId="13" applyNumberFormat="1" applyFont="1" applyBorder="1" applyAlignment="1">
      <alignment vertical="center"/>
    </xf>
    <xf numFmtId="0" fontId="13" fillId="15" borderId="143" xfId="0" applyFont="1" applyFill="1" applyBorder="1" applyAlignment="1">
      <alignment horizontal="center" vertical="center"/>
    </xf>
    <xf numFmtId="167" fontId="22" fillId="15" borderId="144" xfId="13" applyNumberFormat="1" applyFont="1" applyFill="1" applyBorder="1" applyAlignment="1">
      <alignment vertical="center"/>
    </xf>
    <xf numFmtId="167" fontId="13" fillId="39" borderId="116" xfId="13" applyNumberFormat="1" applyFont="1" applyFill="1" applyBorder="1" applyAlignment="1">
      <alignment horizontal="right" vertical="center"/>
    </xf>
    <xf numFmtId="167" fontId="13" fillId="39" borderId="145" xfId="13" applyNumberFormat="1" applyFont="1" applyFill="1" applyBorder="1" applyAlignment="1">
      <alignment horizontal="right" vertical="center"/>
    </xf>
    <xf numFmtId="167" fontId="13" fillId="39" borderId="146" xfId="13" applyNumberFormat="1" applyFont="1" applyFill="1" applyBorder="1" applyAlignment="1">
      <alignment vertical="center"/>
    </xf>
    <xf numFmtId="167" fontId="13" fillId="39" borderId="88" xfId="13" applyNumberFormat="1" applyFont="1" applyFill="1" applyBorder="1" applyAlignment="1">
      <alignment horizontal="right" vertical="center"/>
    </xf>
    <xf numFmtId="169" fontId="0" fillId="44" borderId="80" xfId="13" applyNumberFormat="1" applyFont="1" applyFill="1" applyBorder="1" applyAlignment="1">
      <alignment horizontal="center" vertical="center"/>
    </xf>
    <xf numFmtId="166" fontId="0" fillId="0" borderId="84" xfId="13" applyNumberFormat="1" applyFont="1" applyBorder="1" applyAlignment="1">
      <alignment vertical="center"/>
    </xf>
    <xf numFmtId="166" fontId="0" fillId="0" borderId="153" xfId="13" applyNumberFormat="1" applyFont="1" applyBorder="1" applyAlignment="1">
      <alignment vertical="center"/>
    </xf>
    <xf numFmtId="166" fontId="0" fillId="0" borderId="85" xfId="13" applyNumberFormat="1" applyFont="1" applyBorder="1" applyAlignment="1">
      <alignment vertical="center"/>
    </xf>
    <xf numFmtId="167" fontId="0" fillId="29" borderId="77" xfId="13" applyNumberFormat="1" applyFont="1" applyFill="1" applyBorder="1" applyAlignment="1">
      <alignment vertical="center"/>
    </xf>
    <xf numFmtId="167" fontId="0" fillId="29" borderId="41" xfId="13" applyNumberFormat="1" applyFont="1" applyFill="1" applyBorder="1" applyAlignment="1">
      <alignment vertical="center"/>
    </xf>
    <xf numFmtId="167" fontId="0" fillId="29" borderId="75" xfId="13" applyNumberFormat="1" applyFont="1" applyFill="1" applyBorder="1" applyAlignment="1">
      <alignment vertical="center"/>
    </xf>
    <xf numFmtId="167" fontId="0" fillId="29" borderId="76" xfId="13" applyNumberFormat="1" applyFont="1" applyFill="1" applyBorder="1" applyAlignment="1">
      <alignment vertical="center"/>
    </xf>
    <xf numFmtId="167" fontId="0" fillId="29" borderId="78" xfId="13" applyNumberFormat="1" applyFont="1" applyFill="1" applyBorder="1" applyAlignment="1">
      <alignment vertical="center"/>
    </xf>
    <xf numFmtId="167" fontId="0" fillId="29" borderId="79" xfId="13" applyNumberFormat="1" applyFont="1" applyFill="1" applyBorder="1" applyAlignment="1">
      <alignment vertical="center"/>
    </xf>
    <xf numFmtId="167" fontId="0" fillId="29" borderId="82" xfId="13" applyNumberFormat="1" applyFont="1" applyFill="1" applyBorder="1" applyAlignment="1">
      <alignment vertical="center"/>
    </xf>
    <xf numFmtId="167" fontId="0" fillId="29" borderId="80" xfId="13" applyNumberFormat="1" applyFont="1" applyFill="1" applyBorder="1" applyAlignment="1">
      <alignment vertical="center"/>
    </xf>
    <xf numFmtId="167" fontId="0" fillId="29" borderId="81" xfId="13" applyNumberFormat="1" applyFont="1" applyFill="1" applyBorder="1" applyAlignment="1">
      <alignment vertical="center"/>
    </xf>
    <xf numFmtId="167" fontId="0" fillId="36" borderId="82" xfId="13" applyNumberFormat="1" applyFont="1" applyFill="1" applyBorder="1" applyAlignment="1">
      <alignment vertical="center"/>
    </xf>
    <xf numFmtId="167" fontId="0" fillId="36" borderId="80" xfId="13" applyNumberFormat="1" applyFont="1" applyFill="1" applyBorder="1" applyAlignment="1">
      <alignment vertical="center"/>
    </xf>
    <xf numFmtId="167" fontId="0" fillId="36" borderId="73" xfId="13" applyNumberFormat="1" applyFont="1" applyFill="1" applyBorder="1" applyAlignment="1">
      <alignment vertical="center"/>
    </xf>
    <xf numFmtId="167" fontId="0" fillId="0" borderId="82" xfId="13" applyNumberFormat="1" applyFont="1" applyBorder="1" applyAlignment="1">
      <alignment vertical="center"/>
    </xf>
    <xf numFmtId="167" fontId="0" fillId="0" borderId="80" xfId="13" applyNumberFormat="1" applyFont="1" applyBorder="1" applyAlignment="1">
      <alignment vertical="center"/>
    </xf>
    <xf numFmtId="169" fontId="0" fillId="0" borderId="80" xfId="0" applyNumberFormat="1" applyBorder="1" applyAlignment="1">
      <alignment horizontal="center" vertical="center"/>
    </xf>
    <xf numFmtId="169" fontId="0" fillId="0" borderId="81" xfId="0" applyNumberFormat="1" applyBorder="1" applyAlignment="1">
      <alignment horizontal="center" vertical="center"/>
    </xf>
    <xf numFmtId="167" fontId="13" fillId="34" borderId="154" xfId="0" applyNumberFormat="1" applyFont="1" applyFill="1" applyBorder="1" applyAlignment="1">
      <alignment horizontal="center" vertical="center" wrapText="1"/>
    </xf>
    <xf numFmtId="167" fontId="13" fillId="34" borderId="155" xfId="0" applyNumberFormat="1" applyFont="1" applyFill="1" applyBorder="1" applyAlignment="1">
      <alignment horizontal="center" vertical="center" wrapText="1"/>
    </xf>
    <xf numFmtId="167" fontId="13" fillId="34" borderId="156" xfId="0" applyNumberFormat="1" applyFont="1" applyFill="1" applyBorder="1" applyAlignment="1">
      <alignment horizontal="center" vertical="center" wrapText="1"/>
    </xf>
    <xf numFmtId="167" fontId="13" fillId="15" borderId="157" xfId="0" applyNumberFormat="1" applyFont="1" applyFill="1" applyBorder="1" applyAlignment="1">
      <alignment horizontal="center" vertical="center" wrapText="1"/>
    </xf>
    <xf numFmtId="167" fontId="13" fillId="15" borderId="155" xfId="0" applyNumberFormat="1" applyFont="1" applyFill="1" applyBorder="1" applyAlignment="1">
      <alignment horizontal="center" vertical="center" wrapText="1"/>
    </xf>
    <xf numFmtId="167" fontId="13" fillId="15" borderId="158" xfId="0" applyNumberFormat="1" applyFont="1" applyFill="1" applyBorder="1" applyAlignment="1">
      <alignment horizontal="center" vertical="center" wrapText="1"/>
    </xf>
    <xf numFmtId="0" fontId="13" fillId="15" borderId="154" xfId="0" applyFont="1" applyFill="1" applyBorder="1" applyAlignment="1">
      <alignment horizontal="center" vertical="center"/>
    </xf>
    <xf numFmtId="0" fontId="13" fillId="15" borderId="159" xfId="0" applyFont="1" applyFill="1" applyBorder="1" applyAlignment="1">
      <alignment horizontal="center" vertical="center"/>
    </xf>
    <xf numFmtId="166" fontId="0" fillId="0" borderId="160" xfId="13" applyNumberFormat="1" applyFont="1" applyBorder="1" applyAlignment="1">
      <alignment vertical="center"/>
    </xf>
    <xf numFmtId="166" fontId="0" fillId="0" borderId="161" xfId="13" applyNumberFormat="1" applyFont="1" applyBorder="1" applyAlignment="1">
      <alignment vertical="center"/>
    </xf>
    <xf numFmtId="166" fontId="0" fillId="0" borderId="162" xfId="13" applyNumberFormat="1" applyFont="1" applyBorder="1" applyAlignment="1">
      <alignment vertical="center"/>
    </xf>
    <xf numFmtId="179" fontId="14" fillId="36" borderId="41" xfId="16" applyNumberFormat="1" applyFill="1" applyBorder="1" applyAlignment="1">
      <alignment horizontal="center" vertical="center"/>
    </xf>
    <xf numFmtId="179" fontId="14" fillId="36" borderId="79" xfId="16" applyNumberFormat="1" applyFill="1" applyBorder="1" applyAlignment="1">
      <alignment horizontal="center" vertical="center"/>
    </xf>
    <xf numFmtId="167" fontId="0" fillId="29" borderId="100" xfId="13" applyNumberFormat="1" applyFont="1" applyFill="1" applyBorder="1" applyAlignment="1">
      <alignment vertical="center"/>
    </xf>
    <xf numFmtId="167" fontId="0" fillId="29" borderId="101" xfId="13" applyNumberFormat="1" applyFont="1" applyFill="1" applyBorder="1" applyAlignment="1">
      <alignment vertical="center"/>
    </xf>
    <xf numFmtId="167" fontId="0" fillId="29" borderId="102" xfId="13" applyNumberFormat="1" applyFont="1" applyFill="1" applyBorder="1" applyAlignment="1">
      <alignment vertical="center"/>
    </xf>
    <xf numFmtId="167" fontId="14" fillId="0" borderId="45" xfId="13" applyNumberFormat="1" applyBorder="1" applyAlignment="1">
      <alignment vertical="center"/>
    </xf>
    <xf numFmtId="167" fontId="13" fillId="39" borderId="83" xfId="13" applyNumberFormat="1" applyFont="1" applyFill="1" applyBorder="1" applyAlignment="1">
      <alignment vertical="center"/>
    </xf>
    <xf numFmtId="167" fontId="13" fillId="39" borderId="145" xfId="13" applyNumberFormat="1" applyFont="1" applyFill="1" applyBorder="1" applyAlignment="1">
      <alignment vertical="center"/>
    </xf>
    <xf numFmtId="167" fontId="13" fillId="39" borderId="97" xfId="13" applyNumberFormat="1" applyFont="1" applyFill="1" applyBorder="1" applyAlignment="1">
      <alignment vertical="center"/>
    </xf>
    <xf numFmtId="172" fontId="0" fillId="0" borderId="87" xfId="12" applyNumberFormat="1" applyFont="1" applyBorder="1" applyAlignment="1">
      <alignment vertical="center"/>
    </xf>
    <xf numFmtId="167" fontId="0" fillId="0" borderId="59" xfId="13" applyNumberFormat="1" applyFont="1" applyBorder="1" applyAlignment="1">
      <alignment vertical="center"/>
    </xf>
    <xf numFmtId="167" fontId="0" fillId="0" borderId="125" xfId="13" applyNumberFormat="1" applyFont="1" applyBorder="1" applyAlignment="1">
      <alignment vertical="center"/>
    </xf>
    <xf numFmtId="167" fontId="0" fillId="0" borderId="105" xfId="13" applyNumberFormat="1" applyFont="1" applyBorder="1" applyAlignment="1">
      <alignment vertical="center"/>
    </xf>
    <xf numFmtId="167" fontId="22" fillId="31" borderId="149" xfId="13" applyNumberFormat="1" applyFont="1" applyFill="1" applyBorder="1" applyAlignment="1">
      <alignment vertical="center" wrapText="1"/>
    </xf>
    <xf numFmtId="167" fontId="22" fillId="31" borderId="98" xfId="13" applyNumberFormat="1" applyFont="1" applyFill="1" applyBorder="1" applyAlignment="1">
      <alignment vertical="center" wrapText="1"/>
    </xf>
    <xf numFmtId="0" fontId="18" fillId="33" borderId="26" xfId="0" applyFont="1" applyFill="1" applyBorder="1" applyAlignment="1">
      <alignment horizontal="center" vertical="center" wrapText="1"/>
    </xf>
    <xf numFmtId="0" fontId="18" fillId="47" borderId="27" xfId="0" applyFont="1" applyFill="1" applyBorder="1" applyAlignment="1">
      <alignment vertical="center"/>
    </xf>
    <xf numFmtId="166" fontId="18" fillId="47" borderId="77" xfId="13" applyNumberFormat="1" applyFont="1" applyFill="1" applyBorder="1" applyAlignment="1">
      <alignment vertical="center"/>
    </xf>
    <xf numFmtId="0" fontId="13" fillId="20" borderId="110" xfId="0" applyFont="1" applyFill="1" applyBorder="1" applyAlignment="1">
      <alignment horizontal="center" vertical="center" wrapText="1"/>
    </xf>
    <xf numFmtId="167" fontId="11" fillId="20" borderId="110" xfId="13" applyNumberFormat="1" applyFont="1" applyFill="1" applyBorder="1" applyAlignment="1">
      <alignment horizontal="center" vertical="center"/>
    </xf>
    <xf numFmtId="1" fontId="0" fillId="0" borderId="110" xfId="0" applyNumberFormat="1" applyBorder="1" applyAlignment="1">
      <alignment horizontal="center" vertical="center" wrapText="1"/>
    </xf>
    <xf numFmtId="174" fontId="19" fillId="0" borderId="120" xfId="0" applyNumberFormat="1" applyFont="1" applyBorder="1" applyAlignment="1">
      <alignment horizontal="left"/>
    </xf>
    <xf numFmtId="1" fontId="0" fillId="0" borderId="112" xfId="0" applyNumberFormat="1" applyBorder="1"/>
    <xf numFmtId="167" fontId="11" fillId="23" borderId="110" xfId="13" applyNumberFormat="1" applyFont="1" applyFill="1" applyBorder="1" applyAlignment="1">
      <alignment horizontal="center" vertical="center"/>
    </xf>
    <xf numFmtId="1" fontId="0" fillId="42" borderId="110" xfId="0" applyNumberFormat="1" applyFill="1" applyBorder="1" applyAlignment="1">
      <alignment horizontal="center" vertical="center" wrapText="1"/>
    </xf>
    <xf numFmtId="167" fontId="13" fillId="42" borderId="77" xfId="13" applyNumberFormat="1" applyFont="1" applyFill="1" applyBorder="1" applyAlignment="1">
      <alignment horizontal="center" vertical="center"/>
    </xf>
    <xf numFmtId="167" fontId="0" fillId="28" borderId="77" xfId="13" applyNumberFormat="1" applyFont="1" applyFill="1" applyBorder="1" applyAlignment="1">
      <alignment vertical="center"/>
    </xf>
    <xf numFmtId="0" fontId="13" fillId="42" borderId="77" xfId="0" applyFont="1" applyFill="1" applyBorder="1" applyAlignment="1">
      <alignment horizontal="center" vertical="center"/>
    </xf>
    <xf numFmtId="180" fontId="14" fillId="28" borderId="77" xfId="13" applyNumberFormat="1" applyFill="1" applyBorder="1"/>
    <xf numFmtId="177" fontId="0" fillId="12" borderId="19" xfId="13" applyNumberFormat="1" applyFont="1" applyFill="1" applyBorder="1" applyAlignment="1" applyProtection="1">
      <alignment vertical="center"/>
      <protection locked="0"/>
    </xf>
    <xf numFmtId="0" fontId="0" fillId="12" borderId="125" xfId="0" applyFill="1" applyBorder="1" applyAlignment="1" applyProtection="1">
      <alignment horizontal="left" vertical="center"/>
      <protection locked="0"/>
    </xf>
    <xf numFmtId="0" fontId="0" fillId="12" borderId="173" xfId="0" applyFill="1" applyBorder="1" applyAlignment="1" applyProtection="1">
      <alignment horizontal="left" vertical="center"/>
      <protection locked="0"/>
    </xf>
    <xf numFmtId="0" fontId="0" fillId="12" borderId="81" xfId="0" applyFill="1" applyBorder="1" applyAlignment="1" applyProtection="1">
      <alignment horizontal="left" vertical="center"/>
      <protection locked="0"/>
    </xf>
    <xf numFmtId="0" fontId="13" fillId="0" borderId="174" xfId="0" applyFont="1" applyBorder="1" applyAlignment="1">
      <alignment horizontal="left" vertical="center"/>
    </xf>
    <xf numFmtId="167" fontId="0" fillId="10" borderId="180" xfId="13" applyNumberFormat="1" applyFont="1" applyFill="1" applyBorder="1" applyAlignment="1">
      <alignment horizontal="right" vertical="center"/>
    </xf>
    <xf numFmtId="0" fontId="13" fillId="21" borderId="189" xfId="0" applyFont="1" applyFill="1" applyBorder="1" applyAlignment="1">
      <alignment horizontal="center" vertical="center"/>
    </xf>
    <xf numFmtId="167" fontId="0" fillId="10" borderId="181" xfId="13" applyNumberFormat="1" applyFont="1" applyFill="1" applyBorder="1" applyAlignment="1">
      <alignment horizontal="right" vertical="center"/>
    </xf>
    <xf numFmtId="167" fontId="13" fillId="39" borderId="81" xfId="13" applyNumberFormat="1" applyFont="1" applyFill="1" applyBorder="1" applyAlignment="1">
      <alignment horizontal="right" vertical="center"/>
    </xf>
    <xf numFmtId="167" fontId="0" fillId="10" borderId="172" xfId="13" applyNumberFormat="1" applyFont="1" applyFill="1" applyBorder="1" applyAlignment="1">
      <alignment horizontal="right" vertical="center"/>
    </xf>
    <xf numFmtId="167" fontId="0" fillId="10" borderId="179" xfId="13" applyNumberFormat="1" applyFont="1" applyFill="1" applyBorder="1" applyAlignment="1">
      <alignment horizontal="right" vertical="center"/>
    </xf>
    <xf numFmtId="1" fontId="0" fillId="0" borderId="190" xfId="0" applyNumberFormat="1" applyBorder="1" applyAlignment="1">
      <alignment horizontal="center"/>
    </xf>
    <xf numFmtId="42" fontId="0" fillId="44" borderId="172" xfId="31" applyFont="1" applyFill="1" applyBorder="1" applyAlignment="1" applyProtection="1">
      <alignment horizontal="center" vertical="center"/>
    </xf>
    <xf numFmtId="174" fontId="19" fillId="0" borderId="120" xfId="0" applyNumberFormat="1" applyFont="1" applyBorder="1" applyAlignment="1">
      <alignment horizontal="left" wrapText="1"/>
    </xf>
    <xf numFmtId="17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177" fontId="0" fillId="12" borderId="172" xfId="13" applyNumberFormat="1" applyFont="1" applyFill="1" applyBorder="1" applyAlignment="1" applyProtection="1">
      <alignment vertical="center"/>
      <protection locked="0"/>
    </xf>
    <xf numFmtId="0" fontId="0" fillId="12" borderId="80" xfId="0" applyFill="1" applyBorder="1" applyAlignment="1" applyProtection="1">
      <alignment horizontal="left" vertical="center"/>
      <protection locked="0"/>
    </xf>
    <xf numFmtId="177" fontId="0" fillId="12" borderId="80" xfId="13" applyNumberFormat="1" applyFont="1" applyFill="1" applyBorder="1" applyAlignment="1" applyProtection="1">
      <alignment vertical="center"/>
      <protection locked="0"/>
    </xf>
    <xf numFmtId="0" fontId="0" fillId="12" borderId="172" xfId="0" applyFill="1" applyBorder="1" applyAlignment="1" applyProtection="1">
      <alignment horizontal="left" vertical="center"/>
      <protection locked="0"/>
    </xf>
    <xf numFmtId="167" fontId="0" fillId="29" borderId="73" xfId="13" applyNumberFormat="1" applyFont="1" applyFill="1" applyBorder="1" applyAlignment="1">
      <alignment vertical="center"/>
    </xf>
    <xf numFmtId="167" fontId="14" fillId="1" borderId="183" xfId="13" applyNumberFormat="1" applyFill="1" applyBorder="1" applyAlignment="1">
      <alignment vertical="center"/>
    </xf>
    <xf numFmtId="167" fontId="14" fillId="0" borderId="184" xfId="13" applyNumberFormat="1" applyBorder="1" applyAlignment="1">
      <alignment vertical="center"/>
    </xf>
    <xf numFmtId="167" fontId="14" fillId="1" borderId="171" xfId="13" applyNumberFormat="1" applyFill="1" applyBorder="1" applyAlignment="1">
      <alignment vertical="center"/>
    </xf>
    <xf numFmtId="172" fontId="0" fillId="0" borderId="172" xfId="12" applyNumberFormat="1" applyFont="1" applyBorder="1" applyAlignment="1">
      <alignment vertical="center"/>
    </xf>
    <xf numFmtId="172" fontId="0" fillId="0" borderId="170" xfId="12" applyNumberFormat="1" applyFont="1" applyBorder="1" applyAlignment="1">
      <alignment vertical="center"/>
    </xf>
    <xf numFmtId="167" fontId="14" fillId="1" borderId="172" xfId="13" applyNumberFormat="1" applyFill="1" applyBorder="1" applyAlignment="1">
      <alignment vertical="center"/>
    </xf>
    <xf numFmtId="167" fontId="14" fillId="1" borderId="170" xfId="13" applyNumberFormat="1" applyFill="1" applyBorder="1" applyAlignment="1">
      <alignment vertical="center"/>
    </xf>
    <xf numFmtId="172" fontId="0" fillId="1" borderId="172" xfId="12" applyNumberFormat="1" applyFont="1" applyFill="1" applyBorder="1" applyAlignment="1">
      <alignment vertical="center"/>
    </xf>
    <xf numFmtId="172" fontId="0" fillId="1" borderId="170" xfId="12" applyNumberFormat="1" applyFont="1" applyFill="1" applyBorder="1" applyAlignment="1">
      <alignment vertical="center"/>
    </xf>
    <xf numFmtId="167" fontId="14" fillId="0" borderId="183" xfId="13" applyNumberFormat="1" applyBorder="1" applyAlignment="1">
      <alignment vertical="center"/>
    </xf>
    <xf numFmtId="167" fontId="14" fillId="0" borderId="185" xfId="13" applyNumberFormat="1" applyBorder="1" applyAlignment="1">
      <alignment vertical="center"/>
    </xf>
    <xf numFmtId="172" fontId="0" fillId="0" borderId="171" xfId="12" applyNumberFormat="1" applyFont="1" applyBorder="1" applyAlignment="1">
      <alignment vertical="center"/>
    </xf>
    <xf numFmtId="172" fontId="0" fillId="0" borderId="173" xfId="12" applyNumberFormat="1" applyFont="1" applyBorder="1" applyAlignment="1">
      <alignment vertical="center"/>
    </xf>
    <xf numFmtId="167" fontId="13" fillId="39" borderId="193" xfId="13" applyNumberFormat="1" applyFont="1" applyFill="1" applyBorder="1" applyAlignment="1">
      <alignment vertical="center"/>
    </xf>
    <xf numFmtId="167" fontId="13" fillId="39" borderId="194" xfId="13" applyNumberFormat="1" applyFont="1" applyFill="1" applyBorder="1" applyAlignment="1">
      <alignment vertical="center"/>
    </xf>
    <xf numFmtId="167" fontId="13" fillId="39" borderId="169" xfId="13" applyNumberFormat="1" applyFont="1" applyFill="1" applyBorder="1" applyAlignment="1">
      <alignment vertical="center"/>
    </xf>
    <xf numFmtId="172" fontId="0" fillId="1" borderId="171" xfId="12" applyNumberFormat="1" applyFont="1" applyFill="1" applyBorder="1" applyAlignment="1">
      <alignment vertical="center"/>
    </xf>
    <xf numFmtId="172" fontId="0" fillId="1" borderId="173" xfId="12" applyNumberFormat="1" applyFont="1" applyFill="1" applyBorder="1" applyAlignment="1">
      <alignment vertical="center"/>
    </xf>
    <xf numFmtId="178" fontId="0" fillId="12" borderId="184" xfId="13" applyNumberFormat="1" applyFont="1" applyFill="1" applyBorder="1" applyAlignment="1" applyProtection="1">
      <alignment horizontal="center" vertical="center"/>
      <protection locked="0"/>
    </xf>
    <xf numFmtId="167" fontId="14" fillId="1" borderId="59" xfId="13" applyNumberFormat="1" applyFill="1" applyBorder="1" applyAlignment="1">
      <alignment vertical="center"/>
    </xf>
    <xf numFmtId="167" fontId="14" fillId="1" borderId="177" xfId="13" applyNumberFormat="1" applyFill="1" applyBorder="1" applyAlignment="1">
      <alignment vertical="center"/>
    </xf>
    <xf numFmtId="167" fontId="14" fillId="1" borderId="105" xfId="13" applyNumberFormat="1" applyFill="1" applyBorder="1" applyAlignment="1">
      <alignment vertical="center"/>
    </xf>
    <xf numFmtId="0" fontId="13" fillId="21" borderId="172" xfId="0" applyFont="1" applyFill="1" applyBorder="1" applyAlignment="1">
      <alignment horizontal="left" vertical="center"/>
    </xf>
    <xf numFmtId="0" fontId="11" fillId="23" borderId="172" xfId="0" applyFont="1" applyFill="1" applyBorder="1" applyAlignment="1">
      <alignment horizontal="left" vertical="center"/>
    </xf>
    <xf numFmtId="0" fontId="11" fillId="20" borderId="111" xfId="0" applyFont="1" applyFill="1" applyBorder="1" applyAlignment="1">
      <alignment horizontal="left" vertical="center"/>
    </xf>
    <xf numFmtId="180" fontId="13" fillId="19" borderId="125" xfId="13" applyNumberFormat="1" applyFont="1" applyFill="1" applyBorder="1" applyAlignment="1" applyProtection="1">
      <alignment horizontal="center"/>
      <protection locked="0"/>
    </xf>
    <xf numFmtId="180" fontId="13" fillId="19" borderId="125" xfId="13" applyNumberFormat="1" applyFont="1" applyFill="1" applyBorder="1" applyAlignment="1">
      <alignment horizontal="center"/>
    </xf>
    <xf numFmtId="174" fontId="19" fillId="0" borderId="196" xfId="0" applyNumberFormat="1" applyFont="1" applyBorder="1" applyAlignment="1">
      <alignment horizontal="left"/>
    </xf>
    <xf numFmtId="42" fontId="0" fillId="48" borderId="172" xfId="31" applyFont="1" applyFill="1" applyBorder="1" applyAlignment="1" applyProtection="1">
      <alignment horizontal="center" vertical="center"/>
      <protection locked="0"/>
    </xf>
    <xf numFmtId="42" fontId="0" fillId="12" borderId="172" xfId="31" applyFont="1" applyFill="1" applyBorder="1" applyAlignment="1" applyProtection="1">
      <alignment horizontal="center" vertical="center"/>
      <protection locked="0"/>
    </xf>
    <xf numFmtId="0" fontId="11" fillId="23" borderId="196" xfId="0" applyFont="1" applyFill="1" applyBorder="1" applyAlignment="1">
      <alignment horizontal="left" vertical="center"/>
    </xf>
    <xf numFmtId="167" fontId="11" fillId="40" borderId="172" xfId="13" applyNumberFormat="1" applyFont="1" applyFill="1" applyBorder="1" applyAlignment="1" applyProtection="1">
      <alignment vertical="center"/>
      <protection locked="0"/>
    </xf>
    <xf numFmtId="167" fontId="11" fillId="40" borderId="172" xfId="13" applyNumberFormat="1" applyFont="1" applyFill="1" applyBorder="1" applyAlignment="1">
      <alignment vertical="center"/>
    </xf>
    <xf numFmtId="0" fontId="11" fillId="20" borderId="196" xfId="0" applyFont="1" applyFill="1" applyBorder="1" applyAlignment="1">
      <alignment horizontal="left" vertical="center"/>
    </xf>
    <xf numFmtId="180" fontId="13" fillId="19" borderId="172" xfId="13" applyNumberFormat="1" applyFont="1" applyFill="1" applyBorder="1" applyAlignment="1" applyProtection="1">
      <alignment horizontal="center"/>
      <protection locked="0"/>
    </xf>
    <xf numFmtId="180" fontId="13" fillId="19" borderId="172" xfId="13" applyNumberFormat="1" applyFont="1" applyFill="1" applyBorder="1" applyAlignment="1">
      <alignment horizontal="center"/>
    </xf>
    <xf numFmtId="0" fontId="11" fillId="20" borderId="196" xfId="0" applyFont="1" applyFill="1" applyBorder="1" applyAlignment="1" applyProtection="1">
      <alignment horizontal="left" vertical="center"/>
      <protection locked="0"/>
    </xf>
    <xf numFmtId="0" fontId="11" fillId="20" borderId="172" xfId="0" applyFont="1" applyFill="1" applyBorder="1" applyAlignment="1">
      <alignment horizontal="left" vertical="center"/>
    </xf>
    <xf numFmtId="0" fontId="11" fillId="20" borderId="172" xfId="0" applyFont="1" applyFill="1" applyBorder="1" applyAlignment="1" applyProtection="1">
      <alignment horizontal="left" vertical="center"/>
      <protection locked="0"/>
    </xf>
    <xf numFmtId="167" fontId="11" fillId="23" borderId="172" xfId="13" applyNumberFormat="1" applyFont="1" applyFill="1" applyBorder="1" applyAlignment="1">
      <alignment horizontal="center" vertical="center"/>
    </xf>
    <xf numFmtId="167" fontId="11" fillId="56" borderId="172" xfId="13" applyNumberFormat="1" applyFont="1" applyFill="1" applyBorder="1" applyAlignment="1">
      <alignment vertical="center"/>
    </xf>
    <xf numFmtId="167" fontId="13" fillId="40" borderId="172" xfId="13" applyNumberFormat="1" applyFont="1" applyFill="1" applyBorder="1" applyAlignment="1">
      <alignment vertical="center"/>
    </xf>
    <xf numFmtId="167" fontId="11" fillId="23" borderId="189" xfId="13" applyNumberFormat="1" applyFont="1" applyFill="1" applyBorder="1" applyAlignment="1">
      <alignment horizontal="center" vertical="center"/>
    </xf>
    <xf numFmtId="167" fontId="11" fillId="20" borderId="172" xfId="13" applyNumberFormat="1" applyFont="1" applyFill="1" applyBorder="1" applyAlignment="1">
      <alignment horizontal="center" vertical="center"/>
    </xf>
    <xf numFmtId="167" fontId="11" fillId="57" borderId="172" xfId="13" applyNumberFormat="1" applyFont="1" applyFill="1" applyBorder="1" applyAlignment="1">
      <alignment vertical="center"/>
    </xf>
    <xf numFmtId="167" fontId="13" fillId="41" borderId="172" xfId="13" applyNumberFormat="1" applyFont="1" applyFill="1" applyBorder="1" applyAlignment="1">
      <alignment vertical="center"/>
    </xf>
    <xf numFmtId="167" fontId="0" fillId="44" borderId="172" xfId="13" applyNumberFormat="1" applyFont="1" applyFill="1" applyBorder="1" applyAlignment="1">
      <alignment vertical="center"/>
    </xf>
    <xf numFmtId="167" fontId="19" fillId="29" borderId="172" xfId="13" applyNumberFormat="1" applyFont="1" applyFill="1" applyBorder="1" applyAlignment="1">
      <alignment vertical="center"/>
    </xf>
    <xf numFmtId="175" fontId="19" fillId="29" borderId="172" xfId="12" applyNumberFormat="1" applyFont="1" applyFill="1" applyBorder="1" applyAlignment="1">
      <alignment vertical="center"/>
    </xf>
    <xf numFmtId="167" fontId="11" fillId="28" borderId="189" xfId="13" applyNumberFormat="1" applyFont="1" applyFill="1" applyBorder="1" applyAlignment="1">
      <alignment vertical="center"/>
    </xf>
    <xf numFmtId="167" fontId="0" fillId="12" borderId="172" xfId="13" applyNumberFormat="1" applyFont="1" applyFill="1" applyBorder="1" applyAlignment="1" applyProtection="1">
      <alignment vertical="center"/>
      <protection locked="0"/>
    </xf>
    <xf numFmtId="167" fontId="19" fillId="12" borderId="172" xfId="13" applyNumberFormat="1" applyFont="1" applyFill="1" applyBorder="1" applyAlignment="1" applyProtection="1">
      <alignment vertical="center"/>
      <protection locked="0"/>
    </xf>
    <xf numFmtId="175" fontId="19" fillId="12" borderId="172" xfId="12" applyNumberFormat="1" applyFont="1" applyFill="1" applyBorder="1" applyAlignment="1" applyProtection="1">
      <alignment vertical="center"/>
      <protection locked="0"/>
    </xf>
    <xf numFmtId="174" fontId="30" fillId="0" borderId="196" xfId="0" applyNumberFormat="1" applyFont="1" applyBorder="1" applyAlignment="1">
      <alignment horizontal="left"/>
    </xf>
    <xf numFmtId="167" fontId="11" fillId="29" borderId="172" xfId="13" applyNumberFormat="1" applyFont="1" applyFill="1" applyBorder="1" applyAlignment="1">
      <alignment vertical="center"/>
    </xf>
    <xf numFmtId="175" fontId="14" fillId="29" borderId="172" xfId="12" applyNumberFormat="1" applyFill="1" applyBorder="1"/>
    <xf numFmtId="167" fontId="11" fillId="58" borderId="172" xfId="13" applyNumberFormat="1" applyFont="1" applyFill="1" applyBorder="1" applyAlignment="1">
      <alignment vertical="center"/>
    </xf>
    <xf numFmtId="167" fontId="19" fillId="59" borderId="172" xfId="13" applyNumberFormat="1" applyFont="1" applyFill="1" applyBorder="1" applyAlignment="1">
      <alignment vertical="center"/>
    </xf>
    <xf numFmtId="175" fontId="14" fillId="59" borderId="172" xfId="12" applyNumberFormat="1" applyFill="1" applyBorder="1"/>
    <xf numFmtId="167" fontId="11" fillId="20" borderId="172" xfId="13" applyNumberFormat="1" applyFont="1" applyFill="1" applyBorder="1" applyAlignment="1">
      <alignment vertical="center"/>
    </xf>
    <xf numFmtId="167" fontId="11" fillId="20" borderId="189" xfId="13" applyNumberFormat="1" applyFont="1" applyFill="1" applyBorder="1" applyAlignment="1">
      <alignment vertical="center"/>
    </xf>
    <xf numFmtId="167" fontId="19" fillId="60" borderId="172" xfId="13" applyNumberFormat="1" applyFont="1" applyFill="1" applyBorder="1" applyAlignment="1">
      <alignment vertical="center"/>
    </xf>
    <xf numFmtId="1" fontId="0" fillId="0" borderId="49" xfId="0" applyNumberFormat="1" applyBorder="1" applyAlignment="1">
      <alignment horizontal="center" vertical="center" wrapText="1"/>
    </xf>
    <xf numFmtId="174" fontId="19" fillId="0" borderId="158" xfId="0" applyNumberFormat="1" applyFont="1" applyBorder="1" applyAlignment="1">
      <alignment horizontal="left"/>
    </xf>
    <xf numFmtId="167" fontId="11" fillId="28" borderId="159" xfId="13" applyNumberFormat="1" applyFont="1" applyFill="1" applyBorder="1" applyAlignment="1">
      <alignment vertical="center"/>
    </xf>
    <xf numFmtId="167" fontId="13" fillId="42" borderId="172" xfId="13" applyNumberFormat="1" applyFont="1" applyFill="1" applyBorder="1" applyAlignment="1">
      <alignment horizontal="center" vertical="center"/>
    </xf>
    <xf numFmtId="167" fontId="0" fillId="28" borderId="172" xfId="13" applyNumberFormat="1" applyFont="1" applyFill="1" applyBorder="1" applyAlignment="1">
      <alignment vertical="center"/>
    </xf>
    <xf numFmtId="0" fontId="13" fillId="30" borderId="197" xfId="0" applyFont="1" applyFill="1" applyBorder="1" applyAlignment="1">
      <alignment horizontal="center" vertical="center" wrapText="1"/>
    </xf>
    <xf numFmtId="0" fontId="13" fillId="31" borderId="198" xfId="0" applyFont="1" applyFill="1" applyBorder="1" applyAlignment="1">
      <alignment vertical="center"/>
    </xf>
    <xf numFmtId="166" fontId="13" fillId="31" borderId="172" xfId="13" applyNumberFormat="1" applyFont="1" applyFill="1" applyBorder="1" applyAlignment="1">
      <alignment vertical="center"/>
    </xf>
    <xf numFmtId="166" fontId="13" fillId="32" borderId="172" xfId="13" applyNumberFormat="1" applyFont="1" applyFill="1" applyBorder="1" applyAlignment="1">
      <alignment vertical="center"/>
    </xf>
    <xf numFmtId="166" fontId="13" fillId="31" borderId="197" xfId="13" applyNumberFormat="1" applyFont="1" applyFill="1" applyBorder="1" applyAlignment="1">
      <alignment vertical="center"/>
    </xf>
    <xf numFmtId="0" fontId="13" fillId="42" borderId="172" xfId="0" applyFont="1" applyFill="1" applyBorder="1" applyAlignment="1">
      <alignment horizontal="center" vertical="center"/>
    </xf>
    <xf numFmtId="180" fontId="14" fillId="28" borderId="172" xfId="13" applyNumberFormat="1" applyFill="1" applyBorder="1"/>
    <xf numFmtId="0" fontId="13" fillId="61" borderId="189" xfId="0" applyFont="1" applyFill="1" applyBorder="1" applyAlignment="1">
      <alignment horizontal="center" vertical="center"/>
    </xf>
    <xf numFmtId="0" fontId="11" fillId="62" borderId="120" xfId="0" applyFont="1" applyFill="1" applyBorder="1" applyAlignment="1">
      <alignment horizontal="left" vertical="center"/>
    </xf>
    <xf numFmtId="167" fontId="11" fillId="62" borderId="77" xfId="13" applyNumberFormat="1" applyFont="1" applyFill="1" applyBorder="1" applyAlignment="1">
      <alignment horizontal="center" vertical="center"/>
    </xf>
    <xf numFmtId="167" fontId="11" fillId="24" borderId="77" xfId="13" applyNumberFormat="1" applyFont="1" applyFill="1" applyBorder="1" applyAlignment="1">
      <alignment vertical="center"/>
    </xf>
    <xf numFmtId="167" fontId="13" fillId="24" borderId="77" xfId="13" applyNumberFormat="1" applyFont="1" applyFill="1" applyBorder="1" applyAlignment="1">
      <alignment vertical="center"/>
    </xf>
    <xf numFmtId="167" fontId="11" fillId="62" borderId="141" xfId="13" applyNumberFormat="1" applyFont="1" applyFill="1" applyBorder="1" applyAlignment="1">
      <alignment horizontal="center" vertical="center"/>
    </xf>
    <xf numFmtId="0" fontId="0" fillId="1" borderId="0" xfId="0" applyFill="1" applyAlignment="1">
      <alignment vertical="center"/>
    </xf>
    <xf numFmtId="0" fontId="13" fillId="63" borderId="110" xfId="0" applyFont="1" applyFill="1" applyBorder="1" applyAlignment="1">
      <alignment horizontal="center" vertical="center" wrapText="1"/>
    </xf>
    <xf numFmtId="0" fontId="11" fillId="63" borderId="120" xfId="0" applyFont="1" applyFill="1" applyBorder="1" applyAlignment="1">
      <alignment horizontal="left" vertical="center"/>
    </xf>
    <xf numFmtId="167" fontId="11" fillId="63" borderId="77" xfId="13" applyNumberFormat="1" applyFont="1" applyFill="1" applyBorder="1" applyAlignment="1">
      <alignment horizontal="center" vertical="center"/>
    </xf>
    <xf numFmtId="167" fontId="11" fillId="22" borderId="77" xfId="13" applyNumberFormat="1" applyFont="1" applyFill="1" applyBorder="1" applyAlignment="1">
      <alignment vertical="center"/>
    </xf>
    <xf numFmtId="167" fontId="13" fillId="22" borderId="77" xfId="13" applyNumberFormat="1" applyFont="1" applyFill="1" applyBorder="1" applyAlignment="1">
      <alignment vertical="center"/>
    </xf>
    <xf numFmtId="167" fontId="11" fillId="63" borderId="110" xfId="13" applyNumberFormat="1" applyFont="1" applyFill="1" applyBorder="1" applyAlignment="1">
      <alignment horizontal="center" vertical="center"/>
    </xf>
    <xf numFmtId="1" fontId="0" fillId="1" borderId="110" xfId="0" applyNumberFormat="1" applyFill="1" applyBorder="1" applyAlignment="1">
      <alignment horizontal="center" vertical="center" wrapText="1"/>
    </xf>
    <xf numFmtId="174" fontId="19" fillId="1" borderId="120" xfId="0" applyNumberFormat="1" applyFont="1" applyFill="1" applyBorder="1" applyAlignment="1">
      <alignment horizontal="left"/>
    </xf>
    <xf numFmtId="167" fontId="0" fillId="54" borderId="77" xfId="13" applyNumberFormat="1" applyFont="1" applyFill="1" applyBorder="1" applyAlignment="1">
      <alignment vertical="center"/>
    </xf>
    <xf numFmtId="167" fontId="19" fillId="1" borderId="77" xfId="13" applyNumberFormat="1" applyFont="1" applyFill="1" applyBorder="1" applyAlignment="1">
      <alignment vertical="center"/>
    </xf>
    <xf numFmtId="175" fontId="19" fillId="1" borderId="77" xfId="12" applyNumberFormat="1" applyFont="1" applyFill="1" applyBorder="1" applyAlignment="1">
      <alignment vertical="center"/>
    </xf>
    <xf numFmtId="167" fontId="19" fillId="55" borderId="77" xfId="13" applyNumberFormat="1" applyFont="1" applyFill="1" applyBorder="1" applyAlignment="1">
      <alignment vertical="center"/>
    </xf>
    <xf numFmtId="167" fontId="11" fillId="64" borderId="141" xfId="13" applyNumberFormat="1" applyFont="1" applyFill="1" applyBorder="1" applyAlignment="1">
      <alignment vertical="center"/>
    </xf>
    <xf numFmtId="167" fontId="0" fillId="53" borderId="77" xfId="13" applyNumberFormat="1" applyFont="1" applyFill="1" applyBorder="1" applyAlignment="1">
      <alignment vertical="center"/>
    </xf>
    <xf numFmtId="167" fontId="19" fillId="53" borderId="77" xfId="13" applyNumberFormat="1" applyFont="1" applyFill="1" applyBorder="1" applyAlignment="1">
      <alignment vertical="center"/>
    </xf>
    <xf numFmtId="175" fontId="19" fillId="53" borderId="77" xfId="12" applyNumberFormat="1" applyFont="1" applyFill="1" applyBorder="1" applyAlignment="1">
      <alignment vertical="center"/>
    </xf>
    <xf numFmtId="1" fontId="0" fillId="1" borderId="190" xfId="0" applyNumberFormat="1" applyFill="1" applyBorder="1" applyAlignment="1">
      <alignment horizontal="center"/>
    </xf>
    <xf numFmtId="1" fontId="0" fillId="1" borderId="112" xfId="0" applyNumberFormat="1" applyFill="1" applyBorder="1"/>
    <xf numFmtId="174" fontId="30" fillId="1" borderId="120" xfId="0" applyNumberFormat="1" applyFont="1" applyFill="1" applyBorder="1" applyAlignment="1">
      <alignment horizontal="left"/>
    </xf>
    <xf numFmtId="167" fontId="0" fillId="51" borderId="77" xfId="13" applyNumberFormat="1" applyFont="1" applyFill="1" applyBorder="1" applyAlignment="1">
      <alignment vertical="center"/>
    </xf>
    <xf numFmtId="167" fontId="19" fillId="51" borderId="77" xfId="13" applyNumberFormat="1" applyFont="1" applyFill="1" applyBorder="1" applyAlignment="1">
      <alignment vertical="center"/>
    </xf>
    <xf numFmtId="175" fontId="19" fillId="51" borderId="77" xfId="12" applyNumberFormat="1" applyFont="1" applyFill="1" applyBorder="1" applyAlignment="1">
      <alignment vertical="center"/>
    </xf>
    <xf numFmtId="167" fontId="11" fillId="62" borderId="110" xfId="13" applyNumberFormat="1" applyFont="1" applyFill="1" applyBorder="1" applyAlignment="1">
      <alignment horizontal="center" vertical="center"/>
    </xf>
    <xf numFmtId="167" fontId="11" fillId="63" borderId="77" xfId="13" applyNumberFormat="1" applyFont="1" applyFill="1" applyBorder="1" applyAlignment="1">
      <alignment vertical="center"/>
    </xf>
    <xf numFmtId="167" fontId="11" fillId="63" borderId="141" xfId="13" applyNumberFormat="1" applyFont="1" applyFill="1" applyBorder="1" applyAlignment="1">
      <alignment vertical="center"/>
    </xf>
    <xf numFmtId="1" fontId="0" fillId="65" borderId="110" xfId="0" applyNumberFormat="1" applyFill="1" applyBorder="1" applyAlignment="1">
      <alignment horizontal="center" vertical="center" wrapText="1"/>
    </xf>
    <xf numFmtId="167" fontId="11" fillId="50" borderId="77" xfId="13" applyNumberFormat="1" applyFont="1" applyFill="1" applyBorder="1" applyAlignment="1">
      <alignment vertical="center"/>
    </xf>
    <xf numFmtId="1" fontId="0" fillId="1" borderId="2" xfId="0" applyNumberFormat="1" applyFill="1" applyBorder="1" applyAlignment="1">
      <alignment horizontal="center" vertical="center" wrapText="1"/>
    </xf>
    <xf numFmtId="174" fontId="19" fillId="1" borderId="167" xfId="0" applyNumberFormat="1" applyFont="1" applyFill="1" applyBorder="1" applyAlignment="1">
      <alignment horizontal="left"/>
    </xf>
    <xf numFmtId="167" fontId="11" fillId="64" borderId="168" xfId="13" applyNumberFormat="1" applyFont="1" applyFill="1" applyBorder="1" applyAlignment="1">
      <alignment vertical="center"/>
    </xf>
    <xf numFmtId="167" fontId="13" fillId="65" borderId="77" xfId="13" applyNumberFormat="1" applyFont="1" applyFill="1" applyBorder="1" applyAlignment="1">
      <alignment horizontal="center" vertical="center"/>
    </xf>
    <xf numFmtId="0" fontId="13" fillId="66" borderId="191" xfId="0" applyFont="1" applyFill="1" applyBorder="1" applyAlignment="1">
      <alignment horizontal="center" vertical="center" wrapText="1"/>
    </xf>
    <xf numFmtId="0" fontId="13" fillId="67" borderId="166" xfId="0" applyFont="1" applyFill="1" applyBorder="1" applyAlignment="1">
      <alignment vertical="center"/>
    </xf>
    <xf numFmtId="166" fontId="13" fillId="67" borderId="77" xfId="13" applyNumberFormat="1" applyFont="1" applyFill="1" applyBorder="1" applyAlignment="1">
      <alignment vertical="center"/>
    </xf>
    <xf numFmtId="166" fontId="13" fillId="32" borderId="77" xfId="13" applyNumberFormat="1" applyFont="1" applyFill="1" applyBorder="1" applyAlignment="1">
      <alignment vertical="center"/>
    </xf>
    <xf numFmtId="166" fontId="13" fillId="67" borderId="165" xfId="13" applyNumberFormat="1" applyFont="1" applyFill="1" applyBorder="1" applyAlignment="1">
      <alignment vertical="center"/>
    </xf>
    <xf numFmtId="0" fontId="13" fillId="65" borderId="77" xfId="0" applyFont="1" applyFill="1" applyBorder="1" applyAlignment="1">
      <alignment horizontal="center" vertical="center"/>
    </xf>
    <xf numFmtId="177" fontId="0" fillId="12" borderId="179" xfId="13" applyNumberFormat="1" applyFont="1" applyFill="1" applyBorder="1" applyAlignment="1" applyProtection="1">
      <alignment vertical="center"/>
      <protection locked="0"/>
    </xf>
    <xf numFmtId="177" fontId="0" fillId="12" borderId="199" xfId="13" applyNumberFormat="1" applyFont="1" applyFill="1" applyBorder="1" applyAlignment="1" applyProtection="1">
      <alignment vertical="center"/>
      <protection locked="0"/>
    </xf>
    <xf numFmtId="177" fontId="0" fillId="12" borderId="92" xfId="13" applyNumberFormat="1" applyFont="1" applyFill="1" applyBorder="1" applyAlignment="1" applyProtection="1">
      <alignment vertical="center"/>
      <protection locked="0"/>
    </xf>
    <xf numFmtId="0" fontId="0" fillId="12" borderId="179" xfId="0" applyFill="1" applyBorder="1" applyAlignment="1" applyProtection="1">
      <alignment horizontal="left" vertical="center"/>
      <protection locked="0"/>
    </xf>
    <xf numFmtId="0" fontId="0" fillId="12" borderId="92" xfId="0" applyFill="1" applyBorder="1" applyAlignment="1" applyProtection="1">
      <alignment horizontal="left" vertical="center"/>
      <protection locked="0"/>
    </xf>
    <xf numFmtId="167" fontId="0" fillId="68" borderId="78" xfId="13" applyNumberFormat="1" applyFont="1" applyFill="1" applyBorder="1" applyAlignment="1">
      <alignment vertical="center"/>
    </xf>
    <xf numFmtId="167" fontId="0" fillId="68" borderId="77" xfId="13" applyNumberFormat="1" applyFont="1" applyFill="1" applyBorder="1" applyAlignment="1">
      <alignment vertical="center"/>
    </xf>
    <xf numFmtId="167" fontId="0" fillId="68" borderId="79" xfId="13" applyNumberFormat="1" applyFont="1" applyFill="1" applyBorder="1" applyAlignment="1">
      <alignment vertical="center"/>
    </xf>
    <xf numFmtId="167" fontId="0" fillId="68" borderId="115" xfId="13" applyNumberFormat="1" applyFont="1" applyFill="1" applyBorder="1" applyAlignment="1">
      <alignment vertical="center"/>
    </xf>
    <xf numFmtId="175" fontId="14" fillId="12" borderId="172" xfId="12" applyNumberFormat="1" applyFill="1" applyBorder="1" applyProtection="1">
      <protection locked="0"/>
    </xf>
    <xf numFmtId="179" fontId="14" fillId="52" borderId="78" xfId="16" applyNumberFormat="1" applyFill="1" applyBorder="1" applyAlignment="1">
      <alignment horizontal="center" vertical="center"/>
    </xf>
    <xf numFmtId="179" fontId="14" fillId="52" borderId="77" xfId="16" applyNumberFormat="1" applyFill="1" applyBorder="1" applyAlignment="1">
      <alignment horizontal="center" vertical="center"/>
    </xf>
    <xf numFmtId="179" fontId="14" fillId="52" borderId="79" xfId="16" applyNumberFormat="1" applyFill="1" applyBorder="1" applyAlignment="1">
      <alignment horizontal="center" vertical="center"/>
    </xf>
    <xf numFmtId="0" fontId="0" fillId="53" borderId="78" xfId="0" applyFill="1" applyBorder="1" applyAlignment="1">
      <alignment horizontal="left" vertical="center"/>
    </xf>
    <xf numFmtId="167" fontId="0" fillId="53" borderId="79" xfId="13" applyNumberFormat="1" applyFont="1" applyFill="1" applyBorder="1" applyAlignment="1">
      <alignment vertical="center"/>
    </xf>
    <xf numFmtId="167" fontId="0" fillId="55" borderId="101" xfId="13" applyNumberFormat="1" applyFont="1" applyFill="1" applyBorder="1" applyAlignment="1">
      <alignment vertical="center"/>
    </xf>
    <xf numFmtId="167" fontId="0" fillId="0" borderId="64" xfId="0" applyNumberFormat="1" applyBorder="1" applyAlignment="1">
      <alignment vertical="center"/>
    </xf>
    <xf numFmtId="167" fontId="0" fillId="0" borderId="183" xfId="13" applyNumberFormat="1" applyFont="1" applyBorder="1" applyAlignment="1">
      <alignment vertical="center"/>
    </xf>
    <xf numFmtId="167" fontId="0" fillId="0" borderId="184" xfId="13" applyNumberFormat="1" applyFont="1" applyBorder="1" applyAlignment="1">
      <alignment vertical="center"/>
    </xf>
    <xf numFmtId="169" fontId="0" fillId="0" borderId="184" xfId="0" applyNumberFormat="1" applyBorder="1" applyAlignment="1">
      <alignment horizontal="center" vertical="center"/>
    </xf>
    <xf numFmtId="169" fontId="0" fillId="0" borderId="185" xfId="0" applyNumberFormat="1" applyBorder="1" applyAlignment="1">
      <alignment horizontal="center" vertical="center"/>
    </xf>
    <xf numFmtId="167" fontId="0" fillId="0" borderId="171" xfId="13" applyNumberFormat="1" applyFont="1" applyBorder="1" applyAlignment="1">
      <alignment vertical="center"/>
    </xf>
    <xf numFmtId="167" fontId="0" fillId="0" borderId="172" xfId="13" applyNumberFormat="1" applyFont="1" applyBorder="1" applyAlignment="1">
      <alignment vertical="center"/>
    </xf>
    <xf numFmtId="169" fontId="0" fillId="0" borderId="172" xfId="0" applyNumberFormat="1" applyBorder="1" applyAlignment="1">
      <alignment horizontal="center" vertical="center"/>
    </xf>
    <xf numFmtId="169" fontId="0" fillId="0" borderId="173" xfId="0" applyNumberFormat="1" applyBorder="1" applyAlignment="1">
      <alignment horizontal="center" vertical="center"/>
    </xf>
    <xf numFmtId="167" fontId="0" fillId="1" borderId="171" xfId="13" applyNumberFormat="1" applyFont="1" applyFill="1" applyBorder="1" applyAlignment="1">
      <alignment vertical="center"/>
    </xf>
    <xf numFmtId="167" fontId="0" fillId="1" borderId="172" xfId="13" applyNumberFormat="1" applyFont="1" applyFill="1" applyBorder="1" applyAlignment="1">
      <alignment vertical="center"/>
    </xf>
    <xf numFmtId="167" fontId="0" fillId="1" borderId="170" xfId="13" applyNumberFormat="1" applyFont="1" applyFill="1" applyBorder="1" applyAlignment="1">
      <alignment vertical="center"/>
    </xf>
    <xf numFmtId="167" fontId="0" fillId="1" borderId="173" xfId="13" applyNumberFormat="1" applyFont="1" applyFill="1" applyBorder="1" applyAlignment="1">
      <alignment vertical="center"/>
    </xf>
    <xf numFmtId="177" fontId="0" fillId="29" borderId="184" xfId="13" applyNumberFormat="1" applyFont="1" applyFill="1" applyBorder="1" applyAlignment="1">
      <alignment vertical="center"/>
    </xf>
    <xf numFmtId="177" fontId="0" fillId="29" borderId="185" xfId="13" applyNumberFormat="1" applyFont="1" applyFill="1" applyBorder="1" applyAlignment="1">
      <alignment vertical="center"/>
    </xf>
    <xf numFmtId="177" fontId="0" fillId="29" borderId="172" xfId="13" applyNumberFormat="1" applyFont="1" applyFill="1" applyBorder="1" applyAlignment="1">
      <alignment vertical="center"/>
    </xf>
    <xf numFmtId="177" fontId="0" fillId="29" borderId="173" xfId="13" applyNumberFormat="1" applyFont="1" applyFill="1" applyBorder="1" applyAlignment="1">
      <alignment vertical="center"/>
    </xf>
    <xf numFmtId="177" fontId="0" fillId="29" borderId="180" xfId="13" applyNumberFormat="1" applyFont="1" applyFill="1" applyBorder="1" applyAlignment="1">
      <alignment vertical="center"/>
    </xf>
    <xf numFmtId="177" fontId="0" fillId="29" borderId="179" xfId="13" applyNumberFormat="1" applyFont="1" applyFill="1" applyBorder="1" applyAlignment="1">
      <alignment vertical="center"/>
    </xf>
    <xf numFmtId="169" fontId="0" fillId="44" borderId="172" xfId="13" applyNumberFormat="1" applyFont="1" applyFill="1" applyBorder="1" applyAlignment="1">
      <alignment horizontal="center" vertical="center"/>
    </xf>
    <xf numFmtId="177" fontId="0" fillId="44" borderId="172" xfId="13" applyNumberFormat="1" applyFont="1" applyFill="1" applyBorder="1" applyAlignment="1">
      <alignment vertical="center"/>
    </xf>
    <xf numFmtId="0" fontId="0" fillId="44" borderId="201" xfId="0" applyFill="1" applyBorder="1" applyAlignment="1">
      <alignment horizontal="left" vertical="center"/>
    </xf>
    <xf numFmtId="0" fontId="0" fillId="44" borderId="117" xfId="0" applyFill="1" applyBorder="1" applyAlignment="1">
      <alignment horizontal="left" vertical="center"/>
    </xf>
    <xf numFmtId="0" fontId="0" fillId="44" borderId="73" xfId="0" applyFill="1" applyBorder="1" applyAlignment="1">
      <alignment horizontal="left" vertical="center"/>
    </xf>
    <xf numFmtId="177" fontId="0" fillId="44" borderId="183" xfId="13" applyNumberFormat="1" applyFont="1" applyFill="1" applyBorder="1" applyAlignment="1">
      <alignment vertical="center"/>
    </xf>
    <xf numFmtId="177" fontId="0" fillId="44" borderId="184" xfId="13" applyNumberFormat="1" applyFont="1" applyFill="1" applyBorder="1" applyAlignment="1">
      <alignment vertical="center"/>
    </xf>
    <xf numFmtId="169" fontId="0" fillId="44" borderId="184" xfId="13" applyNumberFormat="1" applyFont="1" applyFill="1" applyBorder="1" applyAlignment="1">
      <alignment horizontal="center" vertical="center"/>
    </xf>
    <xf numFmtId="177" fontId="0" fillId="44" borderId="171" xfId="13" applyNumberFormat="1" applyFont="1" applyFill="1" applyBorder="1" applyAlignment="1">
      <alignment vertical="center"/>
    </xf>
    <xf numFmtId="177" fontId="0" fillId="29" borderId="80" xfId="13" applyNumberFormat="1" applyFont="1" applyFill="1" applyBorder="1" applyAlignment="1">
      <alignment vertical="center"/>
    </xf>
    <xf numFmtId="177" fontId="0" fillId="29" borderId="81" xfId="13" applyNumberFormat="1" applyFont="1" applyFill="1" applyBorder="1" applyAlignment="1">
      <alignment vertical="center"/>
    </xf>
    <xf numFmtId="167" fontId="0" fillId="71" borderId="77" xfId="13" applyNumberFormat="1" applyFont="1" applyFill="1" applyBorder="1" applyAlignment="1">
      <alignment vertical="center"/>
    </xf>
    <xf numFmtId="180" fontId="14" fillId="53" borderId="77" xfId="13" applyNumberFormat="1" applyFill="1" applyBorder="1"/>
    <xf numFmtId="177" fontId="0" fillId="44" borderId="92" xfId="13" applyNumberFormat="1" applyFont="1" applyFill="1" applyBorder="1" applyAlignment="1">
      <alignment vertical="center"/>
    </xf>
    <xf numFmtId="0" fontId="1" fillId="42" borderId="0" xfId="37" applyFill="1"/>
    <xf numFmtId="0" fontId="36" fillId="72" borderId="203" xfId="37" applyFont="1" applyFill="1" applyBorder="1" applyAlignment="1">
      <alignment horizontal="center" vertical="center" wrapText="1"/>
    </xf>
    <xf numFmtId="0" fontId="36" fillId="42" borderId="0" xfId="37" applyFont="1" applyFill="1" applyAlignment="1">
      <alignment horizontal="right"/>
    </xf>
    <xf numFmtId="1" fontId="37" fillId="42" borderId="203" xfId="38" applyNumberFormat="1" applyFont="1" applyFill="1" applyBorder="1" applyAlignment="1">
      <alignment horizontal="center" vertical="center"/>
    </xf>
    <xf numFmtId="1" fontId="37" fillId="42" borderId="0" xfId="38" applyNumberFormat="1" applyFont="1" applyFill="1" applyBorder="1" applyAlignment="1">
      <alignment horizontal="center" vertical="center"/>
    </xf>
    <xf numFmtId="0" fontId="36" fillId="45" borderId="0" xfId="37" applyFont="1" applyFill="1" applyAlignment="1">
      <alignment horizontal="left" vertical="center" indent="1"/>
    </xf>
    <xf numFmtId="0" fontId="1" fillId="42" borderId="0" xfId="37" applyFill="1" applyAlignment="1">
      <alignment horizontal="left" indent="2"/>
    </xf>
    <xf numFmtId="185" fontId="1" fillId="42" borderId="0" xfId="37" applyNumberFormat="1" applyFill="1"/>
    <xf numFmtId="185" fontId="36" fillId="42" borderId="0" xfId="37" applyNumberFormat="1" applyFont="1" applyFill="1"/>
    <xf numFmtId="0" fontId="36" fillId="69" borderId="172" xfId="37" applyFont="1" applyFill="1" applyBorder="1" applyAlignment="1">
      <alignment horizontal="left" indent="2"/>
    </xf>
    <xf numFmtId="185" fontId="36" fillId="69" borderId="172" xfId="37" applyNumberFormat="1" applyFont="1" applyFill="1" applyBorder="1"/>
    <xf numFmtId="0" fontId="36" fillId="69" borderId="203" xfId="37" applyFont="1" applyFill="1" applyBorder="1" applyAlignment="1">
      <alignment horizontal="center" vertical="center"/>
    </xf>
    <xf numFmtId="177" fontId="0" fillId="12" borderId="177" xfId="13" applyNumberFormat="1" applyFont="1" applyFill="1" applyBorder="1" applyAlignment="1" applyProtection="1">
      <alignment vertical="center"/>
      <protection locked="0"/>
    </xf>
    <xf numFmtId="177" fontId="0" fillId="70" borderId="180" xfId="13" applyNumberFormat="1" applyFont="1" applyFill="1" applyBorder="1" applyAlignment="1">
      <alignment vertical="center"/>
    </xf>
    <xf numFmtId="177" fontId="0" fillId="70" borderId="179" xfId="13" applyNumberFormat="1" applyFont="1" applyFill="1" applyBorder="1" applyAlignment="1">
      <alignment vertical="center"/>
    </xf>
    <xf numFmtId="177" fontId="0" fillId="70" borderId="92" xfId="13" applyNumberFormat="1" applyFont="1" applyFill="1" applyBorder="1" applyAlignment="1">
      <alignment vertical="center"/>
    </xf>
    <xf numFmtId="0" fontId="0" fillId="70" borderId="180" xfId="0" applyFill="1" applyBorder="1" applyAlignment="1">
      <alignment horizontal="left" vertical="center"/>
    </xf>
    <xf numFmtId="0" fontId="0" fillId="70" borderId="184" xfId="0" applyFill="1" applyBorder="1" applyAlignment="1">
      <alignment horizontal="left" vertical="center"/>
    </xf>
    <xf numFmtId="0" fontId="0" fillId="70" borderId="185" xfId="0" applyFill="1" applyBorder="1" applyAlignment="1">
      <alignment horizontal="left" vertical="center"/>
    </xf>
    <xf numFmtId="177" fontId="0" fillId="70" borderId="184" xfId="13" applyNumberFormat="1" applyFont="1" applyFill="1" applyBorder="1" applyAlignment="1">
      <alignment vertical="center"/>
    </xf>
    <xf numFmtId="0" fontId="0" fillId="70" borderId="179" xfId="0" applyFill="1" applyBorder="1" applyAlignment="1">
      <alignment horizontal="left" vertical="center"/>
    </xf>
    <xf numFmtId="0" fontId="0" fillId="70" borderId="172" xfId="0" applyFill="1" applyBorder="1" applyAlignment="1">
      <alignment horizontal="left" vertical="center"/>
    </xf>
    <xf numFmtId="0" fontId="0" fillId="70" borderId="173" xfId="0" applyFill="1" applyBorder="1" applyAlignment="1">
      <alignment horizontal="left" vertical="center"/>
    </xf>
    <xf numFmtId="177" fontId="0" fillId="70" borderId="172" xfId="13" applyNumberFormat="1" applyFont="1" applyFill="1" applyBorder="1" applyAlignment="1">
      <alignment vertical="center"/>
    </xf>
    <xf numFmtId="0" fontId="0" fillId="70" borderId="92" xfId="0" applyFill="1" applyBorder="1" applyAlignment="1">
      <alignment horizontal="left" vertical="center"/>
    </xf>
    <xf numFmtId="0" fontId="0" fillId="70" borderId="80" xfId="0" applyFill="1" applyBorder="1" applyAlignment="1">
      <alignment horizontal="left" vertical="center"/>
    </xf>
    <xf numFmtId="0" fontId="0" fillId="70" borderId="81" xfId="0" applyFill="1" applyBorder="1" applyAlignment="1">
      <alignment horizontal="left" vertical="center"/>
    </xf>
    <xf numFmtId="177" fontId="0" fillId="70" borderId="80" xfId="13" applyNumberFormat="1" applyFont="1" applyFill="1" applyBorder="1" applyAlignment="1">
      <alignment vertical="center"/>
    </xf>
    <xf numFmtId="177" fontId="0" fillId="69" borderId="200" xfId="13" applyNumberFormat="1" applyFont="1" applyFill="1" applyBorder="1" applyAlignment="1">
      <alignment vertical="center"/>
    </xf>
    <xf numFmtId="177" fontId="0" fillId="69" borderId="179" xfId="13" applyNumberFormat="1" applyFont="1" applyFill="1" applyBorder="1" applyAlignment="1">
      <alignment vertical="center"/>
    </xf>
    <xf numFmtId="177" fontId="0" fillId="69" borderId="199" xfId="13" applyNumberFormat="1" applyFont="1" applyFill="1" applyBorder="1" applyAlignment="1">
      <alignment vertical="center"/>
    </xf>
    <xf numFmtId="177" fontId="0" fillId="69" borderId="180" xfId="13" applyNumberFormat="1" applyFont="1" applyFill="1" applyBorder="1" applyAlignment="1">
      <alignment vertical="center"/>
    </xf>
    <xf numFmtId="177" fontId="0" fillId="69" borderId="92" xfId="13" applyNumberFormat="1" applyFont="1" applyFill="1" applyBorder="1" applyAlignment="1">
      <alignment vertical="center"/>
    </xf>
    <xf numFmtId="0" fontId="0" fillId="44" borderId="207" xfId="0" applyFill="1" applyBorder="1" applyAlignment="1">
      <alignment horizontal="left" vertical="center"/>
    </xf>
    <xf numFmtId="177" fontId="0" fillId="44" borderId="59" xfId="13" applyNumberFormat="1" applyFont="1" applyFill="1" applyBorder="1" applyAlignment="1">
      <alignment vertical="center"/>
    </xf>
    <xf numFmtId="177" fontId="0" fillId="44" borderId="177" xfId="13" applyNumberFormat="1" applyFont="1" applyFill="1" applyBorder="1" applyAlignment="1">
      <alignment vertical="center"/>
    </xf>
    <xf numFmtId="169" fontId="0" fillId="44" borderId="177" xfId="13" applyNumberFormat="1" applyFont="1" applyFill="1" applyBorder="1" applyAlignment="1">
      <alignment horizontal="center" vertical="center"/>
    </xf>
    <xf numFmtId="177" fontId="0" fillId="44" borderId="195" xfId="13" applyNumberFormat="1" applyFont="1" applyFill="1" applyBorder="1" applyAlignment="1">
      <alignment vertical="center"/>
    </xf>
    <xf numFmtId="177" fontId="0" fillId="29" borderId="113" xfId="13" applyNumberFormat="1" applyFont="1" applyFill="1" applyBorder="1" applyAlignment="1">
      <alignment vertical="center"/>
    </xf>
    <xf numFmtId="177" fontId="0" fillId="29" borderId="114" xfId="13" applyNumberFormat="1" applyFont="1" applyFill="1" applyBorder="1" applyAlignment="1">
      <alignment vertical="center"/>
    </xf>
    <xf numFmtId="177" fontId="0" fillId="44" borderId="82" xfId="13" applyNumberFormat="1" applyFont="1" applyFill="1" applyBorder="1" applyAlignment="1">
      <alignment vertical="center"/>
    </xf>
    <xf numFmtId="177" fontId="0" fillId="44" borderId="80" xfId="13" applyNumberFormat="1" applyFont="1" applyFill="1" applyBorder="1" applyAlignment="1">
      <alignment vertical="center"/>
    </xf>
    <xf numFmtId="177" fontId="0" fillId="29" borderId="92" xfId="13" applyNumberFormat="1" applyFont="1" applyFill="1" applyBorder="1" applyAlignment="1">
      <alignment vertical="center"/>
    </xf>
    <xf numFmtId="167" fontId="13" fillId="34" borderId="214" xfId="0" applyNumberFormat="1" applyFont="1" applyFill="1" applyBorder="1" applyAlignment="1">
      <alignment horizontal="center" vertical="center" wrapText="1"/>
    </xf>
    <xf numFmtId="167" fontId="13" fillId="34" borderId="215" xfId="0" applyNumberFormat="1" applyFont="1" applyFill="1" applyBorder="1" applyAlignment="1">
      <alignment horizontal="center" vertical="center" wrapText="1"/>
    </xf>
    <xf numFmtId="167" fontId="13" fillId="34" borderId="216" xfId="0" applyNumberFormat="1" applyFont="1" applyFill="1" applyBorder="1" applyAlignment="1">
      <alignment horizontal="center" vertical="center" wrapText="1"/>
    </xf>
    <xf numFmtId="167" fontId="13" fillId="15" borderId="217" xfId="0" applyNumberFormat="1" applyFont="1" applyFill="1" applyBorder="1" applyAlignment="1">
      <alignment horizontal="center" vertical="center" wrapText="1"/>
    </xf>
    <xf numFmtId="167" fontId="13" fillId="15" borderId="202" xfId="0" applyNumberFormat="1" applyFont="1" applyFill="1" applyBorder="1" applyAlignment="1">
      <alignment horizontal="center" vertical="center" wrapText="1"/>
    </xf>
    <xf numFmtId="167" fontId="13" fillId="15" borderId="218" xfId="0" applyNumberFormat="1" applyFont="1" applyFill="1" applyBorder="1" applyAlignment="1">
      <alignment horizontal="center" vertical="center" wrapText="1"/>
    </xf>
    <xf numFmtId="167" fontId="13" fillId="15" borderId="219" xfId="0" applyNumberFormat="1" applyFont="1" applyFill="1" applyBorder="1" applyAlignment="1">
      <alignment horizontal="center" vertical="center" wrapText="1"/>
    </xf>
    <xf numFmtId="167" fontId="13" fillId="34" borderId="219" xfId="0" applyNumberFormat="1" applyFont="1" applyFill="1" applyBorder="1" applyAlignment="1">
      <alignment horizontal="center" vertical="center" wrapText="1"/>
    </xf>
    <xf numFmtId="177" fontId="0" fillId="44" borderId="201" xfId="13" applyNumberFormat="1" applyFont="1" applyFill="1" applyBorder="1" applyAlignment="1">
      <alignment vertical="center"/>
    </xf>
    <xf numFmtId="177" fontId="0" fillId="44" borderId="170" xfId="13" applyNumberFormat="1" applyFont="1" applyFill="1" applyBorder="1" applyAlignment="1">
      <alignment vertical="center"/>
    </xf>
    <xf numFmtId="177" fontId="0" fillId="44" borderId="73" xfId="13" applyNumberFormat="1" applyFont="1" applyFill="1" applyBorder="1" applyAlignment="1">
      <alignment vertical="center"/>
    </xf>
    <xf numFmtId="177" fontId="0" fillId="44" borderId="207" xfId="13" applyNumberFormat="1" applyFont="1" applyFill="1" applyBorder="1" applyAlignment="1">
      <alignment vertical="center"/>
    </xf>
    <xf numFmtId="167" fontId="13" fillId="34" borderId="218" xfId="0" applyNumberFormat="1" applyFont="1" applyFill="1" applyBorder="1" applyAlignment="1">
      <alignment horizontal="center" vertical="center" wrapText="1"/>
    </xf>
    <xf numFmtId="169" fontId="0" fillId="12" borderId="183" xfId="13" applyNumberFormat="1" applyFont="1" applyFill="1" applyBorder="1" applyAlignment="1" applyProtection="1">
      <alignment horizontal="center" vertical="center"/>
      <protection locked="0"/>
    </xf>
    <xf numFmtId="169" fontId="0" fillId="44" borderId="185" xfId="13" applyNumberFormat="1" applyFont="1" applyFill="1" applyBorder="1" applyAlignment="1">
      <alignment horizontal="center" vertical="center"/>
    </xf>
    <xf numFmtId="169" fontId="0" fillId="12" borderId="171" xfId="13" applyNumberFormat="1" applyFont="1" applyFill="1" applyBorder="1" applyAlignment="1" applyProtection="1">
      <alignment horizontal="center" vertical="center"/>
      <protection locked="0"/>
    </xf>
    <xf numFmtId="169" fontId="0" fillId="44" borderId="173" xfId="13" applyNumberFormat="1" applyFont="1" applyFill="1" applyBorder="1" applyAlignment="1">
      <alignment horizontal="center" vertical="center"/>
    </xf>
    <xf numFmtId="169" fontId="0" fillId="12" borderId="82" xfId="13" applyNumberFormat="1" applyFont="1" applyFill="1" applyBorder="1" applyAlignment="1" applyProtection="1">
      <alignment horizontal="center" vertical="center"/>
      <protection locked="0"/>
    </xf>
    <xf numFmtId="169" fontId="0" fillId="44" borderId="81" xfId="13" applyNumberFormat="1" applyFont="1" applyFill="1" applyBorder="1" applyAlignment="1">
      <alignment horizontal="center" vertical="center"/>
    </xf>
    <xf numFmtId="169" fontId="0" fillId="12" borderId="59" xfId="13" applyNumberFormat="1" applyFont="1" applyFill="1" applyBorder="1" applyAlignment="1" applyProtection="1">
      <alignment horizontal="center" vertical="center"/>
      <protection locked="0"/>
    </xf>
    <xf numFmtId="169" fontId="0" fillId="44" borderId="105" xfId="13" applyNumberFormat="1" applyFont="1" applyFill="1" applyBorder="1" applyAlignment="1">
      <alignment horizontal="center" vertical="center"/>
    </xf>
    <xf numFmtId="0" fontId="0" fillId="0" borderId="153" xfId="0" applyBorder="1" applyAlignment="1">
      <alignment horizontal="left" vertical="center"/>
    </xf>
    <xf numFmtId="178" fontId="13" fillId="55" borderId="51" xfId="0" applyNumberFormat="1" applyFont="1" applyFill="1" applyBorder="1" applyAlignment="1">
      <alignment vertical="center"/>
    </xf>
    <xf numFmtId="178" fontId="13" fillId="55" borderId="172" xfId="0" applyNumberFormat="1" applyFont="1" applyFill="1" applyBorder="1" applyAlignment="1">
      <alignment vertical="center"/>
    </xf>
    <xf numFmtId="0" fontId="0" fillId="0" borderId="84" xfId="0" applyBorder="1" applyAlignment="1">
      <alignment horizontal="left" vertical="center"/>
    </xf>
    <xf numFmtId="0" fontId="0" fillId="0" borderId="220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178" fontId="13" fillId="29" borderId="221" xfId="0" applyNumberFormat="1" applyFont="1" applyFill="1" applyBorder="1" applyAlignment="1">
      <alignment vertical="center"/>
    </xf>
    <xf numFmtId="178" fontId="0" fillId="12" borderId="183" xfId="13" applyNumberFormat="1" applyFont="1" applyFill="1" applyBorder="1" applyAlignment="1" applyProtection="1">
      <alignment horizontal="center" vertical="center"/>
      <protection locked="0"/>
    </xf>
    <xf numFmtId="178" fontId="0" fillId="12" borderId="103" xfId="13" applyNumberFormat="1" applyFont="1" applyFill="1" applyBorder="1" applyAlignment="1" applyProtection="1">
      <alignment horizontal="center" vertical="center"/>
      <protection locked="0"/>
    </xf>
    <xf numFmtId="178" fontId="0" fillId="12" borderId="82" xfId="13" applyNumberFormat="1" applyFont="1" applyFill="1" applyBorder="1" applyAlignment="1" applyProtection="1">
      <alignment horizontal="center" vertical="center"/>
      <protection locked="0"/>
    </xf>
    <xf numFmtId="178" fontId="13" fillId="55" borderId="171" xfId="0" applyNumberFormat="1" applyFont="1" applyFill="1" applyBorder="1" applyAlignment="1">
      <alignment vertical="center"/>
    </xf>
    <xf numFmtId="0" fontId="13" fillId="16" borderId="223" xfId="0" applyFont="1" applyFill="1" applyBorder="1" applyAlignment="1">
      <alignment horizontal="center" vertical="center" wrapText="1"/>
    </xf>
    <xf numFmtId="178" fontId="13" fillId="29" borderId="104" xfId="0" applyNumberFormat="1" applyFont="1" applyFill="1" applyBorder="1" applyAlignment="1">
      <alignment vertical="center"/>
    </xf>
    <xf numFmtId="178" fontId="13" fillId="29" borderId="51" xfId="0" applyNumberFormat="1" applyFont="1" applyFill="1" applyBorder="1" applyAlignment="1">
      <alignment vertical="center"/>
    </xf>
    <xf numFmtId="178" fontId="13" fillId="29" borderId="94" xfId="0" applyNumberFormat="1" applyFont="1" applyFill="1" applyBorder="1" applyAlignment="1">
      <alignment vertical="center"/>
    </xf>
    <xf numFmtId="167" fontId="13" fillId="34" borderId="226" xfId="0" applyNumberFormat="1" applyFont="1" applyFill="1" applyBorder="1" applyAlignment="1">
      <alignment horizontal="center" vertical="center" wrapText="1"/>
    </xf>
    <xf numFmtId="167" fontId="13" fillId="34" borderId="227" xfId="0" applyNumberFormat="1" applyFont="1" applyFill="1" applyBorder="1" applyAlignment="1">
      <alignment horizontal="center" vertical="center" wrapText="1"/>
    </xf>
    <xf numFmtId="167" fontId="13" fillId="34" borderId="228" xfId="0" applyNumberFormat="1" applyFont="1" applyFill="1" applyBorder="1" applyAlignment="1">
      <alignment horizontal="center" vertical="center" wrapText="1"/>
    </xf>
    <xf numFmtId="178" fontId="0" fillId="12" borderId="185" xfId="13" applyNumberFormat="1" applyFont="1" applyFill="1" applyBorder="1" applyAlignment="1" applyProtection="1">
      <alignment horizontal="center" vertical="center"/>
      <protection locked="0"/>
    </xf>
    <xf numFmtId="178" fontId="0" fillId="12" borderId="114" xfId="13" applyNumberFormat="1" applyFont="1" applyFill="1" applyBorder="1" applyAlignment="1" applyProtection="1">
      <alignment horizontal="center" vertical="center"/>
      <protection locked="0"/>
    </xf>
    <xf numFmtId="178" fontId="0" fillId="12" borderId="81" xfId="13" applyNumberFormat="1" applyFont="1" applyFill="1" applyBorder="1" applyAlignment="1" applyProtection="1">
      <alignment horizontal="center" vertical="center"/>
      <protection locked="0"/>
    </xf>
    <xf numFmtId="178" fontId="13" fillId="55" borderId="173" xfId="0" applyNumberFormat="1" applyFont="1" applyFill="1" applyBorder="1" applyAlignment="1">
      <alignment vertical="center"/>
    </xf>
    <xf numFmtId="167" fontId="0" fillId="36" borderId="172" xfId="13" applyNumberFormat="1" applyFont="1" applyFill="1" applyBorder="1" applyAlignment="1">
      <alignment vertical="center"/>
    </xf>
    <xf numFmtId="167" fontId="13" fillId="34" borderId="230" xfId="0" applyNumberFormat="1" applyFont="1" applyFill="1" applyBorder="1" applyAlignment="1">
      <alignment horizontal="center" vertical="center" wrapText="1"/>
    </xf>
    <xf numFmtId="167" fontId="0" fillId="29" borderId="201" xfId="13" applyNumberFormat="1" applyFont="1" applyFill="1" applyBorder="1" applyAlignment="1">
      <alignment vertical="center"/>
    </xf>
    <xf numFmtId="167" fontId="0" fillId="29" borderId="170" xfId="13" applyNumberFormat="1" applyFont="1" applyFill="1" applyBorder="1" applyAlignment="1">
      <alignment vertical="center"/>
    </xf>
    <xf numFmtId="167" fontId="0" fillId="68" borderId="170" xfId="13" applyNumberFormat="1" applyFont="1" applyFill="1" applyBorder="1" applyAlignment="1">
      <alignment vertical="center"/>
    </xf>
    <xf numFmtId="167" fontId="13" fillId="15" borderId="232" xfId="0" applyNumberFormat="1" applyFont="1" applyFill="1" applyBorder="1" applyAlignment="1">
      <alignment horizontal="center" vertical="center" wrapText="1"/>
    </xf>
    <xf numFmtId="167" fontId="13" fillId="15" borderId="233" xfId="0" applyNumberFormat="1" applyFont="1" applyFill="1" applyBorder="1" applyAlignment="1">
      <alignment horizontal="center" vertical="center" wrapText="1"/>
    </xf>
    <xf numFmtId="167" fontId="13" fillId="15" borderId="226" xfId="0" applyNumberFormat="1" applyFont="1" applyFill="1" applyBorder="1" applyAlignment="1">
      <alignment horizontal="center" vertical="center" wrapText="1"/>
    </xf>
    <xf numFmtId="167" fontId="13" fillId="15" borderId="227" xfId="0" applyNumberFormat="1" applyFont="1" applyFill="1" applyBorder="1" applyAlignment="1">
      <alignment horizontal="center" vertical="center" wrapText="1"/>
    </xf>
    <xf numFmtId="167" fontId="13" fillId="15" borderId="228" xfId="0" applyNumberFormat="1" applyFont="1" applyFill="1" applyBorder="1" applyAlignment="1">
      <alignment horizontal="center" vertical="center" wrapText="1"/>
    </xf>
    <xf numFmtId="167" fontId="0" fillId="36" borderId="183" xfId="13" applyNumberFormat="1" applyFont="1" applyFill="1" applyBorder="1" applyAlignment="1">
      <alignment vertical="center"/>
    </xf>
    <xf numFmtId="167" fontId="0" fillId="36" borderId="184" xfId="13" applyNumberFormat="1" applyFont="1" applyFill="1" applyBorder="1" applyAlignment="1">
      <alignment vertical="center"/>
    </xf>
    <xf numFmtId="167" fontId="0" fillId="36" borderId="201" xfId="13" applyNumberFormat="1" applyFont="1" applyFill="1" applyBorder="1" applyAlignment="1">
      <alignment vertical="center"/>
    </xf>
    <xf numFmtId="167" fontId="0" fillId="36" borderId="171" xfId="13" applyNumberFormat="1" applyFont="1" applyFill="1" applyBorder="1" applyAlignment="1">
      <alignment vertical="center"/>
    </xf>
    <xf numFmtId="167" fontId="0" fillId="36" borderId="170" xfId="13" applyNumberFormat="1" applyFont="1" applyFill="1" applyBorder="1" applyAlignment="1">
      <alignment vertical="center"/>
    </xf>
    <xf numFmtId="167" fontId="13" fillId="15" borderId="230" xfId="0" applyNumberFormat="1" applyFont="1" applyFill="1" applyBorder="1" applyAlignment="1">
      <alignment horizontal="center" vertical="center" wrapText="1"/>
    </xf>
    <xf numFmtId="167" fontId="13" fillId="15" borderId="234" xfId="0" applyNumberFormat="1" applyFont="1" applyFill="1" applyBorder="1" applyAlignment="1">
      <alignment horizontal="center" vertical="center" wrapText="1"/>
    </xf>
    <xf numFmtId="169" fontId="0" fillId="0" borderId="180" xfId="0" applyNumberFormat="1" applyBorder="1" applyAlignment="1">
      <alignment horizontal="center" vertical="center"/>
    </xf>
    <xf numFmtId="169" fontId="0" fillId="0" borderId="179" xfId="0" applyNumberFormat="1" applyBorder="1" applyAlignment="1">
      <alignment horizontal="center" vertical="center"/>
    </xf>
    <xf numFmtId="167" fontId="0" fillId="1" borderId="179" xfId="13" applyNumberFormat="1" applyFont="1" applyFill="1" applyBorder="1" applyAlignment="1">
      <alignment vertical="center"/>
    </xf>
    <xf numFmtId="169" fontId="0" fillId="0" borderId="92" xfId="0" applyNumberFormat="1" applyBorder="1" applyAlignment="1">
      <alignment horizontal="center" vertical="center"/>
    </xf>
    <xf numFmtId="167" fontId="0" fillId="0" borderId="185" xfId="13" applyNumberFormat="1" applyFont="1" applyBorder="1" applyAlignment="1">
      <alignment vertical="center"/>
    </xf>
    <xf numFmtId="167" fontId="0" fillId="0" borderId="173" xfId="13" applyNumberFormat="1" applyFont="1" applyBorder="1" applyAlignment="1">
      <alignment vertical="center"/>
    </xf>
    <xf numFmtId="167" fontId="0" fillId="0" borderId="81" xfId="13" applyNumberFormat="1" applyFont="1" applyBorder="1" applyAlignment="1">
      <alignment vertical="center"/>
    </xf>
    <xf numFmtId="166" fontId="0" fillId="0" borderId="235" xfId="13" applyNumberFormat="1" applyFont="1" applyBorder="1" applyAlignment="1">
      <alignment vertical="center"/>
    </xf>
    <xf numFmtId="167" fontId="0" fillId="29" borderId="59" xfId="13" applyNumberFormat="1" applyFont="1" applyFill="1" applyBorder="1" applyAlignment="1">
      <alignment vertical="center"/>
    </xf>
    <xf numFmtId="167" fontId="0" fillId="29" borderId="177" xfId="13" applyNumberFormat="1" applyFont="1" applyFill="1" applyBorder="1" applyAlignment="1">
      <alignment vertical="center"/>
    </xf>
    <xf numFmtId="167" fontId="0" fillId="29" borderId="207" xfId="13" applyNumberFormat="1" applyFont="1" applyFill="1" applyBorder="1" applyAlignment="1">
      <alignment vertical="center"/>
    </xf>
    <xf numFmtId="167" fontId="0" fillId="36" borderId="59" xfId="13" applyNumberFormat="1" applyFont="1" applyFill="1" applyBorder="1" applyAlignment="1">
      <alignment vertical="center"/>
    </xf>
    <xf numFmtId="167" fontId="0" fillId="36" borderId="177" xfId="13" applyNumberFormat="1" applyFont="1" applyFill="1" applyBorder="1" applyAlignment="1">
      <alignment vertical="center"/>
    </xf>
    <xf numFmtId="167" fontId="0" fillId="36" borderId="207" xfId="13" applyNumberFormat="1" applyFont="1" applyFill="1" applyBorder="1" applyAlignment="1">
      <alignment vertical="center"/>
    </xf>
    <xf numFmtId="167" fontId="0" fillId="0" borderId="177" xfId="13" applyNumberFormat="1" applyFont="1" applyBorder="1" applyAlignment="1">
      <alignment vertical="center"/>
    </xf>
    <xf numFmtId="169" fontId="0" fillId="0" borderId="200" xfId="0" applyNumberFormat="1" applyBorder="1" applyAlignment="1">
      <alignment horizontal="center" vertical="center"/>
    </xf>
    <xf numFmtId="169" fontId="0" fillId="0" borderId="177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0" fillId="29" borderId="183" xfId="13" applyNumberFormat="1" applyFont="1" applyFill="1" applyBorder="1" applyAlignment="1">
      <alignment vertical="center"/>
    </xf>
    <xf numFmtId="167" fontId="0" fillId="29" borderId="184" xfId="13" applyNumberFormat="1" applyFont="1" applyFill="1" applyBorder="1" applyAlignment="1">
      <alignment vertical="center"/>
    </xf>
    <xf numFmtId="167" fontId="0" fillId="29" borderId="171" xfId="13" applyNumberFormat="1" applyFont="1" applyFill="1" applyBorder="1" applyAlignment="1">
      <alignment vertical="center"/>
    </xf>
    <xf numFmtId="167" fontId="0" fillId="29" borderId="172" xfId="13" applyNumberFormat="1" applyFont="1" applyFill="1" applyBorder="1" applyAlignment="1">
      <alignment vertical="center"/>
    </xf>
    <xf numFmtId="177" fontId="14" fillId="44" borderId="82" xfId="13" applyNumberFormat="1" applyFill="1" applyBorder="1" applyAlignment="1">
      <alignment vertical="center"/>
    </xf>
    <xf numFmtId="177" fontId="14" fillId="44" borderId="80" xfId="13" applyNumberFormat="1" applyFill="1" applyBorder="1" applyAlignment="1">
      <alignment vertical="center"/>
    </xf>
    <xf numFmtId="177" fontId="14" fillId="44" borderId="73" xfId="13" applyNumberFormat="1" applyFill="1" applyBorder="1" applyAlignment="1">
      <alignment vertical="center"/>
    </xf>
    <xf numFmtId="167" fontId="14" fillId="29" borderId="172" xfId="13" applyNumberFormat="1" applyFill="1" applyBorder="1" applyAlignment="1">
      <alignment vertical="center"/>
    </xf>
    <xf numFmtId="167" fontId="22" fillId="31" borderId="43" xfId="13" applyNumberFormat="1" applyFont="1" applyFill="1" applyBorder="1" applyAlignment="1">
      <alignment vertical="center" wrapText="1"/>
    </xf>
    <xf numFmtId="167" fontId="22" fillId="31" borderId="53" xfId="13" applyNumberFormat="1" applyFont="1" applyFill="1" applyBorder="1" applyAlignment="1">
      <alignment vertical="center" wrapText="1"/>
    </xf>
    <xf numFmtId="167" fontId="14" fillId="73" borderId="172" xfId="13" applyNumberFormat="1" applyFill="1" applyBorder="1" applyAlignment="1">
      <alignment vertical="center"/>
    </xf>
    <xf numFmtId="175" fontId="14" fillId="73" borderId="172" xfId="12" applyNumberFormat="1" applyFill="1" applyBorder="1"/>
    <xf numFmtId="167" fontId="19" fillId="73" borderId="172" xfId="13" applyNumberFormat="1" applyFont="1" applyFill="1" applyBorder="1" applyAlignment="1">
      <alignment vertical="center"/>
    </xf>
    <xf numFmtId="167" fontId="0" fillId="73" borderId="172" xfId="13" applyNumberFormat="1" applyFont="1" applyFill="1" applyBorder="1" applyAlignment="1">
      <alignment vertical="center"/>
    </xf>
    <xf numFmtId="0" fontId="0" fillId="74" borderId="0" xfId="0" applyFill="1"/>
    <xf numFmtId="0" fontId="13" fillId="74" borderId="0" xfId="0" applyFont="1" applyFill="1" applyAlignment="1">
      <alignment horizontal="center" vertical="center"/>
    </xf>
    <xf numFmtId="0" fontId="0" fillId="74" borderId="0" xfId="0" applyFill="1" applyAlignment="1">
      <alignment horizontal="center" vertical="center"/>
    </xf>
    <xf numFmtId="177" fontId="0" fillId="54" borderId="153" xfId="13" applyNumberFormat="1" applyFont="1" applyFill="1" applyBorder="1" applyAlignment="1">
      <alignment vertical="center"/>
    </xf>
    <xf numFmtId="177" fontId="0" fillId="54" borderId="205" xfId="13" applyNumberFormat="1" applyFont="1" applyFill="1" applyBorder="1" applyAlignment="1">
      <alignment vertical="center"/>
    </xf>
    <xf numFmtId="177" fontId="0" fillId="54" borderId="206" xfId="13" applyNumberFormat="1" applyFont="1" applyFill="1" applyBorder="1" applyAlignment="1">
      <alignment vertical="center"/>
    </xf>
    <xf numFmtId="0" fontId="0" fillId="12" borderId="105" xfId="0" applyFill="1" applyBorder="1" applyAlignment="1" applyProtection="1">
      <alignment horizontal="left" vertical="center"/>
      <protection locked="0"/>
    </xf>
    <xf numFmtId="0" fontId="0" fillId="12" borderId="199" xfId="0" applyFill="1" applyBorder="1" applyAlignment="1" applyProtection="1">
      <alignment horizontal="left" vertical="center"/>
      <protection locked="0"/>
    </xf>
    <xf numFmtId="0" fontId="0" fillId="12" borderId="202" xfId="0" applyFill="1" applyBorder="1" applyAlignment="1" applyProtection="1">
      <alignment horizontal="left" vertical="center"/>
      <protection locked="0"/>
    </xf>
    <xf numFmtId="0" fontId="0" fillId="12" borderId="97" xfId="0" applyFill="1" applyBorder="1" applyAlignment="1" applyProtection="1">
      <alignment horizontal="left" vertical="center"/>
      <protection locked="0"/>
    </xf>
    <xf numFmtId="0" fontId="0" fillId="12" borderId="200" xfId="0" applyFill="1" applyBorder="1" applyAlignment="1" applyProtection="1">
      <alignment horizontal="left" vertical="center"/>
      <protection locked="0"/>
    </xf>
    <xf numFmtId="177" fontId="0" fillId="12" borderId="58" xfId="13" applyNumberFormat="1" applyFont="1" applyFill="1" applyBorder="1" applyAlignment="1" applyProtection="1">
      <alignment vertical="center"/>
      <protection locked="0"/>
    </xf>
    <xf numFmtId="167" fontId="0" fillId="12" borderId="185" xfId="13" applyNumberFormat="1" applyFont="1" applyFill="1" applyBorder="1" applyAlignment="1" applyProtection="1">
      <alignment vertical="center"/>
      <protection locked="0"/>
    </xf>
    <xf numFmtId="0" fontId="0" fillId="42" borderId="0" xfId="0" applyFill="1" applyAlignment="1" applyProtection="1">
      <alignment horizontal="left" vertical="center" wrapText="1"/>
      <protection locked="0"/>
    </xf>
    <xf numFmtId="0" fontId="0" fillId="42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72" xfId="0" applyBorder="1" applyAlignment="1" applyProtection="1">
      <alignment wrapText="1"/>
      <protection locked="0"/>
    </xf>
    <xf numFmtId="0" fontId="11" fillId="20" borderId="239" xfId="0" applyFont="1" applyFill="1" applyBorder="1" applyAlignment="1">
      <alignment horizontal="left" vertical="center"/>
    </xf>
    <xf numFmtId="180" fontId="13" fillId="19" borderId="240" xfId="13" applyNumberFormat="1" applyFont="1" applyFill="1" applyBorder="1" applyAlignment="1" applyProtection="1">
      <alignment horizontal="center"/>
      <protection locked="0"/>
    </xf>
    <xf numFmtId="180" fontId="13" fillId="19" borderId="240" xfId="13" applyNumberFormat="1" applyFont="1" applyFill="1" applyBorder="1" applyAlignment="1">
      <alignment horizontal="center"/>
    </xf>
    <xf numFmtId="174" fontId="19" fillId="0" borderId="241" xfId="0" applyNumberFormat="1" applyFont="1" applyBorder="1" applyAlignment="1">
      <alignment horizontal="left" wrapText="1"/>
    </xf>
    <xf numFmtId="174" fontId="19" fillId="0" borderId="241" xfId="0" applyNumberFormat="1" applyFont="1" applyBorder="1" applyAlignment="1">
      <alignment horizontal="left"/>
    </xf>
    <xf numFmtId="0" fontId="11" fillId="23" borderId="241" xfId="0" applyFont="1" applyFill="1" applyBorder="1" applyAlignment="1">
      <alignment horizontal="left" vertical="center"/>
    </xf>
    <xf numFmtId="0" fontId="11" fillId="20" borderId="241" xfId="0" applyFont="1" applyFill="1" applyBorder="1" applyAlignment="1">
      <alignment horizontal="left" vertical="center"/>
    </xf>
    <xf numFmtId="174" fontId="19" fillId="0" borderId="242" xfId="0" applyNumberFormat="1" applyFont="1" applyBorder="1" applyAlignment="1">
      <alignment horizontal="left"/>
    </xf>
    <xf numFmtId="0" fontId="0" fillId="42" borderId="172" xfId="0" applyFill="1" applyBorder="1" applyAlignment="1" applyProtection="1">
      <alignment wrapText="1"/>
      <protection locked="0"/>
    </xf>
    <xf numFmtId="42" fontId="0" fillId="44" borderId="170" xfId="31" applyFont="1" applyFill="1" applyBorder="1" applyAlignment="1" applyProtection="1">
      <alignment horizontal="center" vertical="center"/>
    </xf>
    <xf numFmtId="0" fontId="0" fillId="42" borderId="240" xfId="0" applyFill="1" applyBorder="1" applyProtection="1">
      <protection locked="0"/>
    </xf>
    <xf numFmtId="0" fontId="0" fillId="42" borderId="172" xfId="0" applyFill="1" applyBorder="1" applyProtection="1">
      <protection locked="0"/>
    </xf>
    <xf numFmtId="0" fontId="0" fillId="0" borderId="172" xfId="0" applyBorder="1" applyProtection="1">
      <protection locked="0"/>
    </xf>
    <xf numFmtId="0" fontId="0" fillId="0" borderId="194" xfId="0" applyBorder="1" applyAlignment="1" applyProtection="1">
      <alignment wrapText="1"/>
      <protection locked="0"/>
    </xf>
    <xf numFmtId="0" fontId="0" fillId="0" borderId="172" xfId="0" applyBorder="1" applyAlignment="1" applyProtection="1">
      <alignment horizontal="left" vertical="top" wrapText="1"/>
      <protection locked="0"/>
    </xf>
    <xf numFmtId="0" fontId="0" fillId="42" borderId="172" xfId="0" applyFill="1" applyBorder="1" applyAlignment="1" applyProtection="1">
      <alignment vertical="top"/>
      <protection locked="0"/>
    </xf>
    <xf numFmtId="0" fontId="13" fillId="0" borderId="0" xfId="39" applyFont="1" applyAlignment="1">
      <alignment vertical="center"/>
    </xf>
    <xf numFmtId="0" fontId="13" fillId="0" borderId="0" xfId="39" applyFont="1" applyAlignment="1">
      <alignment horizontal="center" vertical="center"/>
    </xf>
    <xf numFmtId="0" fontId="14" fillId="0" borderId="0" xfId="39" applyAlignment="1">
      <alignment vertical="center"/>
    </xf>
    <xf numFmtId="168" fontId="16" fillId="0" borderId="0" xfId="40" applyFont="1" applyAlignment="1">
      <alignment vertical="center"/>
    </xf>
    <xf numFmtId="0" fontId="13" fillId="0" borderId="49" xfId="39" applyFont="1" applyBorder="1" applyAlignment="1">
      <alignment horizontal="right" vertical="center"/>
    </xf>
    <xf numFmtId="0" fontId="23" fillId="12" borderId="196" xfId="39" applyFont="1" applyFill="1" applyBorder="1" applyAlignment="1" applyProtection="1">
      <alignment horizontal="center" vertical="center"/>
      <protection locked="0"/>
    </xf>
    <xf numFmtId="0" fontId="23" fillId="0" borderId="48" xfId="39" applyFont="1" applyBorder="1" applyAlignment="1">
      <alignment horizontal="center" vertical="center"/>
    </xf>
    <xf numFmtId="0" fontId="23" fillId="0" borderId="0" xfId="39" applyFont="1" applyAlignment="1">
      <alignment horizontal="center" vertical="center"/>
    </xf>
    <xf numFmtId="168" fontId="0" fillId="0" borderId="0" xfId="40" applyFont="1"/>
    <xf numFmtId="0" fontId="13" fillId="0" borderId="0" xfId="39" applyFont="1" applyAlignment="1">
      <alignment horizontal="right" vertical="center"/>
    </xf>
    <xf numFmtId="0" fontId="14" fillId="11" borderId="0" xfId="39" applyFill="1"/>
    <xf numFmtId="0" fontId="14" fillId="11" borderId="0" xfId="39" applyFill="1" applyAlignment="1">
      <alignment horizontal="left" vertical="center"/>
    </xf>
    <xf numFmtId="176" fontId="13" fillId="11" borderId="0" xfId="39" applyNumberFormat="1" applyFont="1" applyFill="1" applyAlignment="1">
      <alignment horizontal="right" vertical="center"/>
    </xf>
    <xf numFmtId="0" fontId="14" fillId="11" borderId="243" xfId="39" applyFill="1" applyBorder="1"/>
    <xf numFmtId="0" fontId="14" fillId="11" borderId="34" xfId="39" applyFill="1" applyBorder="1"/>
    <xf numFmtId="0" fontId="14" fillId="11" borderId="231" xfId="39" applyFill="1" applyBorder="1"/>
    <xf numFmtId="0" fontId="14" fillId="11" borderId="90" xfId="39" applyFill="1" applyBorder="1"/>
    <xf numFmtId="0" fontId="14" fillId="11" borderId="51" xfId="39" applyFill="1" applyBorder="1"/>
    <xf numFmtId="0" fontId="25" fillId="0" borderId="0" xfId="39" applyFont="1" applyAlignment="1">
      <alignment horizontal="left" vertical="center" indent="2"/>
    </xf>
    <xf numFmtId="0" fontId="25" fillId="0" borderId="0" xfId="39" applyFont="1" applyAlignment="1">
      <alignment vertical="center"/>
    </xf>
    <xf numFmtId="0" fontId="25" fillId="0" borderId="90" xfId="39" applyFont="1" applyBorder="1" applyAlignment="1">
      <alignment vertical="center"/>
    </xf>
    <xf numFmtId="176" fontId="14" fillId="26" borderId="172" xfId="39" applyNumberFormat="1" applyFill="1" applyBorder="1" applyAlignment="1">
      <alignment horizontal="center" vertical="center"/>
    </xf>
    <xf numFmtId="169" fontId="13" fillId="19" borderId="172" xfId="40" applyNumberFormat="1" applyFont="1" applyFill="1" applyBorder="1" applyAlignment="1">
      <alignment horizontal="center" vertical="center"/>
    </xf>
    <xf numFmtId="0" fontId="13" fillId="16" borderId="202" xfId="39" applyFont="1" applyFill="1" applyBorder="1" applyAlignment="1">
      <alignment horizontal="center" vertical="center" wrapText="1"/>
    </xf>
    <xf numFmtId="0" fontId="13" fillId="16" borderId="204" xfId="39" applyFont="1" applyFill="1" applyBorder="1" applyAlignment="1">
      <alignment horizontal="center" vertical="center" wrapText="1"/>
    </xf>
    <xf numFmtId="0" fontId="13" fillId="16" borderId="97" xfId="39" applyFont="1" applyFill="1" applyBorder="1" applyAlignment="1">
      <alignment horizontal="center" vertical="center" wrapText="1"/>
    </xf>
    <xf numFmtId="0" fontId="10" fillId="14" borderId="82" xfId="39" applyFont="1" applyFill="1" applyBorder="1" applyAlignment="1">
      <alignment horizontal="center" vertical="center"/>
    </xf>
    <xf numFmtId="0" fontId="10" fillId="14" borderId="73" xfId="39" applyFont="1" applyFill="1" applyBorder="1" applyAlignment="1">
      <alignment horizontal="center" vertical="center"/>
    </xf>
    <xf numFmtId="0" fontId="10" fillId="46" borderId="82" xfId="39" applyFont="1" applyFill="1" applyBorder="1" applyAlignment="1">
      <alignment horizontal="center" vertical="center"/>
    </xf>
    <xf numFmtId="0" fontId="10" fillId="46" borderId="81" xfId="39" applyFont="1" applyFill="1" applyBorder="1" applyAlignment="1">
      <alignment horizontal="center" vertical="center"/>
    </xf>
    <xf numFmtId="0" fontId="10" fillId="45" borderId="92" xfId="39" applyFont="1" applyFill="1" applyBorder="1" applyAlignment="1">
      <alignment horizontal="center" vertical="center"/>
    </xf>
    <xf numFmtId="0" fontId="10" fillId="45" borderId="73" xfId="39" applyFont="1" applyFill="1" applyBorder="1" applyAlignment="1">
      <alignment horizontal="center" vertical="center"/>
    </xf>
    <xf numFmtId="0" fontId="10" fillId="45" borderId="81" xfId="39" applyFont="1" applyFill="1" applyBorder="1" applyAlignment="1">
      <alignment horizontal="center" vertical="center"/>
    </xf>
    <xf numFmtId="0" fontId="10" fillId="14" borderId="193" xfId="39" applyFont="1" applyFill="1" applyBorder="1" applyAlignment="1">
      <alignment horizontal="center" vertical="center"/>
    </xf>
    <xf numFmtId="0" fontId="10" fillId="14" borderId="97" xfId="39" applyFont="1" applyFill="1" applyBorder="1" applyAlignment="1">
      <alignment horizontal="center" vertical="center"/>
    </xf>
    <xf numFmtId="0" fontId="10" fillId="46" borderId="193" xfId="39" applyFont="1" applyFill="1" applyBorder="1" applyAlignment="1">
      <alignment horizontal="center" vertical="center"/>
    </xf>
    <xf numFmtId="0" fontId="10" fillId="46" borderId="97" xfId="39" applyFont="1" applyFill="1" applyBorder="1" applyAlignment="1">
      <alignment horizontal="center" vertical="center"/>
    </xf>
    <xf numFmtId="0" fontId="10" fillId="45" borderId="193" xfId="39" applyFont="1" applyFill="1" applyBorder="1" applyAlignment="1">
      <alignment horizontal="center" vertical="center"/>
    </xf>
    <xf numFmtId="0" fontId="10" fillId="45" borderId="97" xfId="39" applyFont="1" applyFill="1" applyBorder="1" applyAlignment="1">
      <alignment horizontal="center" vertical="center"/>
    </xf>
    <xf numFmtId="0" fontId="14" fillId="12" borderId="250" xfId="39" applyFill="1" applyBorder="1" applyAlignment="1" applyProtection="1">
      <alignment horizontal="left" vertical="center"/>
      <protection locked="0"/>
    </xf>
    <xf numFmtId="0" fontId="14" fillId="12" borderId="251" xfId="39" applyFill="1" applyBorder="1" applyAlignment="1" applyProtection="1">
      <alignment horizontal="left" vertical="center"/>
      <protection locked="0"/>
    </xf>
    <xf numFmtId="0" fontId="14" fillId="12" borderId="251" xfId="39" applyFill="1" applyBorder="1" applyProtection="1">
      <protection locked="0"/>
    </xf>
    <xf numFmtId="0" fontId="14" fillId="12" borderId="248" xfId="39" applyFill="1" applyBorder="1" applyProtection="1">
      <protection locked="0"/>
    </xf>
    <xf numFmtId="177" fontId="0" fillId="12" borderId="172" xfId="41" applyNumberFormat="1" applyFont="1" applyFill="1" applyBorder="1" applyAlignment="1" applyProtection="1">
      <alignment vertical="center"/>
      <protection locked="0"/>
    </xf>
    <xf numFmtId="177" fontId="0" fillId="12" borderId="251" xfId="41" applyNumberFormat="1" applyFont="1" applyFill="1" applyBorder="1" applyAlignment="1" applyProtection="1">
      <alignment vertical="center"/>
      <protection locked="0"/>
    </xf>
    <xf numFmtId="177" fontId="0" fillId="12" borderId="248" xfId="41" applyNumberFormat="1" applyFont="1" applyFill="1" applyBorder="1" applyAlignment="1" applyProtection="1">
      <alignment vertical="center"/>
      <protection locked="0"/>
    </xf>
    <xf numFmtId="176" fontId="14" fillId="29" borderId="100" xfId="39" applyNumberFormat="1" applyFill="1" applyBorder="1" applyAlignment="1">
      <alignment horizontal="right" vertical="center"/>
    </xf>
    <xf numFmtId="176" fontId="14" fillId="0" borderId="100" xfId="39" applyNumberFormat="1" applyBorder="1" applyAlignment="1">
      <alignment horizontal="right" vertical="center"/>
    </xf>
    <xf numFmtId="9" fontId="14" fillId="12" borderId="41" xfId="39" applyNumberFormat="1" applyFill="1" applyBorder="1" applyAlignment="1" applyProtection="1">
      <alignment horizontal="center" vertical="center"/>
      <protection locked="0"/>
    </xf>
    <xf numFmtId="176" fontId="14" fillId="0" borderId="248" xfId="39" applyNumberFormat="1" applyBorder="1" applyAlignment="1">
      <alignment horizontal="right" vertical="center"/>
    </xf>
    <xf numFmtId="176" fontId="14" fillId="0" borderId="249" xfId="39" applyNumberFormat="1" applyBorder="1" applyAlignment="1">
      <alignment horizontal="right" vertical="center"/>
    </xf>
    <xf numFmtId="168" fontId="0" fillId="12" borderId="250" xfId="40" applyFont="1" applyFill="1" applyBorder="1" applyAlignment="1" applyProtection="1">
      <alignment horizontal="center" vertical="center"/>
      <protection locked="0"/>
    </xf>
    <xf numFmtId="9" fontId="14" fillId="26" borderId="100" xfId="39" applyNumberFormat="1" applyFill="1" applyBorder="1" applyAlignment="1">
      <alignment horizontal="center" vertical="center"/>
    </xf>
    <xf numFmtId="0" fontId="13" fillId="21" borderId="172" xfId="39" applyFont="1" applyFill="1" applyBorder="1" applyAlignment="1">
      <alignment horizontal="center" vertical="center"/>
    </xf>
    <xf numFmtId="0" fontId="11" fillId="23" borderId="172" xfId="39" applyFont="1" applyFill="1" applyBorder="1" applyAlignment="1">
      <alignment horizontal="left" vertical="center"/>
    </xf>
    <xf numFmtId="167" fontId="11" fillId="23" borderId="172" xfId="41" applyNumberFormat="1" applyFont="1" applyFill="1" applyBorder="1" applyAlignment="1">
      <alignment horizontal="center" vertical="center"/>
    </xf>
    <xf numFmtId="168" fontId="30" fillId="0" borderId="60" xfId="40" applyFont="1" applyBorder="1" applyAlignment="1">
      <alignment horizontal="center" vertical="center"/>
    </xf>
    <xf numFmtId="176" fontId="14" fillId="27" borderId="61" xfId="39" applyNumberFormat="1" applyFill="1" applyBorder="1" applyAlignment="1">
      <alignment horizontal="right" vertical="center"/>
    </xf>
    <xf numFmtId="176" fontId="14" fillId="27" borderId="96" xfId="39" applyNumberFormat="1" applyFill="1" applyBorder="1" applyAlignment="1">
      <alignment horizontal="right" vertical="center"/>
    </xf>
    <xf numFmtId="168" fontId="30" fillId="0" borderId="252" xfId="40" applyFont="1" applyBorder="1" applyAlignment="1">
      <alignment horizontal="center" vertical="center"/>
    </xf>
    <xf numFmtId="9" fontId="14" fillId="42" borderId="41" xfId="39" applyNumberFormat="1" applyFill="1" applyBorder="1" applyAlignment="1">
      <alignment horizontal="center" vertical="center"/>
    </xf>
    <xf numFmtId="176" fontId="14" fillId="26" borderId="251" xfId="39" applyNumberFormat="1" applyFill="1" applyBorder="1" applyAlignment="1">
      <alignment horizontal="right" vertical="center"/>
    </xf>
    <xf numFmtId="9" fontId="14" fillId="42" borderId="251" xfId="39" applyNumberFormat="1" applyFill="1" applyBorder="1" applyAlignment="1">
      <alignment horizontal="center" vertical="center"/>
    </xf>
    <xf numFmtId="168" fontId="0" fillId="42" borderId="251" xfId="40" applyFont="1" applyFill="1" applyBorder="1" applyAlignment="1">
      <alignment horizontal="center" vertical="center"/>
    </xf>
    <xf numFmtId="176" fontId="14" fillId="26" borderId="249" xfId="39" applyNumberFormat="1" applyFill="1" applyBorder="1" applyAlignment="1">
      <alignment horizontal="right" vertical="center"/>
    </xf>
    <xf numFmtId="0" fontId="14" fillId="12" borderId="179" xfId="39" applyFill="1" applyBorder="1" applyAlignment="1" applyProtection="1">
      <alignment horizontal="left" vertical="center"/>
      <protection locked="0"/>
    </xf>
    <xf numFmtId="0" fontId="14" fillId="12" borderId="172" xfId="39" applyFill="1" applyBorder="1" applyAlignment="1" applyProtection="1">
      <alignment horizontal="left" vertical="center"/>
      <protection locked="0"/>
    </xf>
    <xf numFmtId="0" fontId="14" fillId="12" borderId="172" xfId="39" applyFill="1" applyBorder="1" applyProtection="1">
      <protection locked="0"/>
    </xf>
    <xf numFmtId="0" fontId="14" fillId="12" borderId="170" xfId="39" applyFill="1" applyBorder="1" applyProtection="1">
      <protection locked="0"/>
    </xf>
    <xf numFmtId="177" fontId="0" fillId="12" borderId="170" xfId="41" applyNumberFormat="1" applyFont="1" applyFill="1" applyBorder="1" applyAlignment="1" applyProtection="1">
      <alignment vertical="center"/>
      <protection locked="0"/>
    </xf>
    <xf numFmtId="176" fontId="14" fillId="29" borderId="101" xfId="39" applyNumberFormat="1" applyFill="1" applyBorder="1" applyAlignment="1">
      <alignment horizontal="right" vertical="center"/>
    </xf>
    <xf numFmtId="176" fontId="14" fillId="0" borderId="101" xfId="39" applyNumberFormat="1" applyBorder="1" applyAlignment="1">
      <alignment horizontal="right" vertical="center"/>
    </xf>
    <xf numFmtId="9" fontId="14" fillId="12" borderId="171" xfId="39" applyNumberFormat="1" applyFill="1" applyBorder="1" applyAlignment="1" applyProtection="1">
      <alignment horizontal="center" vertical="center"/>
      <protection locked="0"/>
    </xf>
    <xf numFmtId="176" fontId="14" fillId="0" borderId="170" xfId="39" applyNumberFormat="1" applyBorder="1" applyAlignment="1">
      <alignment horizontal="right" vertical="center"/>
    </xf>
    <xf numFmtId="176" fontId="14" fillId="0" borderId="173" xfId="39" applyNumberFormat="1" applyBorder="1" applyAlignment="1">
      <alignment horizontal="right" vertical="center"/>
    </xf>
    <xf numFmtId="168" fontId="0" fillId="12" borderId="179" xfId="40" applyFont="1" applyFill="1" applyBorder="1" applyAlignment="1" applyProtection="1">
      <alignment horizontal="center" vertical="center"/>
      <protection locked="0"/>
    </xf>
    <xf numFmtId="9" fontId="14" fillId="26" borderId="101" xfId="39" applyNumberFormat="1" applyFill="1" applyBorder="1" applyAlignment="1">
      <alignment horizontal="center" vertical="center"/>
    </xf>
    <xf numFmtId="0" fontId="13" fillId="20" borderId="172" xfId="39" applyFont="1" applyFill="1" applyBorder="1" applyAlignment="1">
      <alignment horizontal="center" vertical="center" wrapText="1"/>
    </xf>
    <xf numFmtId="0" fontId="11" fillId="20" borderId="172" xfId="39" applyFont="1" applyFill="1" applyBorder="1" applyAlignment="1">
      <alignment horizontal="left" vertical="center"/>
    </xf>
    <xf numFmtId="167" fontId="11" fillId="20" borderId="172" xfId="41" applyNumberFormat="1" applyFont="1" applyFill="1" applyBorder="1" applyAlignment="1">
      <alignment horizontal="center" vertical="center"/>
    </xf>
    <xf numFmtId="1" fontId="14" fillId="0" borderId="172" xfId="39" applyNumberFormat="1" applyBorder="1" applyAlignment="1">
      <alignment horizontal="center" vertical="center" wrapText="1"/>
    </xf>
    <xf numFmtId="174" fontId="19" fillId="0" borderId="172" xfId="39" applyNumberFormat="1" applyFont="1" applyBorder="1" applyAlignment="1">
      <alignment horizontal="left"/>
    </xf>
    <xf numFmtId="167" fontId="0" fillId="12" borderId="172" xfId="41" applyNumberFormat="1" applyFont="1" applyFill="1" applyBorder="1" applyAlignment="1" applyProtection="1">
      <alignment vertical="center"/>
      <protection locked="0"/>
    </xf>
    <xf numFmtId="0" fontId="14" fillId="11" borderId="152" xfId="39" applyFill="1" applyBorder="1"/>
    <xf numFmtId="0" fontId="14" fillId="11" borderId="95" xfId="39" applyFill="1" applyBorder="1"/>
    <xf numFmtId="0" fontId="14" fillId="11" borderId="47" xfId="39" applyFill="1" applyBorder="1"/>
    <xf numFmtId="167" fontId="11" fillId="20" borderId="172" xfId="41" applyNumberFormat="1" applyFont="1" applyFill="1" applyBorder="1" applyAlignment="1" applyProtection="1">
      <alignment horizontal="center" vertical="center"/>
      <protection locked="0"/>
    </xf>
    <xf numFmtId="0" fontId="14" fillId="12" borderId="92" xfId="39" applyFill="1" applyBorder="1" applyAlignment="1" applyProtection="1">
      <alignment horizontal="left" vertical="center"/>
      <protection locked="0"/>
    </xf>
    <xf numFmtId="0" fontId="14" fillId="12" borderId="80" xfId="39" applyFill="1" applyBorder="1" applyAlignment="1" applyProtection="1">
      <alignment horizontal="left" vertical="center"/>
      <protection locked="0"/>
    </xf>
    <xf numFmtId="0" fontId="14" fillId="12" borderId="80" xfId="39" applyFill="1" applyBorder="1" applyProtection="1">
      <protection locked="0"/>
    </xf>
    <xf numFmtId="0" fontId="14" fillId="12" borderId="73" xfId="39" applyFill="1" applyBorder="1" applyProtection="1">
      <protection locked="0"/>
    </xf>
    <xf numFmtId="177" fontId="0" fillId="12" borderId="80" xfId="41" applyNumberFormat="1" applyFont="1" applyFill="1" applyBorder="1" applyAlignment="1" applyProtection="1">
      <alignment vertical="center"/>
      <protection locked="0"/>
    </xf>
    <xf numFmtId="177" fontId="0" fillId="12" borderId="73" xfId="41" applyNumberFormat="1" applyFont="1" applyFill="1" applyBorder="1" applyAlignment="1" applyProtection="1">
      <alignment vertical="center"/>
      <protection locked="0"/>
    </xf>
    <xf numFmtId="176" fontId="14" fillId="29" borderId="102" xfId="39" applyNumberFormat="1" applyFill="1" applyBorder="1" applyAlignment="1">
      <alignment horizontal="right" vertical="center"/>
    </xf>
    <xf numFmtId="176" fontId="14" fillId="0" borderId="102" xfId="39" applyNumberFormat="1" applyBorder="1" applyAlignment="1">
      <alignment horizontal="right" vertical="center"/>
    </xf>
    <xf numFmtId="9" fontId="14" fillId="12" borderId="82" xfId="39" applyNumberFormat="1" applyFill="1" applyBorder="1" applyAlignment="1" applyProtection="1">
      <alignment horizontal="center" vertical="center"/>
      <protection locked="0"/>
    </xf>
    <xf numFmtId="176" fontId="14" fillId="0" borderId="73" xfId="39" applyNumberFormat="1" applyBorder="1" applyAlignment="1">
      <alignment horizontal="right" vertical="center"/>
    </xf>
    <xf numFmtId="176" fontId="14" fillId="0" borderId="81" xfId="39" applyNumberFormat="1" applyBorder="1" applyAlignment="1">
      <alignment horizontal="right" vertical="center"/>
    </xf>
    <xf numFmtId="168" fontId="0" fillId="12" borderId="92" xfId="40" applyFont="1" applyFill="1" applyBorder="1" applyAlignment="1" applyProtection="1">
      <alignment horizontal="center" vertical="center"/>
      <protection locked="0"/>
    </xf>
    <xf numFmtId="9" fontId="14" fillId="26" borderId="102" xfId="39" applyNumberFormat="1" applyFill="1" applyBorder="1" applyAlignment="1">
      <alignment horizontal="center" vertical="center"/>
    </xf>
    <xf numFmtId="0" fontId="14" fillId="12" borderId="236" xfId="39" applyFill="1" applyBorder="1" applyAlignment="1" applyProtection="1">
      <alignment horizontal="left" vertical="center"/>
      <protection locked="0"/>
    </xf>
    <xf numFmtId="0" fontId="14" fillId="12" borderId="237" xfId="39" applyFill="1" applyBorder="1" applyAlignment="1" applyProtection="1">
      <alignment horizontal="left" vertical="center"/>
      <protection locked="0"/>
    </xf>
    <xf numFmtId="0" fontId="14" fillId="12" borderId="237" xfId="39" applyFill="1" applyBorder="1" applyProtection="1">
      <protection locked="0"/>
    </xf>
    <xf numFmtId="0" fontId="14" fillId="12" borderId="238" xfId="39" applyFill="1" applyBorder="1" applyProtection="1">
      <protection locked="0"/>
    </xf>
    <xf numFmtId="176" fontId="14" fillId="29" borderId="244" xfId="39" applyNumberFormat="1" applyFill="1" applyBorder="1" applyAlignment="1">
      <alignment horizontal="right" vertical="center"/>
    </xf>
    <xf numFmtId="176" fontId="14" fillId="0" borderId="244" xfId="39" applyNumberFormat="1" applyBorder="1" applyAlignment="1">
      <alignment horizontal="right" vertical="center"/>
    </xf>
    <xf numFmtId="0" fontId="14" fillId="12" borderId="199" xfId="39" applyFill="1" applyBorder="1" applyAlignment="1" applyProtection="1">
      <alignment horizontal="left" vertical="center"/>
      <protection locked="0"/>
    </xf>
    <xf numFmtId="0" fontId="14" fillId="12" borderId="202" xfId="39" applyFill="1" applyBorder="1" applyAlignment="1" applyProtection="1">
      <alignment horizontal="left" vertical="center"/>
      <protection locked="0"/>
    </xf>
    <xf numFmtId="0" fontId="14" fillId="12" borderId="202" xfId="39" applyFill="1" applyBorder="1" applyProtection="1">
      <protection locked="0"/>
    </xf>
    <xf numFmtId="0" fontId="14" fillId="12" borderId="204" xfId="39" applyFill="1" applyBorder="1" applyProtection="1">
      <protection locked="0"/>
    </xf>
    <xf numFmtId="176" fontId="14" fillId="29" borderId="253" xfId="39" applyNumberFormat="1" applyFill="1" applyBorder="1" applyAlignment="1">
      <alignment horizontal="right" vertical="center"/>
    </xf>
    <xf numFmtId="176" fontId="14" fillId="0" borderId="253" xfId="39" applyNumberFormat="1" applyBorder="1" applyAlignment="1">
      <alignment horizontal="right" vertical="center"/>
    </xf>
    <xf numFmtId="9" fontId="14" fillId="12" borderId="254" xfId="39" applyNumberFormat="1" applyFill="1" applyBorder="1" applyAlignment="1" applyProtection="1">
      <alignment horizontal="center" vertical="center"/>
      <protection locked="0"/>
    </xf>
    <xf numFmtId="176" fontId="14" fillId="0" borderId="204" xfId="39" applyNumberFormat="1" applyBorder="1" applyAlignment="1">
      <alignment horizontal="right" vertical="center"/>
    </xf>
    <xf numFmtId="176" fontId="14" fillId="0" borderId="169" xfId="39" applyNumberFormat="1" applyBorder="1" applyAlignment="1">
      <alignment horizontal="right" vertical="center"/>
    </xf>
    <xf numFmtId="168" fontId="0" fillId="12" borderId="199" xfId="40" applyFont="1" applyFill="1" applyBorder="1" applyAlignment="1" applyProtection="1">
      <alignment horizontal="center" vertical="center"/>
      <protection locked="0"/>
    </xf>
    <xf numFmtId="176" fontId="23" fillId="26" borderId="53" xfId="39" applyNumberFormat="1" applyFont="1" applyFill="1" applyBorder="1" applyAlignment="1">
      <alignment horizontal="right" vertical="center"/>
    </xf>
    <xf numFmtId="168" fontId="15" fillId="19" borderId="43" xfId="40" applyFont="1" applyFill="1" applyBorder="1" applyAlignment="1">
      <alignment horizontal="center" vertical="center"/>
    </xf>
    <xf numFmtId="176" fontId="23" fillId="26" borderId="44" xfId="39" applyNumberFormat="1" applyFont="1" applyFill="1" applyBorder="1" applyAlignment="1">
      <alignment horizontal="right" vertical="center"/>
    </xf>
    <xf numFmtId="168" fontId="15" fillId="19" borderId="6" xfId="40" applyFont="1" applyFill="1" applyBorder="1" applyAlignment="1">
      <alignment horizontal="center" vertical="center"/>
    </xf>
    <xf numFmtId="0" fontId="14" fillId="12" borderId="14" xfId="39" applyFill="1" applyBorder="1" applyAlignment="1" applyProtection="1">
      <alignment horizontal="left" vertical="center"/>
      <protection locked="0"/>
    </xf>
    <xf numFmtId="0" fontId="14" fillId="12" borderId="240" xfId="39" applyFill="1" applyBorder="1" applyAlignment="1" applyProtection="1">
      <alignment horizontal="left" vertical="center"/>
      <protection locked="0"/>
    </xf>
    <xf numFmtId="0" fontId="14" fillId="12" borderId="240" xfId="39" applyFill="1" applyBorder="1" applyProtection="1">
      <protection locked="0"/>
    </xf>
    <xf numFmtId="0" fontId="14" fillId="12" borderId="207" xfId="39" applyFill="1" applyBorder="1" applyProtection="1">
      <protection locked="0"/>
    </xf>
    <xf numFmtId="176" fontId="14" fillId="11" borderId="0" xfId="39" applyNumberFormat="1" applyFill="1"/>
    <xf numFmtId="176" fontId="23" fillId="26" borderId="240" xfId="39" applyNumberFormat="1" applyFont="1" applyFill="1" applyBorder="1" applyAlignment="1">
      <alignment horizontal="right" vertical="center"/>
    </xf>
    <xf numFmtId="0" fontId="14" fillId="11" borderId="0" xfId="39" applyFill="1" applyAlignment="1">
      <alignment horizontal="center" vertical="center"/>
    </xf>
    <xf numFmtId="0" fontId="13" fillId="30" borderId="172" xfId="39" applyFont="1" applyFill="1" applyBorder="1" applyAlignment="1">
      <alignment horizontal="center" vertical="center" wrapText="1"/>
    </xf>
    <xf numFmtId="0" fontId="13" fillId="31" borderId="172" xfId="39" applyFont="1" applyFill="1" applyBorder="1" applyAlignment="1">
      <alignment horizontal="left" vertical="center"/>
    </xf>
    <xf numFmtId="167" fontId="13" fillId="30" borderId="172" xfId="39" applyNumberFormat="1" applyFont="1" applyFill="1" applyBorder="1" applyAlignment="1">
      <alignment horizontal="center" vertical="center" wrapText="1"/>
    </xf>
    <xf numFmtId="181" fontId="14" fillId="11" borderId="0" xfId="39" applyNumberFormat="1" applyFill="1"/>
    <xf numFmtId="180" fontId="14" fillId="0" borderId="0" xfId="41" applyNumberFormat="1"/>
    <xf numFmtId="180" fontId="14" fillId="11" borderId="0" xfId="39" applyNumberFormat="1" applyFill="1"/>
    <xf numFmtId="0" fontId="21" fillId="0" borderId="0" xfId="20" applyAlignment="1" applyProtection="1">
      <alignment horizontal="center"/>
    </xf>
    <xf numFmtId="0" fontId="21" fillId="0" borderId="0" xfId="20"/>
    <xf numFmtId="0" fontId="0" fillId="0" borderId="0" xfId="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7" fontId="0" fillId="9" borderId="100" xfId="13" applyNumberFormat="1" applyFont="1" applyFill="1" applyBorder="1" applyAlignment="1">
      <alignment horizontal="right" vertical="center"/>
    </xf>
    <xf numFmtId="167" fontId="0" fillId="9" borderId="101" xfId="13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37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7" fontId="13" fillId="15" borderId="133" xfId="0" applyNumberFormat="1" applyFont="1" applyFill="1" applyBorder="1" applyAlignment="1">
      <alignment horizontal="center" vertical="center"/>
    </xf>
    <xf numFmtId="167" fontId="13" fillId="15" borderId="118" xfId="0" applyNumberFormat="1" applyFont="1" applyFill="1" applyBorder="1" applyAlignment="1">
      <alignment horizontal="center" vertical="center"/>
    </xf>
    <xf numFmtId="167" fontId="23" fillId="38" borderId="63" xfId="0" applyNumberFormat="1" applyFont="1" applyFill="1" applyBorder="1" applyAlignment="1">
      <alignment horizontal="center" vertical="center" wrapText="1"/>
    </xf>
    <xf numFmtId="167" fontId="23" fillId="38" borderId="65" xfId="0" applyNumberFormat="1" applyFont="1" applyFill="1" applyBorder="1" applyAlignment="1">
      <alignment horizontal="center" vertical="center" wrapText="1"/>
    </xf>
    <xf numFmtId="167" fontId="23" fillId="38" borderId="68" xfId="0" applyNumberFormat="1" applyFont="1" applyFill="1" applyBorder="1" applyAlignment="1">
      <alignment horizontal="center" vertical="center" wrapText="1"/>
    </xf>
    <xf numFmtId="167" fontId="24" fillId="33" borderId="63" xfId="0" applyNumberFormat="1" applyFont="1" applyFill="1" applyBorder="1" applyAlignment="1">
      <alignment horizontal="center" vertical="center" wrapText="1"/>
    </xf>
    <xf numFmtId="167" fontId="24" fillId="33" borderId="65" xfId="0" applyNumberFormat="1" applyFont="1" applyFill="1" applyBorder="1" applyAlignment="1">
      <alignment horizontal="center" vertical="center" wrapText="1"/>
    </xf>
    <xf numFmtId="167" fontId="24" fillId="33" borderId="68" xfId="0" applyNumberFormat="1" applyFont="1" applyFill="1" applyBorder="1" applyAlignment="1">
      <alignment horizontal="center" vertical="center" wrapText="1"/>
    </xf>
    <xf numFmtId="167" fontId="27" fillId="43" borderId="135" xfId="0" applyNumberFormat="1" applyFont="1" applyFill="1" applyBorder="1" applyAlignment="1">
      <alignment horizontal="center" vertical="center" wrapText="1"/>
    </xf>
    <xf numFmtId="167" fontId="27" fillId="43" borderId="48" xfId="0" applyNumberFormat="1" applyFont="1" applyFill="1" applyBorder="1" applyAlignment="1">
      <alignment horizontal="center" vertical="center" wrapText="1"/>
    </xf>
    <xf numFmtId="167" fontId="18" fillId="33" borderId="50" xfId="0" applyNumberFormat="1" applyFont="1" applyFill="1" applyBorder="1" applyAlignment="1">
      <alignment horizontal="center" vertical="center" wrapText="1"/>
    </xf>
    <xf numFmtId="167" fontId="18" fillId="33" borderId="49" xfId="0" applyNumberFormat="1" applyFont="1" applyFill="1" applyBorder="1" applyAlignment="1">
      <alignment horizontal="center" vertical="center" wrapText="1"/>
    </xf>
    <xf numFmtId="167" fontId="18" fillId="33" borderId="21" xfId="0" applyNumberFormat="1" applyFont="1" applyFill="1" applyBorder="1" applyAlignment="1">
      <alignment horizontal="center" vertical="center" wrapText="1"/>
    </xf>
    <xf numFmtId="167" fontId="18" fillId="33" borderId="46" xfId="0" applyNumberFormat="1" applyFont="1" applyFill="1" applyBorder="1" applyAlignment="1">
      <alignment horizontal="center" vertical="center" wrapText="1"/>
    </xf>
    <xf numFmtId="167" fontId="18" fillId="33" borderId="91" xfId="0" applyNumberFormat="1" applyFont="1" applyFill="1" applyBorder="1" applyAlignment="1">
      <alignment horizontal="center" vertical="center" wrapText="1"/>
    </xf>
    <xf numFmtId="167" fontId="18" fillId="33" borderId="86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13" fillId="15" borderId="130" xfId="0" applyFont="1" applyFill="1" applyBorder="1" applyAlignment="1">
      <alignment horizontal="center" vertical="center" wrapText="1"/>
    </xf>
    <xf numFmtId="0" fontId="13" fillId="15" borderId="131" xfId="0" applyFont="1" applyFill="1" applyBorder="1" applyAlignment="1">
      <alignment horizontal="center" vertical="center" wrapText="1"/>
    </xf>
    <xf numFmtId="0" fontId="13" fillId="15" borderId="127" xfId="0" applyFont="1" applyFill="1" applyBorder="1" applyAlignment="1">
      <alignment horizontal="center" vertical="center" wrapText="1"/>
    </xf>
    <xf numFmtId="0" fontId="13" fillId="15" borderId="128" xfId="0" applyFont="1" applyFill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0" fillId="0" borderId="14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67" fontId="22" fillId="31" borderId="119" xfId="0" applyNumberFormat="1" applyFont="1" applyFill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167" fontId="22" fillId="31" borderId="62" xfId="0" applyNumberFormat="1" applyFont="1" applyFill="1" applyBorder="1" applyAlignment="1">
      <alignment horizontal="right" vertical="center"/>
    </xf>
    <xf numFmtId="167" fontId="22" fillId="31" borderId="119" xfId="0" applyNumberFormat="1" applyFont="1" applyFill="1" applyBorder="1" applyAlignment="1">
      <alignment horizontal="right" vertical="center"/>
    </xf>
    <xf numFmtId="0" fontId="23" fillId="42" borderId="132" xfId="0" applyFont="1" applyFill="1" applyBorder="1" applyAlignment="1">
      <alignment horizontal="center" vertical="center" wrapText="1"/>
    </xf>
    <xf numFmtId="0" fontId="23" fillId="42" borderId="86" xfId="0" applyFont="1" applyFill="1" applyBorder="1" applyAlignment="1">
      <alignment horizontal="center" vertical="center" wrapText="1"/>
    </xf>
    <xf numFmtId="0" fontId="23" fillId="42" borderId="40" xfId="0" applyFont="1" applyFill="1" applyBorder="1" applyAlignment="1">
      <alignment horizontal="center" vertical="center" wrapText="1"/>
    </xf>
    <xf numFmtId="177" fontId="0" fillId="54" borderId="153" xfId="13" applyNumberFormat="1" applyFont="1" applyFill="1" applyBorder="1" applyAlignment="1">
      <alignment horizontal="center" vertical="center"/>
    </xf>
    <xf numFmtId="177" fontId="0" fillId="54" borderId="205" xfId="13" applyNumberFormat="1" applyFont="1" applyFill="1" applyBorder="1" applyAlignment="1">
      <alignment horizontal="center" vertical="center"/>
    </xf>
    <xf numFmtId="177" fontId="0" fillId="54" borderId="206" xfId="13" applyNumberFormat="1" applyFont="1" applyFill="1" applyBorder="1" applyAlignment="1">
      <alignment horizontal="center" vertical="center"/>
    </xf>
    <xf numFmtId="167" fontId="24" fillId="33" borderId="134" xfId="0" applyNumberFormat="1" applyFont="1" applyFill="1" applyBorder="1" applyAlignment="1">
      <alignment horizontal="center" vertical="center" wrapText="1"/>
    </xf>
    <xf numFmtId="167" fontId="24" fillId="33" borderId="209" xfId="0" applyNumberFormat="1" applyFont="1" applyFill="1" applyBorder="1" applyAlignment="1">
      <alignment horizontal="center" vertical="center" wrapText="1"/>
    </xf>
    <xf numFmtId="167" fontId="24" fillId="33" borderId="213" xfId="0" applyNumberFormat="1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left" vertical="center" indent="2"/>
    </xf>
    <xf numFmtId="167" fontId="13" fillId="15" borderId="151" xfId="0" applyNumberFormat="1" applyFont="1" applyFill="1" applyBorder="1" applyAlignment="1">
      <alignment horizontal="center" vertical="center" wrapText="1"/>
    </xf>
    <xf numFmtId="167" fontId="13" fillId="15" borderId="211" xfId="0" applyNumberFormat="1" applyFont="1" applyFill="1" applyBorder="1" applyAlignment="1">
      <alignment horizontal="center" vertical="center" wrapText="1"/>
    </xf>
    <xf numFmtId="167" fontId="13" fillId="15" borderId="212" xfId="0" applyNumberFormat="1" applyFont="1" applyFill="1" applyBorder="1" applyAlignment="1">
      <alignment horizontal="center" vertical="center" wrapText="1"/>
    </xf>
    <xf numFmtId="0" fontId="22" fillId="44" borderId="183" xfId="0" applyFont="1" applyFill="1" applyBorder="1" applyAlignment="1">
      <alignment horizontal="center" vertical="center" wrapText="1"/>
    </xf>
    <xf numFmtId="0" fontId="22" fillId="44" borderId="103" xfId="0" applyFont="1" applyFill="1" applyBorder="1" applyAlignment="1">
      <alignment horizontal="center" vertical="center" wrapText="1"/>
    </xf>
    <xf numFmtId="0" fontId="22" fillId="44" borderId="82" xfId="0" applyFont="1" applyFill="1" applyBorder="1" applyAlignment="1">
      <alignment horizontal="center" vertical="center" wrapText="1"/>
    </xf>
    <xf numFmtId="0" fontId="22" fillId="42" borderId="151" xfId="0" applyFont="1" applyFill="1" applyBorder="1" applyAlignment="1">
      <alignment horizontal="center" vertical="center" wrapText="1"/>
    </xf>
    <xf numFmtId="0" fontId="22" fillId="42" borderId="90" xfId="0" applyFont="1" applyFill="1" applyBorder="1" applyAlignment="1">
      <alignment horizontal="center" vertical="center" wrapText="1"/>
    </xf>
    <xf numFmtId="0" fontId="22" fillId="42" borderId="152" xfId="0" applyFont="1" applyFill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3" fillId="13" borderId="98" xfId="0" applyFont="1" applyFill="1" applyBorder="1" applyAlignment="1" applyProtection="1">
      <alignment horizontal="center" vertical="center"/>
      <protection locked="0"/>
    </xf>
    <xf numFmtId="0" fontId="23" fillId="13" borderId="99" xfId="0" applyFont="1" applyFill="1" applyBorder="1" applyAlignment="1" applyProtection="1">
      <alignment horizontal="center" vertical="center"/>
      <protection locked="0"/>
    </xf>
    <xf numFmtId="167" fontId="24" fillId="33" borderId="224" xfId="0" applyNumberFormat="1" applyFont="1" applyFill="1" applyBorder="1" applyAlignment="1">
      <alignment horizontal="center" vertical="center" wrapText="1"/>
    </xf>
    <xf numFmtId="167" fontId="24" fillId="33" borderId="225" xfId="0" applyNumberFormat="1" applyFont="1" applyFill="1" applyBorder="1" applyAlignment="1">
      <alignment horizontal="center" vertical="center" wrapText="1"/>
    </xf>
    <xf numFmtId="167" fontId="24" fillId="33" borderId="222" xfId="0" applyNumberFormat="1" applyFont="1" applyFill="1" applyBorder="1" applyAlignment="1">
      <alignment horizontal="center" vertical="center" wrapText="1"/>
    </xf>
    <xf numFmtId="0" fontId="23" fillId="16" borderId="201" xfId="0" applyFont="1" applyFill="1" applyBorder="1" applyAlignment="1">
      <alignment horizontal="center" vertical="center" wrapText="1"/>
    </xf>
    <xf numFmtId="0" fontId="23" fillId="16" borderId="204" xfId="0" applyFont="1" applyFill="1" applyBorder="1" applyAlignment="1">
      <alignment horizontal="center" vertical="center" wrapText="1"/>
    </xf>
    <xf numFmtId="167" fontId="24" fillId="33" borderId="208" xfId="0" applyNumberFormat="1" applyFont="1" applyFill="1" applyBorder="1" applyAlignment="1">
      <alignment horizontal="center" vertical="center" wrapText="1"/>
    </xf>
    <xf numFmtId="167" fontId="24" fillId="33" borderId="210" xfId="0" applyNumberFormat="1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15" borderId="38" xfId="0" applyFont="1" applyFill="1" applyBorder="1" applyAlignment="1">
      <alignment horizontal="center" vertical="center" wrapText="1"/>
    </xf>
    <xf numFmtId="0" fontId="23" fillId="16" borderId="187" xfId="0" applyFont="1" applyFill="1" applyBorder="1" applyAlignment="1">
      <alignment horizontal="center" vertical="center" wrapText="1"/>
    </xf>
    <xf numFmtId="0" fontId="23" fillId="16" borderId="15" xfId="0" applyFont="1" applyFill="1" applyBorder="1" applyAlignment="1">
      <alignment horizontal="center" vertical="center" wrapText="1"/>
    </xf>
    <xf numFmtId="0" fontId="23" fillId="15" borderId="100" xfId="0" applyFont="1" applyFill="1" applyBorder="1" applyAlignment="1">
      <alignment horizontal="center" vertical="center" wrapText="1"/>
    </xf>
    <xf numFmtId="0" fontId="23" fillId="15" borderId="88" xfId="0" applyFont="1" applyFill="1" applyBorder="1" applyAlignment="1">
      <alignment horizontal="center" vertical="center" wrapText="1"/>
    </xf>
    <xf numFmtId="0" fontId="22" fillId="44" borderId="59" xfId="0" applyFont="1" applyFill="1" applyBorder="1" applyAlignment="1">
      <alignment horizontal="center" vertical="center" wrapText="1"/>
    </xf>
    <xf numFmtId="0" fontId="22" fillId="44" borderId="4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34" fillId="49" borderId="199" xfId="0" applyFont="1" applyFill="1" applyBorder="1" applyAlignment="1">
      <alignment horizontal="center" vertical="center" wrapText="1"/>
    </xf>
    <xf numFmtId="0" fontId="34" fillId="49" borderId="200" xfId="0" applyFont="1" applyFill="1" applyBorder="1" applyAlignment="1">
      <alignment horizontal="center" vertical="center" wrapText="1"/>
    </xf>
    <xf numFmtId="0" fontId="35" fillId="36" borderId="194" xfId="0" applyFont="1" applyFill="1" applyBorder="1" applyAlignment="1">
      <alignment horizontal="center" vertical="center"/>
    </xf>
    <xf numFmtId="0" fontId="35" fillId="36" borderId="125" xfId="0" applyFont="1" applyFill="1" applyBorder="1" applyAlignment="1">
      <alignment horizontal="center" vertical="center"/>
    </xf>
    <xf numFmtId="0" fontId="23" fillId="12" borderId="25" xfId="0" applyFont="1" applyFill="1" applyBorder="1" applyAlignment="1" applyProtection="1">
      <alignment horizontal="center" vertical="center"/>
      <protection locked="0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11" fillId="17" borderId="77" xfId="0" applyFont="1" applyFill="1" applyBorder="1" applyAlignment="1">
      <alignment horizontal="center" vertical="center"/>
    </xf>
    <xf numFmtId="0" fontId="11" fillId="16" borderId="77" xfId="0" applyFont="1" applyFill="1" applyBorder="1" applyAlignment="1">
      <alignment horizontal="center" vertical="center" wrapText="1"/>
    </xf>
    <xf numFmtId="165" fontId="13" fillId="18" borderId="107" xfId="13" applyFont="1" applyFill="1" applyBorder="1" applyAlignment="1">
      <alignment horizontal="center" vertical="center" wrapText="1"/>
    </xf>
    <xf numFmtId="165" fontId="13" fillId="18" borderId="49" xfId="13" applyFont="1" applyFill="1" applyBorder="1" applyAlignment="1">
      <alignment horizontal="center" vertical="center" wrapText="1"/>
    </xf>
    <xf numFmtId="0" fontId="11" fillId="16" borderId="7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11" fillId="15" borderId="74" xfId="0" applyFont="1" applyFill="1" applyBorder="1" applyAlignment="1">
      <alignment horizontal="center" vertical="center"/>
    </xf>
    <xf numFmtId="0" fontId="11" fillId="15" borderId="111" xfId="0" applyFont="1" applyFill="1" applyBorder="1" applyAlignment="1">
      <alignment horizontal="center" vertical="center"/>
    </xf>
    <xf numFmtId="0" fontId="13" fillId="17" borderId="7" xfId="0" applyFont="1" applyFill="1" applyBorder="1" applyAlignment="1">
      <alignment horizontal="center" vertical="center"/>
    </xf>
    <xf numFmtId="0" fontId="13" fillId="17" borderId="12" xfId="0" applyFont="1" applyFill="1" applyBorder="1" applyAlignment="1">
      <alignment horizontal="center" vertical="center"/>
    </xf>
    <xf numFmtId="0" fontId="23" fillId="1" borderId="186" xfId="0" applyFont="1" applyFill="1" applyBorder="1" applyAlignment="1">
      <alignment horizontal="center" vertical="center" wrapText="1"/>
    </xf>
    <xf numFmtId="0" fontId="23" fillId="1" borderId="86" xfId="0" applyFont="1" applyFill="1" applyBorder="1" applyAlignment="1">
      <alignment horizontal="center" vertical="center" wrapText="1"/>
    </xf>
    <xf numFmtId="0" fontId="23" fillId="1" borderId="40" xfId="0" applyFont="1" applyFill="1" applyBorder="1" applyAlignment="1">
      <alignment horizontal="center" vertical="center" wrapText="1"/>
    </xf>
    <xf numFmtId="0" fontId="23" fillId="0" borderId="186" xfId="0" applyFont="1" applyBorder="1" applyAlignment="1">
      <alignment horizontal="center" vertical="center" wrapText="1"/>
    </xf>
    <xf numFmtId="0" fontId="25" fillId="0" borderId="0" xfId="39" applyFont="1" applyAlignment="1">
      <alignment horizontal="center" vertical="center"/>
    </xf>
    <xf numFmtId="0" fontId="25" fillId="0" borderId="0" xfId="39" applyFont="1" applyAlignment="1">
      <alignment horizontal="center" vertical="center" wrapText="1"/>
    </xf>
    <xf numFmtId="0" fontId="13" fillId="17" borderId="202" xfId="39" applyFont="1" applyFill="1" applyBorder="1" applyAlignment="1">
      <alignment horizontal="center" vertical="center" wrapText="1"/>
    </xf>
    <xf numFmtId="0" fontId="13" fillId="17" borderId="240" xfId="39" applyFont="1" applyFill="1" applyBorder="1" applyAlignment="1">
      <alignment horizontal="center" vertical="center" wrapText="1"/>
    </xf>
    <xf numFmtId="0" fontId="11" fillId="15" borderId="202" xfId="39" applyFont="1" applyFill="1" applyBorder="1" applyAlignment="1">
      <alignment horizontal="center" vertical="center" wrapText="1"/>
    </xf>
    <xf numFmtId="0" fontId="11" fillId="15" borderId="240" xfId="39" applyFont="1" applyFill="1" applyBorder="1" applyAlignment="1">
      <alignment horizontal="center" vertical="center" wrapText="1"/>
    </xf>
    <xf numFmtId="0" fontId="18" fillId="14" borderId="245" xfId="39" applyFont="1" applyFill="1" applyBorder="1" applyAlignment="1">
      <alignment horizontal="center" vertical="center"/>
    </xf>
    <xf numFmtId="0" fontId="18" fillId="14" borderId="247" xfId="39" applyFont="1" applyFill="1" applyBorder="1" applyAlignment="1">
      <alignment horizontal="center" vertical="center"/>
    </xf>
    <xf numFmtId="0" fontId="13" fillId="26" borderId="244" xfId="39" applyFont="1" applyFill="1" applyBorder="1" applyAlignment="1">
      <alignment horizontal="center" vertical="center" wrapText="1"/>
    </xf>
    <xf numFmtId="0" fontId="13" fillId="26" borderId="86" xfId="39" applyFont="1" applyFill="1" applyBorder="1" applyAlignment="1">
      <alignment horizontal="center" vertical="center" wrapText="1"/>
    </xf>
    <xf numFmtId="0" fontId="18" fillId="14" borderId="246" xfId="39" applyFont="1" applyFill="1" applyBorder="1" applyAlignment="1">
      <alignment horizontal="center" vertical="center"/>
    </xf>
    <xf numFmtId="0" fontId="18" fillId="46" borderId="245" xfId="39" applyFont="1" applyFill="1" applyBorder="1" applyAlignment="1">
      <alignment horizontal="center" vertical="center"/>
    </xf>
    <xf numFmtId="0" fontId="18" fillId="46" borderId="247" xfId="39" applyFont="1" applyFill="1" applyBorder="1" applyAlignment="1">
      <alignment horizontal="center" vertical="center"/>
    </xf>
    <xf numFmtId="0" fontId="18" fillId="45" borderId="246" xfId="39" applyFont="1" applyFill="1" applyBorder="1" applyAlignment="1">
      <alignment horizontal="center" vertical="center"/>
    </xf>
    <xf numFmtId="0" fontId="13" fillId="16" borderId="243" xfId="39" applyFont="1" applyFill="1" applyBorder="1" applyAlignment="1">
      <alignment horizontal="center" vertical="center" wrapText="1"/>
    </xf>
    <xf numFmtId="0" fontId="13" fillId="16" borderId="236" xfId="39" applyFont="1" applyFill="1" applyBorder="1" applyAlignment="1">
      <alignment horizontal="center" vertical="center" wrapText="1"/>
    </xf>
    <xf numFmtId="0" fontId="13" fillId="16" borderId="90" xfId="39" applyFont="1" applyFill="1" applyBorder="1" applyAlignment="1">
      <alignment horizontal="center" vertical="center" wrapText="1"/>
    </xf>
    <xf numFmtId="0" fontId="13" fillId="16" borderId="195" xfId="39" applyFont="1" applyFill="1" applyBorder="1" applyAlignment="1">
      <alignment horizontal="center" vertical="center" wrapText="1"/>
    </xf>
    <xf numFmtId="0" fontId="13" fillId="16" borderId="237" xfId="39" applyFont="1" applyFill="1" applyBorder="1" applyAlignment="1">
      <alignment horizontal="center" vertical="center"/>
    </xf>
    <xf numFmtId="0" fontId="13" fillId="16" borderId="113" xfId="39" applyFont="1" applyFill="1" applyBorder="1" applyAlignment="1">
      <alignment horizontal="center" vertical="center"/>
    </xf>
    <xf numFmtId="0" fontId="13" fillId="16" borderId="237" xfId="39" applyFont="1" applyFill="1" applyBorder="1" applyAlignment="1">
      <alignment horizontal="center" vertical="center" wrapText="1"/>
    </xf>
    <xf numFmtId="0" fontId="13" fillId="16" borderId="113" xfId="39" applyFont="1" applyFill="1" applyBorder="1" applyAlignment="1">
      <alignment horizontal="center" vertical="center" wrapText="1"/>
    </xf>
    <xf numFmtId="0" fontId="22" fillId="16" borderId="238" xfId="39" applyFont="1" applyFill="1" applyBorder="1" applyAlignment="1">
      <alignment horizontal="center" vertical="center" wrapText="1"/>
    </xf>
    <xf numFmtId="0" fontId="22" fillId="16" borderId="225" xfId="39" applyFont="1" applyFill="1" applyBorder="1" applyAlignment="1">
      <alignment horizontal="center" vertical="center" wrapText="1"/>
    </xf>
    <xf numFmtId="0" fontId="22" fillId="16" borderId="231" xfId="39" applyFont="1" applyFill="1" applyBorder="1" applyAlignment="1">
      <alignment horizontal="center" vertical="center" wrapText="1"/>
    </xf>
    <xf numFmtId="0" fontId="13" fillId="0" borderId="0" xfId="39" applyFont="1" applyAlignment="1">
      <alignment horizontal="center" vertical="center"/>
    </xf>
    <xf numFmtId="0" fontId="23" fillId="45" borderId="244" xfId="39" applyFont="1" applyFill="1" applyBorder="1" applyAlignment="1">
      <alignment horizontal="center" vertical="center" textRotation="90" wrapText="1"/>
    </xf>
    <xf numFmtId="0" fontId="23" fillId="45" borderId="86" xfId="39" applyFont="1" applyFill="1" applyBorder="1" applyAlignment="1">
      <alignment horizontal="center" vertical="center" textRotation="90" wrapText="1"/>
    </xf>
    <xf numFmtId="0" fontId="23" fillId="45" borderId="40" xfId="39" applyFont="1" applyFill="1" applyBorder="1" applyAlignment="1">
      <alignment horizontal="center" vertical="center" textRotation="90" wrapText="1"/>
    </xf>
    <xf numFmtId="0" fontId="23" fillId="45" borderId="244" xfId="39" applyFont="1" applyFill="1" applyBorder="1" applyAlignment="1">
      <alignment horizontal="left" vertical="center" wrapText="1"/>
    </xf>
    <xf numFmtId="0" fontId="23" fillId="45" borderId="86" xfId="39" applyFont="1" applyFill="1" applyBorder="1" applyAlignment="1">
      <alignment horizontal="left" vertical="center" wrapText="1"/>
    </xf>
    <xf numFmtId="0" fontId="23" fillId="45" borderId="40" xfId="39" applyFont="1" applyFill="1" applyBorder="1" applyAlignment="1">
      <alignment horizontal="left" vertical="center" wrapText="1"/>
    </xf>
    <xf numFmtId="0" fontId="26" fillId="45" borderId="231" xfId="39" applyFont="1" applyFill="1" applyBorder="1" applyAlignment="1">
      <alignment horizontal="center" vertical="center" textRotation="90" wrapText="1"/>
    </xf>
    <xf numFmtId="0" fontId="26" fillId="45" borderId="51" xfId="39" applyFont="1" applyFill="1" applyBorder="1" applyAlignment="1">
      <alignment horizontal="center" vertical="center" textRotation="90" wrapText="1"/>
    </xf>
    <xf numFmtId="0" fontId="26" fillId="45" borderId="47" xfId="39" applyFont="1" applyFill="1" applyBorder="1" applyAlignment="1">
      <alignment horizontal="center" vertical="center" textRotation="90" wrapText="1"/>
    </xf>
    <xf numFmtId="0" fontId="23" fillId="12" borderId="100" xfId="39" applyFont="1" applyFill="1" applyBorder="1" applyAlignment="1" applyProtection="1">
      <alignment horizontal="left" vertical="center" wrapText="1"/>
      <protection locked="0"/>
    </xf>
    <xf numFmtId="0" fontId="23" fillId="12" borderId="101" xfId="39" applyFont="1" applyFill="1" applyBorder="1" applyAlignment="1" applyProtection="1">
      <alignment horizontal="left" vertical="center" wrapText="1"/>
      <protection locked="0"/>
    </xf>
    <xf numFmtId="0" fontId="23" fillId="12" borderId="102" xfId="39" applyFont="1" applyFill="1" applyBorder="1" applyAlignment="1" applyProtection="1">
      <alignment horizontal="left" vertical="center" wrapText="1"/>
      <protection locked="0"/>
    </xf>
    <xf numFmtId="0" fontId="23" fillId="12" borderId="244" xfId="39" applyFont="1" applyFill="1" applyBorder="1" applyAlignment="1" applyProtection="1">
      <alignment horizontal="left" vertical="center" wrapText="1"/>
      <protection locked="0"/>
    </xf>
    <xf numFmtId="0" fontId="23" fillId="12" borderId="86" xfId="39" applyFont="1" applyFill="1" applyBorder="1" applyAlignment="1" applyProtection="1">
      <alignment horizontal="left" vertical="center" wrapText="1"/>
      <protection locked="0"/>
    </xf>
    <xf numFmtId="0" fontId="23" fillId="12" borderId="40" xfId="39" applyFont="1" applyFill="1" applyBorder="1" applyAlignment="1" applyProtection="1">
      <alignment horizontal="left" vertical="center" wrapText="1"/>
      <protection locked="0"/>
    </xf>
    <xf numFmtId="0" fontId="10" fillId="45" borderId="85" xfId="39" applyFont="1" applyFill="1" applyBorder="1" applyAlignment="1">
      <alignment horizontal="center" vertical="center"/>
    </xf>
    <xf numFmtId="0" fontId="10" fillId="45" borderId="94" xfId="39" applyFont="1" applyFill="1" applyBorder="1" applyAlignment="1">
      <alignment horizontal="center" vertical="center"/>
    </xf>
    <xf numFmtId="176" fontId="14" fillId="26" borderId="245" xfId="39" applyNumberFormat="1" applyFill="1" applyBorder="1" applyAlignment="1">
      <alignment horizontal="center" vertical="center"/>
    </xf>
    <xf numFmtId="176" fontId="14" fillId="26" borderId="250" xfId="39" applyNumberFormat="1" applyFill="1" applyBorder="1" applyAlignment="1">
      <alignment horizontal="center" vertical="center"/>
    </xf>
    <xf numFmtId="0" fontId="13" fillId="16" borderId="244" xfId="39" applyFont="1" applyFill="1" applyBorder="1" applyAlignment="1">
      <alignment horizontal="center" vertical="center" wrapText="1"/>
    </xf>
    <xf numFmtId="0" fontId="13" fillId="16" borderId="40" xfId="39" applyFont="1" applyFill="1" applyBorder="1" applyAlignment="1">
      <alignment horizontal="center" vertical="center" wrapText="1"/>
    </xf>
    <xf numFmtId="0" fontId="11" fillId="16" borderId="172" xfId="39" applyFont="1" applyFill="1" applyBorder="1" applyAlignment="1">
      <alignment horizontal="center" vertical="center" wrapText="1"/>
    </xf>
    <xf numFmtId="0" fontId="18" fillId="45" borderId="245" xfId="39" applyFont="1" applyFill="1" applyBorder="1" applyAlignment="1">
      <alignment horizontal="center" vertical="center"/>
    </xf>
    <xf numFmtId="0" fontId="18" fillId="45" borderId="247" xfId="39" applyFont="1" applyFill="1" applyBorder="1" applyAlignment="1">
      <alignment horizontal="center" vertical="center"/>
    </xf>
    <xf numFmtId="0" fontId="10" fillId="14" borderId="85" xfId="39" applyFont="1" applyFill="1" applyBorder="1" applyAlignment="1">
      <alignment horizontal="center" vertical="center"/>
    </xf>
    <xf numFmtId="0" fontId="10" fillId="14" borderId="94" xfId="39" applyFont="1" applyFill="1" applyBorder="1" applyAlignment="1">
      <alignment horizontal="center" vertical="center"/>
    </xf>
    <xf numFmtId="0" fontId="18" fillId="14" borderId="41" xfId="39" applyFont="1" applyFill="1" applyBorder="1" applyAlignment="1">
      <alignment horizontal="center" vertical="center"/>
    </xf>
    <xf numFmtId="0" fontId="18" fillId="14" borderId="248" xfId="39" applyFont="1" applyFill="1" applyBorder="1" applyAlignment="1">
      <alignment horizontal="center" vertical="center"/>
    </xf>
    <xf numFmtId="0" fontId="18" fillId="46" borderId="41" xfId="39" applyFont="1" applyFill="1" applyBorder="1" applyAlignment="1">
      <alignment horizontal="center" vertical="center"/>
    </xf>
    <xf numFmtId="0" fontId="18" fillId="46" borderId="249" xfId="39" applyFont="1" applyFill="1" applyBorder="1" applyAlignment="1">
      <alignment horizontal="center" vertical="center"/>
    </xf>
    <xf numFmtId="0" fontId="18" fillId="45" borderId="250" xfId="39" applyFont="1" applyFill="1" applyBorder="1" applyAlignment="1">
      <alignment horizontal="center" vertical="center"/>
    </xf>
    <xf numFmtId="0" fontId="18" fillId="45" borderId="249" xfId="39" applyFont="1" applyFill="1" applyBorder="1" applyAlignment="1">
      <alignment horizontal="center" vertical="center"/>
    </xf>
    <xf numFmtId="176" fontId="14" fillId="26" borderId="247" xfId="39" applyNumberFormat="1" applyFill="1" applyBorder="1" applyAlignment="1">
      <alignment horizontal="center" vertical="center"/>
    </xf>
    <xf numFmtId="0" fontId="10" fillId="46" borderId="85" xfId="39" applyFont="1" applyFill="1" applyBorder="1" applyAlignment="1">
      <alignment horizontal="center" vertical="center"/>
    </xf>
    <xf numFmtId="0" fontId="10" fillId="46" borderId="94" xfId="39" applyFont="1" applyFill="1" applyBorder="1" applyAlignment="1">
      <alignment horizontal="center" vertical="center"/>
    </xf>
    <xf numFmtId="0" fontId="23" fillId="42" borderId="90" xfId="0" applyFont="1" applyFill="1" applyBorder="1" applyAlignment="1">
      <alignment horizontal="left" vertical="center" wrapText="1"/>
    </xf>
    <xf numFmtId="0" fontId="23" fillId="42" borderId="152" xfId="0" applyFont="1" applyFill="1" applyBorder="1" applyAlignment="1">
      <alignment horizontal="left" vertical="center" wrapText="1"/>
    </xf>
    <xf numFmtId="0" fontId="23" fillId="0" borderId="224" xfId="0" applyFont="1" applyBorder="1" applyAlignment="1">
      <alignment horizontal="left" vertical="center" wrapText="1"/>
    </xf>
    <xf numFmtId="0" fontId="23" fillId="0" borderId="90" xfId="0" applyFont="1" applyBorder="1" applyAlignment="1">
      <alignment horizontal="left" vertical="center" wrapText="1"/>
    </xf>
    <xf numFmtId="0" fontId="23" fillId="0" borderId="152" xfId="0" applyFont="1" applyBorder="1" applyAlignment="1">
      <alignment horizontal="left" vertical="center" wrapText="1"/>
    </xf>
    <xf numFmtId="0" fontId="23" fillId="16" borderId="225" xfId="0" applyFont="1" applyFill="1" applyBorder="1" applyAlignment="1">
      <alignment horizontal="center" vertical="center"/>
    </xf>
    <xf numFmtId="0" fontId="23" fillId="16" borderId="231" xfId="0" applyFont="1" applyFill="1" applyBorder="1" applyAlignment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167" fontId="23" fillId="17" borderId="208" xfId="0" applyNumberFormat="1" applyFont="1" applyFill="1" applyBorder="1" applyAlignment="1">
      <alignment horizontal="center" vertical="center" wrapText="1"/>
    </xf>
    <xf numFmtId="167" fontId="23" fillId="17" borderId="209" xfId="0" applyNumberFormat="1" applyFont="1" applyFill="1" applyBorder="1" applyAlignment="1">
      <alignment horizontal="center" vertical="center" wrapText="1"/>
    </xf>
    <xf numFmtId="167" fontId="23" fillId="17" borderId="210" xfId="0" applyNumberFormat="1" applyFont="1" applyFill="1" applyBorder="1" applyAlignment="1">
      <alignment horizontal="center" vertical="center" wrapText="1"/>
    </xf>
    <xf numFmtId="0" fontId="23" fillId="16" borderId="224" xfId="0" applyFont="1" applyFill="1" applyBorder="1" applyAlignment="1">
      <alignment horizontal="center" vertical="center"/>
    </xf>
    <xf numFmtId="167" fontId="24" fillId="33" borderId="28" xfId="0" applyNumberFormat="1" applyFont="1" applyFill="1" applyBorder="1" applyAlignment="1">
      <alignment horizontal="center" vertical="center" wrapText="1"/>
    </xf>
    <xf numFmtId="167" fontId="24" fillId="33" borderId="20" xfId="0" applyNumberFormat="1" applyFont="1" applyFill="1" applyBorder="1" applyAlignment="1">
      <alignment horizontal="center" vertical="center" wrapText="1"/>
    </xf>
    <xf numFmtId="167" fontId="24" fillId="33" borderId="229" xfId="0" applyNumberFormat="1" applyFont="1" applyFill="1" applyBorder="1" applyAlignment="1">
      <alignment horizontal="center" vertical="center" wrapText="1"/>
    </xf>
    <xf numFmtId="0" fontId="13" fillId="15" borderId="55" xfId="0" applyFont="1" applyFill="1" applyBorder="1" applyAlignment="1">
      <alignment horizontal="center" vertical="center" wrapText="1"/>
    </xf>
    <xf numFmtId="0" fontId="13" fillId="15" borderId="56" xfId="0" applyFont="1" applyFill="1" applyBorder="1" applyAlignment="1">
      <alignment horizontal="center" vertical="center" wrapText="1"/>
    </xf>
    <xf numFmtId="0" fontId="13" fillId="15" borderId="57" xfId="0" applyFont="1" applyFill="1" applyBorder="1" applyAlignment="1">
      <alignment horizontal="center" vertical="center" wrapText="1"/>
    </xf>
    <xf numFmtId="0" fontId="13" fillId="15" borderId="3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11" borderId="186" xfId="0" applyFont="1" applyFill="1" applyBorder="1" applyAlignment="1">
      <alignment horizontal="center" vertical="center" wrapText="1"/>
    </xf>
    <xf numFmtId="0" fontId="23" fillId="11" borderId="86" xfId="0" applyFont="1" applyFill="1" applyBorder="1" applyAlignment="1">
      <alignment horizontal="center" vertical="center" wrapText="1"/>
    </xf>
    <xf numFmtId="176" fontId="23" fillId="29" borderId="86" xfId="0" applyNumberFormat="1" applyFont="1" applyFill="1" applyBorder="1" applyAlignment="1">
      <alignment horizontal="right" vertical="center"/>
    </xf>
    <xf numFmtId="176" fontId="23" fillId="29" borderId="54" xfId="0" applyNumberFormat="1" applyFont="1" applyFill="1" applyBorder="1" applyAlignment="1">
      <alignment horizontal="right" vertical="center"/>
    </xf>
    <xf numFmtId="0" fontId="13" fillId="16" borderId="201" xfId="0" applyFont="1" applyFill="1" applyBorder="1" applyAlignment="1">
      <alignment horizontal="center" vertical="center" wrapText="1"/>
    </xf>
    <xf numFmtId="0" fontId="13" fillId="16" borderId="204" xfId="0" applyFont="1" applyFill="1" applyBorder="1" applyAlignment="1">
      <alignment horizontal="center" vertical="center" wrapText="1"/>
    </xf>
    <xf numFmtId="0" fontId="13" fillId="16" borderId="192" xfId="0" applyFont="1" applyFill="1" applyBorder="1" applyAlignment="1">
      <alignment horizontal="center" vertical="center" wrapText="1"/>
    </xf>
    <xf numFmtId="0" fontId="13" fillId="16" borderId="149" xfId="0" applyFont="1" applyFill="1" applyBorder="1" applyAlignment="1">
      <alignment horizontal="center" vertical="center" wrapText="1"/>
    </xf>
    <xf numFmtId="0" fontId="13" fillId="16" borderId="164" xfId="0" applyFont="1" applyFill="1" applyBorder="1" applyAlignment="1">
      <alignment horizontal="center" vertical="center"/>
    </xf>
    <xf numFmtId="0" fontId="13" fillId="16" borderId="113" xfId="0" applyFont="1" applyFill="1" applyBorder="1" applyAlignment="1">
      <alignment horizontal="center" vertical="center"/>
    </xf>
    <xf numFmtId="0" fontId="13" fillId="16" borderId="164" xfId="0" applyFont="1" applyFill="1" applyBorder="1" applyAlignment="1">
      <alignment horizontal="center" vertical="center" wrapText="1"/>
    </xf>
    <xf numFmtId="0" fontId="13" fillId="16" borderId="113" xfId="0" applyFont="1" applyFill="1" applyBorder="1" applyAlignment="1">
      <alignment horizontal="center" vertical="center" wrapText="1"/>
    </xf>
    <xf numFmtId="0" fontId="23" fillId="65" borderId="186" xfId="0" applyFont="1" applyFill="1" applyBorder="1" applyAlignment="1">
      <alignment horizontal="center" vertical="center" wrapText="1"/>
    </xf>
    <xf numFmtId="0" fontId="23" fillId="65" borderId="86" xfId="0" applyFont="1" applyFill="1" applyBorder="1" applyAlignment="1">
      <alignment horizontal="center" vertical="center" wrapText="1"/>
    </xf>
    <xf numFmtId="0" fontId="23" fillId="65" borderId="40" xfId="0" applyFont="1" applyFill="1" applyBorder="1" applyAlignment="1">
      <alignment horizontal="center" vertical="center" wrapText="1"/>
    </xf>
    <xf numFmtId="176" fontId="23" fillId="70" borderId="186" xfId="0" applyNumberFormat="1" applyFont="1" applyFill="1" applyBorder="1" applyAlignment="1">
      <alignment horizontal="right" vertical="center"/>
    </xf>
    <xf numFmtId="176" fontId="23" fillId="70" borderId="86" xfId="0" applyNumberFormat="1" applyFont="1" applyFill="1" applyBorder="1" applyAlignment="1">
      <alignment horizontal="right" vertical="center"/>
    </xf>
    <xf numFmtId="176" fontId="23" fillId="70" borderId="40" xfId="0" applyNumberFormat="1" applyFont="1" applyFill="1" applyBorder="1" applyAlignment="1">
      <alignment horizontal="right" vertical="center"/>
    </xf>
    <xf numFmtId="0" fontId="23" fillId="42" borderId="186" xfId="0" applyFont="1" applyFill="1" applyBorder="1" applyAlignment="1">
      <alignment horizontal="center" vertical="center" wrapText="1"/>
    </xf>
    <xf numFmtId="176" fontId="23" fillId="29" borderId="150" xfId="0" applyNumberFormat="1" applyFont="1" applyFill="1" applyBorder="1" applyAlignment="1">
      <alignment horizontal="right" vertical="center"/>
    </xf>
    <xf numFmtId="176" fontId="23" fillId="29" borderId="40" xfId="0" applyNumberFormat="1" applyFont="1" applyFill="1" applyBorder="1" applyAlignment="1">
      <alignment horizontal="right" vertical="center"/>
    </xf>
    <xf numFmtId="0" fontId="13" fillId="27" borderId="201" xfId="0" applyFont="1" applyFill="1" applyBorder="1" applyAlignment="1">
      <alignment horizontal="center" vertical="center" wrapText="1"/>
    </xf>
    <xf numFmtId="0" fontId="13" fillId="27" borderId="73" xfId="0" applyFont="1" applyFill="1" applyBorder="1" applyAlignment="1">
      <alignment horizontal="center" vertical="center" wrapText="1"/>
    </xf>
    <xf numFmtId="0" fontId="13" fillId="27" borderId="100" xfId="0" applyFont="1" applyFill="1" applyBorder="1" applyAlignment="1">
      <alignment horizontal="center" vertical="center" wrapText="1"/>
    </xf>
    <xf numFmtId="0" fontId="13" fillId="27" borderId="102" xfId="0" applyFont="1" applyFill="1" applyBorder="1" applyAlignment="1">
      <alignment horizontal="center" vertical="center" wrapText="1"/>
    </xf>
    <xf numFmtId="0" fontId="13" fillId="16" borderId="183" xfId="0" applyFont="1" applyFill="1" applyBorder="1" applyAlignment="1">
      <alignment horizontal="center" vertical="center" wrapText="1"/>
    </xf>
    <xf numFmtId="0" fontId="13" fillId="16" borderId="82" xfId="0" applyFont="1" applyFill="1" applyBorder="1" applyAlignment="1">
      <alignment horizontal="center" vertical="center" wrapText="1"/>
    </xf>
    <xf numFmtId="0" fontId="13" fillId="27" borderId="184" xfId="0" applyFont="1" applyFill="1" applyBorder="1" applyAlignment="1">
      <alignment horizontal="center" vertical="center" wrapText="1"/>
    </xf>
    <xf numFmtId="0" fontId="13" fillId="27" borderId="80" xfId="0" applyFont="1" applyFill="1" applyBorder="1" applyAlignment="1">
      <alignment horizontal="center" vertical="center" wrapText="1"/>
    </xf>
    <xf numFmtId="0" fontId="13" fillId="16" borderId="184" xfId="0" applyFont="1" applyFill="1" applyBorder="1" applyAlignment="1">
      <alignment horizontal="center" vertical="center" wrapText="1"/>
    </xf>
    <xf numFmtId="0" fontId="13" fillId="16" borderId="80" xfId="0" applyFont="1" applyFill="1" applyBorder="1" applyAlignment="1">
      <alignment horizontal="center" vertical="center" wrapText="1"/>
    </xf>
    <xf numFmtId="0" fontId="22" fillId="0" borderId="160" xfId="0" applyFont="1" applyBorder="1" applyAlignment="1">
      <alignment horizontal="center" vertical="center" wrapText="1"/>
    </xf>
    <xf numFmtId="0" fontId="22" fillId="0" borderId="161" xfId="0" applyFont="1" applyBorder="1" applyAlignment="1">
      <alignment horizontal="center" vertical="center" wrapText="1"/>
    </xf>
    <xf numFmtId="0" fontId="22" fillId="0" borderId="162" xfId="0" applyFont="1" applyBorder="1" applyAlignment="1">
      <alignment horizontal="center" vertical="center" wrapText="1"/>
    </xf>
    <xf numFmtId="0" fontId="13" fillId="16" borderId="71" xfId="0" applyFont="1" applyFill="1" applyBorder="1" applyAlignment="1">
      <alignment horizontal="center" vertical="center" wrapText="1"/>
    </xf>
    <xf numFmtId="0" fontId="13" fillId="16" borderId="72" xfId="0" applyFont="1" applyFill="1" applyBorder="1" applyAlignment="1">
      <alignment horizontal="center" vertical="center" wrapText="1"/>
    </xf>
    <xf numFmtId="0" fontId="23" fillId="12" borderId="8" xfId="0" applyFont="1" applyFill="1" applyBorder="1" applyAlignment="1" applyProtection="1">
      <alignment horizontal="center" vertical="center"/>
      <protection locked="0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13" fillId="16" borderId="106" xfId="0" applyFont="1" applyFill="1" applyBorder="1" applyAlignment="1">
      <alignment horizontal="center" vertical="center"/>
    </xf>
    <xf numFmtId="0" fontId="13" fillId="16" borderId="70" xfId="0" applyFont="1" applyFill="1" applyBorder="1" applyAlignment="1">
      <alignment horizontal="center" vertical="center"/>
    </xf>
    <xf numFmtId="0" fontId="23" fillId="15" borderId="63" xfId="0" applyFont="1" applyFill="1" applyBorder="1" applyAlignment="1">
      <alignment horizontal="center" vertical="center" wrapText="1"/>
    </xf>
    <xf numFmtId="0" fontId="23" fillId="15" borderId="154" xfId="0" applyFont="1" applyFill="1" applyBorder="1" applyAlignment="1">
      <alignment horizontal="center" vertical="center" wrapText="1"/>
    </xf>
    <xf numFmtId="0" fontId="23" fillId="15" borderId="67" xfId="0" applyFont="1" applyFill="1" applyBorder="1" applyAlignment="1">
      <alignment horizontal="center" vertical="center" wrapText="1"/>
    </xf>
    <xf numFmtId="0" fontId="23" fillId="15" borderId="163" xfId="0" applyFont="1" applyFill="1" applyBorder="1" applyAlignment="1">
      <alignment horizontal="center" vertical="center" wrapText="1"/>
    </xf>
    <xf numFmtId="0" fontId="13" fillId="16" borderId="108" xfId="0" applyFont="1" applyFill="1" applyBorder="1" applyAlignment="1">
      <alignment horizontal="center" vertical="center"/>
    </xf>
    <xf numFmtId="0" fontId="13" fillId="16" borderId="66" xfId="0" applyFont="1" applyFill="1" applyBorder="1" applyAlignment="1">
      <alignment horizontal="center" vertical="center"/>
    </xf>
    <xf numFmtId="167" fontId="13" fillId="17" borderId="69" xfId="0" applyNumberFormat="1" applyFont="1" applyFill="1" applyBorder="1" applyAlignment="1">
      <alignment horizontal="center" vertical="center" wrapText="1"/>
    </xf>
    <xf numFmtId="167" fontId="13" fillId="17" borderId="65" xfId="0" applyNumberFormat="1" applyFont="1" applyFill="1" applyBorder="1" applyAlignment="1">
      <alignment horizontal="center" vertical="center" wrapText="1"/>
    </xf>
    <xf numFmtId="167" fontId="13" fillId="17" borderId="64" xfId="0" applyNumberFormat="1" applyFont="1" applyFill="1" applyBorder="1" applyAlignment="1">
      <alignment horizontal="center" vertical="center" wrapText="1"/>
    </xf>
    <xf numFmtId="0" fontId="0" fillId="37" borderId="23" xfId="0" applyFill="1" applyBorder="1" applyAlignment="1">
      <alignment horizontal="left" vertical="center" wrapText="1"/>
    </xf>
    <xf numFmtId="0" fontId="0" fillId="37" borderId="15" xfId="0" applyFill="1" applyBorder="1" applyAlignment="1">
      <alignment horizontal="left" vertical="center" wrapText="1"/>
    </xf>
    <xf numFmtId="0" fontId="0" fillId="37" borderId="29" xfId="0" applyFill="1" applyBorder="1" applyAlignment="1">
      <alignment horizontal="left" vertical="center" wrapText="1"/>
    </xf>
    <xf numFmtId="0" fontId="0" fillId="37" borderId="24" xfId="0" applyFill="1" applyBorder="1" applyAlignment="1">
      <alignment horizontal="left" vertical="center" wrapText="1"/>
    </xf>
    <xf numFmtId="0" fontId="0" fillId="37" borderId="0" xfId="0" applyFill="1" applyAlignment="1">
      <alignment horizontal="left" vertical="center" wrapText="1"/>
    </xf>
    <xf numFmtId="0" fontId="0" fillId="37" borderId="30" xfId="0" applyFill="1" applyBorder="1" applyAlignment="1">
      <alignment horizontal="left" vertical="center" wrapText="1"/>
    </xf>
    <xf numFmtId="0" fontId="0" fillId="37" borderId="16" xfId="0" applyFill="1" applyBorder="1" applyAlignment="1">
      <alignment horizontal="left" vertical="center" wrapText="1"/>
    </xf>
    <xf numFmtId="0" fontId="0" fillId="37" borderId="13" xfId="0" applyFill="1" applyBorder="1" applyAlignment="1">
      <alignment horizontal="left" vertical="center" wrapText="1"/>
    </xf>
    <xf numFmtId="0" fontId="0" fillId="37" borderId="14" xfId="0" applyFill="1" applyBorder="1" applyAlignment="1">
      <alignment horizontal="left" vertical="center" wrapText="1"/>
    </xf>
    <xf numFmtId="0" fontId="34" fillId="49" borderId="194" xfId="0" applyFont="1" applyFill="1" applyBorder="1" applyAlignment="1">
      <alignment horizontal="center" vertical="center" wrapText="1"/>
    </xf>
    <xf numFmtId="0" fontId="34" fillId="49" borderId="177" xfId="0" applyFont="1" applyFill="1" applyBorder="1" applyAlignment="1">
      <alignment horizontal="center" vertical="center" wrapText="1"/>
    </xf>
    <xf numFmtId="0" fontId="35" fillId="36" borderId="177" xfId="0" applyFont="1" applyFill="1" applyBorder="1" applyAlignment="1">
      <alignment horizontal="center" vertical="center"/>
    </xf>
  </cellXfs>
  <cellStyles count="4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8" xr:uid="{00000000-0005-0000-0000-000011000000}"/>
    <cellStyle name="Moneda" xfId="13" builtinId="4"/>
    <cellStyle name="Moneda [0]" xfId="31" builtinId="7"/>
    <cellStyle name="Moneda 2" xfId="26" xr:uid="{00000000-0005-0000-0000-000014000000}"/>
    <cellStyle name="Moneda 2 3" xfId="41" xr:uid="{64C3A323-4A8C-4625-BA38-7AB4D4254877}"/>
    <cellStyle name="Moneda 3" xfId="25" xr:uid="{00000000-0005-0000-0000-000015000000}"/>
    <cellStyle name="Neutral" xfId="14" builtinId="28" customBuiltin="1"/>
    <cellStyle name="Normal" xfId="0" builtinId="0"/>
    <cellStyle name="Normal 2" xfId="27" xr:uid="{00000000-0005-0000-0000-000018000000}"/>
    <cellStyle name="Normal 2 2" xfId="39" xr:uid="{25949B21-456A-4DE8-9F41-A0A02A93EFAC}"/>
    <cellStyle name="Normal 3" xfId="28" xr:uid="{00000000-0005-0000-0000-000019000000}"/>
    <cellStyle name="Normal 4" xfId="29" xr:uid="{00000000-0005-0000-0000-00001A000000}"/>
    <cellStyle name="Normal 5" xfId="37" xr:uid="{00000000-0005-0000-0000-00001B000000}"/>
    <cellStyle name="Note" xfId="15" xr:uid="{00000000-0005-0000-0000-00001C000000}"/>
    <cellStyle name="Note 2" xfId="33" xr:uid="{00000000-0005-0000-0000-00001D000000}"/>
    <cellStyle name="Note 3" xfId="34" xr:uid="{00000000-0005-0000-0000-00001E000000}"/>
    <cellStyle name="Note 4" xfId="32" xr:uid="{00000000-0005-0000-0000-00001F000000}"/>
    <cellStyle name="Note 5" xfId="36" xr:uid="{00000000-0005-0000-0000-000020000000}"/>
    <cellStyle name="Note 6" xfId="35" xr:uid="{00000000-0005-0000-0000-000021000000}"/>
    <cellStyle name="Porcentaje" xfId="16" builtinId="5"/>
    <cellStyle name="Porcentaje 2" xfId="30" xr:uid="{00000000-0005-0000-0000-000023000000}"/>
    <cellStyle name="Porcentaje 2 2" xfId="40" xr:uid="{61962ADE-680E-4CE8-9D7A-EBAB5A56A7B2}"/>
    <cellStyle name="Status" xfId="17" xr:uid="{00000000-0005-0000-0000-000024000000}"/>
    <cellStyle name="Text" xfId="18" xr:uid="{00000000-0005-0000-0000-000025000000}"/>
    <cellStyle name="Warning" xfId="19" xr:uid="{00000000-0005-0000-0000-000026000000}"/>
  </cellStyles>
  <dxfs count="5"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195BEDD-F936-4EFC-9E08-97A1EEB79B57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95249</xdr:rowOff>
    </xdr:from>
    <xdr:to>
      <xdr:col>9</xdr:col>
      <xdr:colOff>232835</xdr:colOff>
      <xdr:row>63</xdr:row>
      <xdr:rowOff>42332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E799D-5B6F-40AE-B4BA-4FBB8F39FE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21" t="7408" r="24701" b="3589"/>
        <a:stretch/>
      </xdr:blipFill>
      <xdr:spPr>
        <a:xfrm>
          <a:off x="0" y="904874"/>
          <a:ext cx="7090835" cy="9338733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211667</xdr:colOff>
      <xdr:row>5</xdr:row>
      <xdr:rowOff>158749</xdr:rowOff>
    </xdr:from>
    <xdr:to>
      <xdr:col>18</xdr:col>
      <xdr:colOff>359834</xdr:colOff>
      <xdr:row>63</xdr:row>
      <xdr:rowOff>31749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5EF4E7-BDB2-476C-A15E-ED19B98DC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637" t="7820" r="25049" b="3896"/>
        <a:stretch/>
      </xdr:blipFill>
      <xdr:spPr>
        <a:xfrm>
          <a:off x="7069667" y="968374"/>
          <a:ext cx="7006167" cy="9264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52916</xdr:rowOff>
    </xdr:from>
    <xdr:to>
      <xdr:col>9</xdr:col>
      <xdr:colOff>179917</xdr:colOff>
      <xdr:row>120</xdr:row>
      <xdr:rowOff>42333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D1EEEF-E567-4B2E-9A0A-067F6B65B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6636" t="8540" r="24875" b="3588"/>
        <a:stretch/>
      </xdr:blipFill>
      <xdr:spPr>
        <a:xfrm>
          <a:off x="0" y="10254191"/>
          <a:ext cx="7037917" cy="9219142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211666</xdr:colOff>
      <xdr:row>63</xdr:row>
      <xdr:rowOff>52916</xdr:rowOff>
    </xdr:from>
    <xdr:to>
      <xdr:col>18</xdr:col>
      <xdr:colOff>412750</xdr:colOff>
      <xdr:row>120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6C55EAF-7109-43FF-9C41-511922CCF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694" t="8746" r="24702" b="3794"/>
        <a:stretch/>
      </xdr:blipFill>
      <xdr:spPr>
        <a:xfrm>
          <a:off x="7069666" y="10254191"/>
          <a:ext cx="7059084" cy="917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63499</xdr:rowOff>
    </xdr:from>
    <xdr:to>
      <xdr:col>9</xdr:col>
      <xdr:colOff>190500</xdr:colOff>
      <xdr:row>176</xdr:row>
      <xdr:rowOff>105834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6544CA7-20AF-43FC-814E-F6FE9C5361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6579" t="9363" r="24874" b="3795"/>
        <a:stretch/>
      </xdr:blipFill>
      <xdr:spPr>
        <a:xfrm>
          <a:off x="0" y="19494499"/>
          <a:ext cx="7048500" cy="9110135"/>
        </a:xfrm>
        <a:prstGeom prst="rect">
          <a:avLst/>
        </a:prstGeom>
      </xdr:spPr>
    </xdr:pic>
    <xdr:clientData/>
  </xdr:twoCellAnchor>
  <xdr:twoCellAnchor editAs="oneCell">
    <xdr:from>
      <xdr:col>9</xdr:col>
      <xdr:colOff>201083</xdr:colOff>
      <xdr:row>120</xdr:row>
      <xdr:rowOff>31751</xdr:rowOff>
    </xdr:from>
    <xdr:to>
      <xdr:col>18</xdr:col>
      <xdr:colOff>402167</xdr:colOff>
      <xdr:row>176</xdr:row>
      <xdr:rowOff>42334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3198CB2-6BA6-44AF-A660-2A7A40DDBC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6521" t="9776" r="24875" b="3692"/>
        <a:stretch/>
      </xdr:blipFill>
      <xdr:spPr>
        <a:xfrm>
          <a:off x="7059083" y="19462751"/>
          <a:ext cx="7059084" cy="9078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126999</xdr:rowOff>
    </xdr:from>
    <xdr:to>
      <xdr:col>9</xdr:col>
      <xdr:colOff>190500</xdr:colOff>
      <xdr:row>232</xdr:row>
      <xdr:rowOff>63499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2AA4253-04CC-4493-AA54-685248D43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6463" t="10392" r="24990" b="3795"/>
        <a:stretch/>
      </xdr:blipFill>
      <xdr:spPr>
        <a:xfrm>
          <a:off x="0" y="28625799"/>
          <a:ext cx="7048500" cy="900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4" name="Flecha: hacia abaj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15C01B-1E97-4871-A22F-70456DADBD2B}"/>
            </a:ext>
          </a:extLst>
        </xdr:cNvPr>
        <xdr:cNvSpPr/>
      </xdr:nvSpPr>
      <xdr:spPr bwMode="auto">
        <a:xfrm>
          <a:off x="47624" y="161925"/>
          <a:ext cx="1485901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6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67C8E-0DA6-4273-BD4A-CF320C7016C1}"/>
            </a:ext>
          </a:extLst>
        </xdr:cNvPr>
        <xdr:cNvSpPr/>
      </xdr:nvSpPr>
      <xdr:spPr bwMode="auto">
        <a:xfrm>
          <a:off x="1569244" y="185736"/>
          <a:ext cx="1188245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10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6DEA5B-2731-4282-A7F5-18C6479F2176}"/>
            </a:ext>
          </a:extLst>
        </xdr:cNvPr>
        <xdr:cNvSpPr/>
      </xdr:nvSpPr>
      <xdr:spPr bwMode="auto">
        <a:xfrm>
          <a:off x="2793206" y="197643"/>
          <a:ext cx="1190626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15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4BB9FA-3B56-4DEC-B26D-E3E9AAA59C79}"/>
            </a:ext>
          </a:extLst>
        </xdr:cNvPr>
        <xdr:cNvSpPr/>
      </xdr:nvSpPr>
      <xdr:spPr bwMode="auto">
        <a:xfrm>
          <a:off x="4043362" y="209550"/>
          <a:ext cx="1188244" cy="788194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16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15A0CE-619E-46AE-BE69-F08C91A0F31E}"/>
            </a:ext>
          </a:extLst>
        </xdr:cNvPr>
        <xdr:cNvSpPr/>
      </xdr:nvSpPr>
      <xdr:spPr bwMode="auto">
        <a:xfrm rot="10800000">
          <a:off x="37347525" y="371475"/>
          <a:ext cx="416718" cy="292893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17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0BB6F9-FDB9-420B-9B90-E20B4A3AEB36}"/>
            </a:ext>
          </a:extLst>
        </xdr:cNvPr>
        <xdr:cNvSpPr/>
      </xdr:nvSpPr>
      <xdr:spPr bwMode="auto">
        <a:xfrm rot="10800000">
          <a:off x="29784675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8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5DE33E-F005-4C57-B199-94BFAE32B6F2}"/>
            </a:ext>
          </a:extLst>
        </xdr:cNvPr>
        <xdr:cNvSpPr/>
      </xdr:nvSpPr>
      <xdr:spPr bwMode="auto">
        <a:xfrm rot="10800000">
          <a:off x="23383875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9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13B8F2-7B9B-4CA0-B798-37E5E945F717}"/>
            </a:ext>
          </a:extLst>
        </xdr:cNvPr>
        <xdr:cNvSpPr/>
      </xdr:nvSpPr>
      <xdr:spPr bwMode="auto">
        <a:xfrm rot="10800000">
          <a:off x="15447169" y="509588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20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C2FEFB-869A-4D94-9FF0-08289F9E2B0A}"/>
            </a:ext>
          </a:extLst>
        </xdr:cNvPr>
        <xdr:cNvSpPr/>
      </xdr:nvSpPr>
      <xdr:spPr bwMode="auto">
        <a:xfrm>
          <a:off x="9160669" y="161925"/>
          <a:ext cx="1193008" cy="788194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21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B47074-5279-488B-B053-34D2F9F128C3}"/>
            </a:ext>
          </a:extLst>
        </xdr:cNvPr>
        <xdr:cNvSpPr/>
      </xdr:nvSpPr>
      <xdr:spPr bwMode="auto">
        <a:xfrm rot="10800000">
          <a:off x="43491150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J52"/>
  <sheetViews>
    <sheetView showGridLines="0" zoomScale="90" zoomScaleNormal="90" workbookViewId="0">
      <selection activeCell="Y26" sqref="Y26"/>
    </sheetView>
  </sheetViews>
  <sheetFormatPr baseColWidth="10" defaultColWidth="11.42578125" defaultRowHeight="12.75" x14ac:dyDescent="0.2"/>
  <cols>
    <col min="1" max="16384" width="11.42578125" style="523"/>
  </cols>
  <sheetData>
    <row r="1" spans="3:10" x14ac:dyDescent="0.2">
      <c r="J1" s="524"/>
    </row>
    <row r="2" spans="3:10" x14ac:dyDescent="0.2">
      <c r="J2" s="524" t="s">
        <v>253</v>
      </c>
    </row>
    <row r="3" spans="3:10" x14ac:dyDescent="0.2">
      <c r="J3" s="524"/>
    </row>
    <row r="5" spans="3:10" x14ac:dyDescent="0.2">
      <c r="C5" s="525"/>
      <c r="D5" s="525"/>
      <c r="E5" s="525"/>
      <c r="F5" s="525"/>
      <c r="G5" s="525"/>
      <c r="H5" s="525"/>
      <c r="I5" s="525"/>
      <c r="J5" s="525"/>
    </row>
    <row r="6" spans="3:10" x14ac:dyDescent="0.2">
      <c r="C6" s="525"/>
      <c r="D6" s="525"/>
      <c r="E6" s="525"/>
      <c r="F6" s="525"/>
      <c r="G6" s="525"/>
      <c r="H6" s="525"/>
      <c r="I6" s="525"/>
      <c r="J6" s="525"/>
    </row>
    <row r="7" spans="3:10" x14ac:dyDescent="0.2">
      <c r="C7" s="525"/>
      <c r="D7" s="525"/>
      <c r="E7" s="525"/>
      <c r="F7" s="525"/>
      <c r="G7" s="525"/>
      <c r="H7" s="525"/>
      <c r="I7" s="525"/>
      <c r="J7" s="525"/>
    </row>
    <row r="8" spans="3:10" x14ac:dyDescent="0.2">
      <c r="C8" s="525"/>
      <c r="D8" s="525"/>
      <c r="E8" s="525"/>
      <c r="F8" s="525"/>
      <c r="G8" s="525"/>
      <c r="H8" s="525"/>
      <c r="I8" s="525"/>
      <c r="J8" s="525"/>
    </row>
    <row r="9" spans="3:10" x14ac:dyDescent="0.2">
      <c r="C9" s="525"/>
      <c r="D9" s="525"/>
      <c r="E9" s="525"/>
      <c r="F9" s="525"/>
      <c r="G9" s="525"/>
      <c r="H9" s="525"/>
      <c r="I9" s="525"/>
      <c r="J9" s="525"/>
    </row>
    <row r="10" spans="3:10" x14ac:dyDescent="0.2">
      <c r="C10" s="525"/>
      <c r="D10" s="525"/>
      <c r="E10" s="525"/>
      <c r="F10" s="525"/>
      <c r="G10" s="525"/>
      <c r="H10" s="525"/>
      <c r="I10" s="525"/>
      <c r="J10" s="525"/>
    </row>
    <row r="11" spans="3:10" x14ac:dyDescent="0.2">
      <c r="C11" s="525"/>
      <c r="D11" s="525"/>
      <c r="E11" s="525"/>
      <c r="F11" s="525"/>
      <c r="G11" s="525"/>
      <c r="H11" s="525"/>
      <c r="I11" s="525"/>
      <c r="J11" s="525"/>
    </row>
    <row r="12" spans="3:10" x14ac:dyDescent="0.2">
      <c r="C12" s="525"/>
      <c r="D12" s="525"/>
      <c r="E12" s="525"/>
      <c r="F12" s="525"/>
      <c r="G12" s="525"/>
      <c r="H12" s="525"/>
      <c r="I12" s="525"/>
      <c r="J12" s="525"/>
    </row>
    <row r="13" spans="3:10" x14ac:dyDescent="0.2">
      <c r="C13" s="525"/>
      <c r="D13" s="525"/>
      <c r="E13" s="525"/>
      <c r="F13" s="525"/>
      <c r="G13" s="525"/>
      <c r="H13" s="525"/>
      <c r="I13" s="525"/>
      <c r="J13" s="525"/>
    </row>
    <row r="14" spans="3:10" x14ac:dyDescent="0.2">
      <c r="C14" s="525"/>
      <c r="D14" s="525"/>
      <c r="E14" s="525"/>
      <c r="F14" s="525"/>
      <c r="G14" s="525"/>
      <c r="H14" s="525"/>
      <c r="I14" s="525"/>
      <c r="J14" s="525"/>
    </row>
    <row r="15" spans="3:10" x14ac:dyDescent="0.2">
      <c r="C15" s="525"/>
      <c r="D15" s="525"/>
      <c r="E15" s="525"/>
      <c r="F15" s="525"/>
      <c r="G15" s="525"/>
      <c r="H15" s="525"/>
      <c r="I15" s="525"/>
      <c r="J15" s="525"/>
    </row>
    <row r="16" spans="3:10" x14ac:dyDescent="0.2">
      <c r="C16" s="525"/>
      <c r="D16" s="525"/>
      <c r="E16" s="525"/>
      <c r="F16" s="525"/>
      <c r="G16" s="525"/>
      <c r="H16" s="525"/>
      <c r="I16" s="525"/>
      <c r="J16" s="525"/>
    </row>
    <row r="17" spans="3:10" x14ac:dyDescent="0.2">
      <c r="C17" s="525"/>
      <c r="D17" s="525"/>
      <c r="E17" s="525"/>
      <c r="F17" s="525"/>
      <c r="G17" s="525"/>
      <c r="H17" s="525"/>
      <c r="I17" s="525"/>
      <c r="J17" s="525"/>
    </row>
    <row r="18" spans="3:10" x14ac:dyDescent="0.2">
      <c r="C18" s="525"/>
      <c r="D18" s="525"/>
      <c r="E18" s="525"/>
      <c r="F18" s="525"/>
      <c r="G18" s="525"/>
      <c r="H18" s="525"/>
      <c r="I18" s="525"/>
      <c r="J18" s="525"/>
    </row>
    <row r="19" spans="3:10" x14ac:dyDescent="0.2">
      <c r="C19" s="525"/>
      <c r="D19" s="525"/>
      <c r="E19" s="525"/>
      <c r="F19" s="525"/>
      <c r="G19" s="525"/>
      <c r="H19" s="525"/>
      <c r="I19" s="525"/>
      <c r="J19" s="525"/>
    </row>
    <row r="20" spans="3:10" x14ac:dyDescent="0.2">
      <c r="C20" s="525"/>
      <c r="D20" s="525"/>
      <c r="E20" s="525"/>
      <c r="F20" s="525"/>
      <c r="G20" s="525"/>
      <c r="H20" s="525"/>
      <c r="I20" s="525"/>
      <c r="J20" s="525"/>
    </row>
    <row r="21" spans="3:10" x14ac:dyDescent="0.2">
      <c r="C21" s="525"/>
      <c r="D21" s="525"/>
      <c r="E21" s="525"/>
      <c r="F21" s="525"/>
      <c r="G21" s="525"/>
      <c r="H21" s="525"/>
      <c r="I21" s="525"/>
      <c r="J21" s="525"/>
    </row>
    <row r="22" spans="3:10" x14ac:dyDescent="0.2">
      <c r="C22" s="525"/>
      <c r="D22" s="525"/>
      <c r="E22" s="525"/>
      <c r="F22" s="525"/>
      <c r="G22" s="525"/>
      <c r="H22" s="525"/>
      <c r="I22" s="525"/>
      <c r="J22" s="525"/>
    </row>
    <row r="23" spans="3:10" x14ac:dyDescent="0.2">
      <c r="C23" s="525"/>
      <c r="D23" s="525"/>
      <c r="E23" s="525"/>
      <c r="F23" s="525"/>
      <c r="G23" s="525"/>
      <c r="H23" s="525"/>
      <c r="I23" s="525"/>
      <c r="J23" s="525"/>
    </row>
    <row r="24" spans="3:10" x14ac:dyDescent="0.2">
      <c r="C24" s="525"/>
      <c r="D24" s="525"/>
      <c r="E24" s="525"/>
      <c r="F24" s="525"/>
      <c r="G24" s="525"/>
      <c r="H24" s="525"/>
      <c r="I24" s="525"/>
      <c r="J24" s="525"/>
    </row>
    <row r="25" spans="3:10" x14ac:dyDescent="0.2">
      <c r="C25" s="525"/>
      <c r="D25" s="525"/>
      <c r="E25" s="525"/>
      <c r="F25" s="525"/>
      <c r="G25" s="525"/>
      <c r="H25" s="525"/>
      <c r="I25" s="525"/>
      <c r="J25" s="525"/>
    </row>
    <row r="26" spans="3:10" x14ac:dyDescent="0.2">
      <c r="C26" s="525"/>
      <c r="D26" s="525"/>
      <c r="E26" s="525"/>
      <c r="F26" s="525"/>
      <c r="G26" s="525"/>
      <c r="H26" s="525"/>
      <c r="I26" s="525"/>
      <c r="J26" s="525"/>
    </row>
    <row r="27" spans="3:10" x14ac:dyDescent="0.2">
      <c r="C27" s="525"/>
      <c r="D27" s="525"/>
      <c r="E27" s="525"/>
      <c r="F27" s="525"/>
      <c r="G27" s="525"/>
      <c r="H27" s="525"/>
      <c r="I27" s="525"/>
      <c r="J27" s="525"/>
    </row>
    <row r="28" spans="3:10" x14ac:dyDescent="0.2">
      <c r="C28" s="525"/>
      <c r="D28" s="525"/>
      <c r="E28" s="525"/>
      <c r="F28" s="525"/>
      <c r="G28" s="525"/>
      <c r="H28" s="525"/>
      <c r="I28" s="525"/>
      <c r="J28" s="525"/>
    </row>
    <row r="29" spans="3:10" x14ac:dyDescent="0.2">
      <c r="C29" s="525"/>
      <c r="D29" s="525"/>
      <c r="E29" s="525"/>
      <c r="F29" s="525"/>
      <c r="G29" s="525"/>
      <c r="H29" s="525"/>
      <c r="I29" s="525"/>
      <c r="J29" s="525"/>
    </row>
    <row r="30" spans="3:10" x14ac:dyDescent="0.2">
      <c r="C30" s="525"/>
      <c r="D30" s="525"/>
      <c r="E30" s="525"/>
      <c r="F30" s="525"/>
      <c r="G30" s="525"/>
      <c r="H30" s="525"/>
      <c r="I30" s="525"/>
      <c r="J30" s="525"/>
    </row>
    <row r="31" spans="3:10" x14ac:dyDescent="0.2">
      <c r="C31" s="525"/>
      <c r="D31" s="525"/>
      <c r="E31" s="525"/>
      <c r="F31" s="525"/>
      <c r="G31" s="525"/>
      <c r="H31" s="525"/>
      <c r="I31" s="525"/>
      <c r="J31" s="525"/>
    </row>
    <row r="32" spans="3:10" x14ac:dyDescent="0.2">
      <c r="C32" s="525"/>
      <c r="D32" s="525"/>
      <c r="E32" s="525"/>
      <c r="F32" s="525"/>
      <c r="G32" s="525"/>
      <c r="H32" s="525"/>
      <c r="I32" s="525"/>
      <c r="J32" s="525"/>
    </row>
    <row r="33" spans="3:10" x14ac:dyDescent="0.2">
      <c r="C33" s="525"/>
      <c r="D33" s="525"/>
      <c r="E33" s="525"/>
      <c r="F33" s="525"/>
      <c r="G33" s="525"/>
      <c r="H33" s="525"/>
      <c r="I33" s="525"/>
      <c r="J33" s="525"/>
    </row>
    <row r="34" spans="3:10" x14ac:dyDescent="0.2">
      <c r="C34" s="525"/>
      <c r="D34" s="525"/>
      <c r="E34" s="525"/>
      <c r="F34" s="525"/>
      <c r="G34" s="525"/>
      <c r="H34" s="525"/>
      <c r="I34" s="525"/>
      <c r="J34" s="525"/>
    </row>
    <row r="35" spans="3:10" x14ac:dyDescent="0.2">
      <c r="C35" s="525"/>
      <c r="D35" s="525"/>
      <c r="E35" s="525"/>
      <c r="F35" s="525"/>
      <c r="G35" s="525"/>
      <c r="H35" s="525"/>
      <c r="I35" s="525"/>
      <c r="J35" s="525"/>
    </row>
    <row r="36" spans="3:10" x14ac:dyDescent="0.2">
      <c r="C36" s="525"/>
      <c r="D36" s="525"/>
      <c r="E36" s="525"/>
      <c r="F36" s="525"/>
      <c r="G36" s="525"/>
      <c r="H36" s="525"/>
      <c r="I36" s="525"/>
      <c r="J36" s="525"/>
    </row>
    <row r="37" spans="3:10" x14ac:dyDescent="0.2">
      <c r="C37" s="525"/>
      <c r="D37" s="525"/>
      <c r="E37" s="525"/>
      <c r="F37" s="525"/>
      <c r="G37" s="525"/>
      <c r="H37" s="525"/>
      <c r="I37" s="525"/>
      <c r="J37" s="525"/>
    </row>
    <row r="38" spans="3:10" x14ac:dyDescent="0.2">
      <c r="C38" s="525"/>
      <c r="D38" s="525"/>
      <c r="E38" s="525"/>
      <c r="F38" s="525"/>
      <c r="G38" s="525"/>
      <c r="H38" s="525"/>
      <c r="I38" s="525"/>
      <c r="J38" s="525"/>
    </row>
    <row r="39" spans="3:10" x14ac:dyDescent="0.2">
      <c r="C39" s="525"/>
      <c r="D39" s="525"/>
      <c r="E39" s="525"/>
      <c r="F39" s="525"/>
      <c r="G39" s="525"/>
      <c r="H39" s="525"/>
      <c r="I39" s="525"/>
      <c r="J39" s="525"/>
    </row>
    <row r="40" spans="3:10" x14ac:dyDescent="0.2">
      <c r="C40" s="525"/>
      <c r="D40" s="525"/>
      <c r="E40" s="525"/>
      <c r="F40" s="525"/>
      <c r="G40" s="525"/>
      <c r="H40" s="525"/>
      <c r="I40" s="525"/>
      <c r="J40" s="525"/>
    </row>
    <row r="41" spans="3:10" x14ac:dyDescent="0.2">
      <c r="C41" s="525"/>
      <c r="D41" s="525"/>
      <c r="E41" s="525"/>
      <c r="F41" s="525"/>
      <c r="G41" s="525"/>
      <c r="H41" s="525"/>
      <c r="I41" s="525"/>
      <c r="J41" s="525"/>
    </row>
    <row r="42" spans="3:10" x14ac:dyDescent="0.2">
      <c r="C42" s="525"/>
      <c r="D42" s="525"/>
      <c r="E42" s="525"/>
      <c r="F42" s="525"/>
      <c r="G42" s="525"/>
      <c r="H42" s="525"/>
      <c r="I42" s="525"/>
      <c r="J42" s="525"/>
    </row>
    <row r="43" spans="3:10" x14ac:dyDescent="0.2">
      <c r="C43" s="525"/>
      <c r="D43" s="525"/>
      <c r="E43" s="525"/>
      <c r="F43" s="525"/>
      <c r="G43" s="525"/>
      <c r="H43" s="525"/>
      <c r="I43" s="525"/>
      <c r="J43" s="525"/>
    </row>
    <row r="44" spans="3:10" x14ac:dyDescent="0.2">
      <c r="C44" s="525"/>
      <c r="D44" s="525"/>
      <c r="E44" s="525"/>
      <c r="F44" s="525"/>
      <c r="G44" s="525"/>
      <c r="H44" s="525"/>
      <c r="I44" s="525"/>
      <c r="J44" s="525"/>
    </row>
    <row r="45" spans="3:10" x14ac:dyDescent="0.2">
      <c r="C45" s="525"/>
      <c r="D45" s="525"/>
      <c r="E45" s="525"/>
      <c r="F45" s="525"/>
      <c r="G45" s="525"/>
      <c r="H45" s="525"/>
      <c r="I45" s="525"/>
      <c r="J45" s="525"/>
    </row>
    <row r="46" spans="3:10" x14ac:dyDescent="0.2">
      <c r="C46" s="525"/>
      <c r="D46" s="525"/>
      <c r="E46" s="525"/>
      <c r="F46" s="525"/>
      <c r="G46" s="525"/>
      <c r="H46" s="525"/>
      <c r="I46" s="525"/>
      <c r="J46" s="525"/>
    </row>
    <row r="47" spans="3:10" x14ac:dyDescent="0.2">
      <c r="C47" s="525"/>
      <c r="D47" s="525"/>
      <c r="E47" s="525"/>
      <c r="F47" s="525"/>
      <c r="G47" s="525"/>
      <c r="H47" s="525"/>
      <c r="I47" s="525"/>
      <c r="J47" s="525"/>
    </row>
    <row r="48" spans="3:10" x14ac:dyDescent="0.2">
      <c r="C48" s="525"/>
      <c r="D48" s="525"/>
      <c r="E48" s="525"/>
      <c r="F48" s="525"/>
      <c r="G48" s="525"/>
      <c r="H48" s="525"/>
      <c r="I48" s="525"/>
      <c r="J48" s="525"/>
    </row>
    <row r="49" spans="3:10" x14ac:dyDescent="0.2">
      <c r="C49" s="525"/>
      <c r="D49" s="525"/>
      <c r="E49" s="525"/>
      <c r="F49" s="525"/>
      <c r="G49" s="525"/>
      <c r="H49" s="525"/>
      <c r="I49" s="525"/>
      <c r="J49" s="525"/>
    </row>
    <row r="50" spans="3:10" x14ac:dyDescent="0.2">
      <c r="C50" s="525"/>
      <c r="D50" s="525"/>
      <c r="E50" s="525"/>
      <c r="F50" s="525"/>
      <c r="G50" s="525"/>
      <c r="H50" s="525"/>
      <c r="I50" s="525"/>
      <c r="J50" s="525"/>
    </row>
    <row r="51" spans="3:10" x14ac:dyDescent="0.2">
      <c r="C51" s="525"/>
      <c r="D51" s="525"/>
      <c r="E51" s="525"/>
      <c r="F51" s="525"/>
      <c r="G51" s="525"/>
      <c r="H51" s="525"/>
      <c r="I51" s="525"/>
      <c r="J51" s="525"/>
    </row>
    <row r="52" spans="3:10" x14ac:dyDescent="0.2">
      <c r="C52" s="525"/>
      <c r="D52" s="525"/>
      <c r="E52" s="525"/>
      <c r="F52" s="525"/>
      <c r="G52" s="525"/>
      <c r="H52" s="525"/>
      <c r="I52" s="525"/>
      <c r="J52" s="525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61"/>
  <sheetViews>
    <sheetView showGridLines="0" topLeftCell="A39" workbookViewId="0">
      <selection activeCell="E59" sqref="E59"/>
    </sheetView>
  </sheetViews>
  <sheetFormatPr baseColWidth="10" defaultColWidth="11.42578125" defaultRowHeight="12.75" x14ac:dyDescent="0.2"/>
  <cols>
    <col min="1" max="1" width="51.140625" style="40" customWidth="1"/>
    <col min="2" max="4" width="11.42578125" style="40"/>
    <col min="5" max="5" width="75.42578125" style="40" customWidth="1"/>
    <col min="6" max="9" width="11.42578125" style="40"/>
    <col min="10" max="11" width="13.28515625" style="40" customWidth="1"/>
    <col min="12" max="16384" width="11.42578125" style="40"/>
  </cols>
  <sheetData>
    <row r="1" spans="1:16" x14ac:dyDescent="0.2">
      <c r="J1" s="84"/>
      <c r="K1" s="87"/>
    </row>
    <row r="2" spans="1:16" x14ac:dyDescent="0.2">
      <c r="J2" s="84" t="s">
        <v>196</v>
      </c>
      <c r="K2" s="87"/>
    </row>
    <row r="4" spans="1:16" ht="19.5" customHeight="1" x14ac:dyDescent="0.2">
      <c r="I4" s="85" t="s">
        <v>0</v>
      </c>
      <c r="J4" s="862" t="str">
        <f>+'B) Reajuste Tarifas y Ocupación'!F5</f>
        <v>(DEPTO./DELEG.)</v>
      </c>
      <c r="K4" s="863"/>
    </row>
    <row r="6" spans="1:16" ht="12.75" customHeight="1" x14ac:dyDescent="0.2">
      <c r="A6" s="86" t="s">
        <v>121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x14ac:dyDescent="0.2">
      <c r="A8" s="934" t="s">
        <v>225</v>
      </c>
      <c r="B8" s="776" t="s">
        <v>224</v>
      </c>
      <c r="C8" s="776" t="s">
        <v>226</v>
      </c>
      <c r="D8" s="776" t="s">
        <v>227</v>
      </c>
      <c r="E8" s="536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x14ac:dyDescent="0.2">
      <c r="A9" s="935"/>
      <c r="B9" s="936"/>
      <c r="C9" s="936"/>
      <c r="D9" s="936"/>
      <c r="E9" s="536"/>
      <c r="F9" s="41"/>
      <c r="G9" s="41"/>
      <c r="H9" s="41"/>
      <c r="I9" s="41"/>
    </row>
    <row r="10" spans="1:16" x14ac:dyDescent="0.2">
      <c r="A10" s="243" t="s">
        <v>11</v>
      </c>
      <c r="B10" s="244"/>
      <c r="C10" s="244"/>
      <c r="D10" s="244"/>
      <c r="E10" s="537"/>
    </row>
    <row r="11" spans="1:16" x14ac:dyDescent="0.2">
      <c r="A11" s="540" t="s">
        <v>16</v>
      </c>
      <c r="B11" s="541"/>
      <c r="C11" s="542"/>
      <c r="D11" s="542"/>
      <c r="E11" s="537"/>
    </row>
    <row r="12" spans="1:16" ht="63.75" x14ac:dyDescent="0.2">
      <c r="A12" s="543" t="s">
        <v>173</v>
      </c>
      <c r="B12" s="250">
        <v>900000</v>
      </c>
      <c r="C12" s="210">
        <f t="shared" ref="C12:C59" si="0">B12*0.8</f>
        <v>720000</v>
      </c>
      <c r="D12" s="210">
        <f t="shared" ref="D12:D59" si="1">B12*0.2</f>
        <v>180000</v>
      </c>
      <c r="E12" s="548" t="s">
        <v>311</v>
      </c>
    </row>
    <row r="13" spans="1:16" ht="25.5" x14ac:dyDescent="0.2">
      <c r="A13" s="544" t="s">
        <v>19</v>
      </c>
      <c r="B13" s="249">
        <v>50000</v>
      </c>
      <c r="C13" s="210">
        <f t="shared" si="0"/>
        <v>40000</v>
      </c>
      <c r="D13" s="210">
        <f t="shared" si="1"/>
        <v>10000</v>
      </c>
      <c r="E13" s="548" t="s">
        <v>298</v>
      </c>
    </row>
    <row r="14" spans="1:16" x14ac:dyDescent="0.2">
      <c r="A14" s="544" t="s">
        <v>174</v>
      </c>
      <c r="B14" s="249">
        <v>0</v>
      </c>
      <c r="C14" s="210">
        <f t="shared" si="0"/>
        <v>0</v>
      </c>
      <c r="D14" s="210">
        <f t="shared" si="1"/>
        <v>0</v>
      </c>
      <c r="E14" s="537"/>
    </row>
    <row r="15" spans="1:16" x14ac:dyDescent="0.2">
      <c r="A15" s="544" t="s">
        <v>209</v>
      </c>
      <c r="B15" s="249">
        <v>280000</v>
      </c>
      <c r="C15" s="210">
        <f t="shared" si="0"/>
        <v>224000</v>
      </c>
      <c r="D15" s="210">
        <f t="shared" si="1"/>
        <v>56000</v>
      </c>
      <c r="E15" s="551" t="s">
        <v>293</v>
      </c>
    </row>
    <row r="16" spans="1:16" ht="25.5" x14ac:dyDescent="0.2">
      <c r="A16" s="544" t="s">
        <v>22</v>
      </c>
      <c r="B16" s="249">
        <v>1000000</v>
      </c>
      <c r="C16" s="210">
        <f t="shared" si="0"/>
        <v>800000</v>
      </c>
      <c r="D16" s="549">
        <f t="shared" si="1"/>
        <v>200000</v>
      </c>
      <c r="E16" s="548" t="s">
        <v>312</v>
      </c>
    </row>
    <row r="17" spans="1:5" x14ac:dyDescent="0.2">
      <c r="A17" s="544" t="s">
        <v>176</v>
      </c>
      <c r="B17" s="249">
        <v>80000</v>
      </c>
      <c r="C17" s="210">
        <f t="shared" si="0"/>
        <v>64000</v>
      </c>
      <c r="D17" s="210">
        <f t="shared" si="1"/>
        <v>16000</v>
      </c>
      <c r="E17" s="550" t="s">
        <v>294</v>
      </c>
    </row>
    <row r="18" spans="1:5" x14ac:dyDescent="0.2">
      <c r="A18" s="544" t="s">
        <v>24</v>
      </c>
      <c r="B18" s="249">
        <v>1300000</v>
      </c>
      <c r="C18" s="210">
        <f t="shared" si="0"/>
        <v>1040000</v>
      </c>
      <c r="D18" s="210">
        <f t="shared" si="1"/>
        <v>260000</v>
      </c>
      <c r="E18" s="551" t="s">
        <v>297</v>
      </c>
    </row>
    <row r="19" spans="1:5" x14ac:dyDescent="0.2">
      <c r="A19" s="544" t="s">
        <v>25</v>
      </c>
      <c r="B19" s="249">
        <v>900000</v>
      </c>
      <c r="C19" s="210">
        <f t="shared" si="0"/>
        <v>720000</v>
      </c>
      <c r="D19" s="210">
        <f t="shared" si="1"/>
        <v>180000</v>
      </c>
      <c r="E19" s="551" t="s">
        <v>296</v>
      </c>
    </row>
    <row r="20" spans="1:5" x14ac:dyDescent="0.2">
      <c r="A20" s="544" t="s">
        <v>26</v>
      </c>
      <c r="B20" s="249">
        <v>2255000</v>
      </c>
      <c r="C20" s="210">
        <f t="shared" si="0"/>
        <v>1804000</v>
      </c>
      <c r="D20" s="210">
        <f t="shared" si="1"/>
        <v>451000</v>
      </c>
      <c r="E20" s="551" t="s">
        <v>295</v>
      </c>
    </row>
    <row r="21" spans="1:5" x14ac:dyDescent="0.2">
      <c r="A21" s="544" t="s">
        <v>27</v>
      </c>
      <c r="B21" s="249">
        <v>0</v>
      </c>
      <c r="C21" s="210">
        <f t="shared" si="0"/>
        <v>0</v>
      </c>
      <c r="D21" s="210">
        <f t="shared" si="1"/>
        <v>0</v>
      </c>
      <c r="E21" s="537"/>
    </row>
    <row r="22" spans="1:5" x14ac:dyDescent="0.2">
      <c r="A22" s="544" t="s">
        <v>29</v>
      </c>
      <c r="B22" s="249">
        <v>0</v>
      </c>
      <c r="C22" s="210">
        <f t="shared" si="0"/>
        <v>0</v>
      </c>
      <c r="D22" s="210">
        <f t="shared" si="1"/>
        <v>0</v>
      </c>
      <c r="E22" s="537"/>
    </row>
    <row r="23" spans="1:5" x14ac:dyDescent="0.2">
      <c r="A23" s="544" t="s">
        <v>30</v>
      </c>
      <c r="B23" s="249">
        <v>0</v>
      </c>
      <c r="C23" s="210">
        <f t="shared" si="0"/>
        <v>0</v>
      </c>
      <c r="D23" s="210">
        <f t="shared" si="1"/>
        <v>0</v>
      </c>
      <c r="E23" s="537"/>
    </row>
    <row r="24" spans="1:5" x14ac:dyDescent="0.2">
      <c r="A24" s="544" t="s">
        <v>31</v>
      </c>
      <c r="B24" s="250">
        <v>0</v>
      </c>
      <c r="C24" s="210">
        <f t="shared" si="0"/>
        <v>0</v>
      </c>
      <c r="D24" s="210">
        <f t="shared" si="1"/>
        <v>0</v>
      </c>
      <c r="E24" s="537"/>
    </row>
    <row r="25" spans="1:5" x14ac:dyDescent="0.2">
      <c r="A25" s="544" t="s">
        <v>177</v>
      </c>
      <c r="B25" s="249">
        <v>0</v>
      </c>
      <c r="C25" s="210">
        <f t="shared" si="0"/>
        <v>0</v>
      </c>
      <c r="D25" s="210">
        <f t="shared" si="1"/>
        <v>0</v>
      </c>
      <c r="E25" s="537"/>
    </row>
    <row r="26" spans="1:5" x14ac:dyDescent="0.2">
      <c r="A26" s="544" t="s">
        <v>32</v>
      </c>
      <c r="B26" s="249">
        <v>0</v>
      </c>
      <c r="C26" s="210">
        <f t="shared" si="0"/>
        <v>0</v>
      </c>
      <c r="D26" s="210">
        <f t="shared" si="1"/>
        <v>0</v>
      </c>
      <c r="E26" s="537"/>
    </row>
    <row r="27" spans="1:5" ht="29.25" customHeight="1" x14ac:dyDescent="0.2">
      <c r="A27" s="543" t="s">
        <v>178</v>
      </c>
      <c r="B27" s="249">
        <v>1650000</v>
      </c>
      <c r="C27" s="210">
        <f t="shared" si="0"/>
        <v>1320000</v>
      </c>
      <c r="D27" s="210">
        <f t="shared" si="1"/>
        <v>330000</v>
      </c>
      <c r="E27" s="555" t="s">
        <v>299</v>
      </c>
    </row>
    <row r="28" spans="1:5" x14ac:dyDescent="0.2">
      <c r="A28" s="544" t="s">
        <v>179</v>
      </c>
      <c r="B28" s="250"/>
      <c r="C28" s="210">
        <f t="shared" si="0"/>
        <v>0</v>
      </c>
      <c r="D28" s="210">
        <f t="shared" si="1"/>
        <v>0</v>
      </c>
      <c r="E28" s="551"/>
    </row>
    <row r="29" spans="1:5" x14ac:dyDescent="0.2">
      <c r="A29" s="545" t="s">
        <v>34</v>
      </c>
      <c r="B29" s="252">
        <v>0</v>
      </c>
      <c r="C29" s="253"/>
      <c r="D29" s="253"/>
      <c r="E29" s="537"/>
    </row>
    <row r="30" spans="1:5" x14ac:dyDescent="0.2">
      <c r="A30" s="546" t="s">
        <v>35</v>
      </c>
      <c r="B30" s="255"/>
      <c r="C30" s="256"/>
      <c r="D30" s="256"/>
      <c r="E30" s="537"/>
    </row>
    <row r="31" spans="1:5" x14ac:dyDescent="0.2">
      <c r="A31" s="544" t="s">
        <v>41</v>
      </c>
      <c r="B31" s="249"/>
      <c r="C31" s="210">
        <f t="shared" si="0"/>
        <v>0</v>
      </c>
      <c r="D31" s="210">
        <f t="shared" si="1"/>
        <v>0</v>
      </c>
      <c r="E31" s="539"/>
    </row>
    <row r="32" spans="1:5" ht="25.5" x14ac:dyDescent="0.2">
      <c r="A32" s="543" t="s">
        <v>182</v>
      </c>
      <c r="B32" s="249">
        <v>172932.80000000002</v>
      </c>
      <c r="C32" s="210">
        <f t="shared" si="0"/>
        <v>138346.24000000002</v>
      </c>
      <c r="D32" s="210">
        <f t="shared" si="1"/>
        <v>34586.560000000005</v>
      </c>
      <c r="E32" s="552" t="s">
        <v>307</v>
      </c>
    </row>
    <row r="33" spans="1:7" x14ac:dyDescent="0.2">
      <c r="A33" s="546" t="s">
        <v>42</v>
      </c>
      <c r="B33" s="255"/>
      <c r="C33" s="256"/>
      <c r="D33" s="256"/>
    </row>
    <row r="34" spans="1:7" x14ac:dyDescent="0.2">
      <c r="A34" s="544" t="s">
        <v>44</v>
      </c>
      <c r="B34" s="249">
        <v>0</v>
      </c>
      <c r="C34" s="210">
        <f t="shared" si="0"/>
        <v>0</v>
      </c>
      <c r="D34" s="210">
        <f t="shared" si="1"/>
        <v>0</v>
      </c>
    </row>
    <row r="35" spans="1:7" x14ac:dyDescent="0.2">
      <c r="A35" s="546" t="s">
        <v>45</v>
      </c>
      <c r="B35" s="257"/>
      <c r="C35" s="258"/>
      <c r="D35" s="258"/>
    </row>
    <row r="36" spans="1:7" ht="25.5" x14ac:dyDescent="0.2">
      <c r="A36" s="544" t="s">
        <v>47</v>
      </c>
      <c r="B36" s="249">
        <v>100000</v>
      </c>
      <c r="C36" s="210">
        <f t="shared" si="0"/>
        <v>80000</v>
      </c>
      <c r="D36" s="210">
        <f t="shared" si="1"/>
        <v>20000</v>
      </c>
      <c r="E36" s="539" t="s">
        <v>308</v>
      </c>
      <c r="F36" s="538"/>
    </row>
    <row r="37" spans="1:7" ht="38.25" x14ac:dyDescent="0.2">
      <c r="A37" s="544" t="s">
        <v>210</v>
      </c>
      <c r="B37" s="249">
        <v>50000</v>
      </c>
      <c r="C37" s="210">
        <f t="shared" si="0"/>
        <v>40000</v>
      </c>
      <c r="D37" s="210">
        <f t="shared" si="1"/>
        <v>10000</v>
      </c>
      <c r="E37" s="539" t="s">
        <v>301</v>
      </c>
    </row>
    <row r="38" spans="1:7" ht="38.25" x14ac:dyDescent="0.2">
      <c r="A38" s="544" t="s">
        <v>49</v>
      </c>
      <c r="B38" s="249"/>
      <c r="C38" s="210">
        <f t="shared" si="0"/>
        <v>0</v>
      </c>
      <c r="D38" s="210">
        <f t="shared" si="1"/>
        <v>0</v>
      </c>
      <c r="E38" s="553" t="s">
        <v>313</v>
      </c>
    </row>
    <row r="39" spans="1:7" ht="25.5" x14ac:dyDescent="0.2">
      <c r="A39" s="544" t="s">
        <v>50</v>
      </c>
      <c r="B39" s="249">
        <v>1680000</v>
      </c>
      <c r="C39" s="210">
        <f t="shared" si="0"/>
        <v>1344000</v>
      </c>
      <c r="D39" s="210">
        <f t="shared" si="1"/>
        <v>336000</v>
      </c>
      <c r="E39" s="539" t="s">
        <v>314</v>
      </c>
      <c r="F39" s="538"/>
      <c r="G39" s="538"/>
    </row>
    <row r="40" spans="1:7" x14ac:dyDescent="0.2">
      <c r="A40" s="544" t="s">
        <v>51</v>
      </c>
      <c r="B40" s="249"/>
      <c r="C40" s="210">
        <f t="shared" si="0"/>
        <v>0</v>
      </c>
      <c r="D40" s="210">
        <f t="shared" si="1"/>
        <v>0</v>
      </c>
      <c r="E40" s="552" t="s">
        <v>310</v>
      </c>
    </row>
    <row r="41" spans="1:7" ht="38.25" x14ac:dyDescent="0.2">
      <c r="A41" s="544" t="s">
        <v>52</v>
      </c>
      <c r="B41" s="250"/>
      <c r="C41" s="210">
        <f t="shared" si="0"/>
        <v>0</v>
      </c>
      <c r="D41" s="210">
        <f t="shared" si="1"/>
        <v>0</v>
      </c>
      <c r="E41" s="539" t="s">
        <v>315</v>
      </c>
    </row>
    <row r="42" spans="1:7" ht="38.25" x14ac:dyDescent="0.2">
      <c r="A42" s="543" t="s">
        <v>183</v>
      </c>
      <c r="B42" s="250">
        <v>200000</v>
      </c>
      <c r="C42" s="210">
        <f t="shared" si="0"/>
        <v>160000</v>
      </c>
      <c r="D42" s="210">
        <f t="shared" si="1"/>
        <v>40000</v>
      </c>
      <c r="E42" s="554" t="s">
        <v>316</v>
      </c>
    </row>
    <row r="43" spans="1:7" ht="25.5" x14ac:dyDescent="0.2">
      <c r="A43" s="544" t="s">
        <v>175</v>
      </c>
      <c r="B43" s="249"/>
      <c r="C43" s="210">
        <f t="shared" si="0"/>
        <v>0</v>
      </c>
      <c r="D43" s="210">
        <f t="shared" si="1"/>
        <v>0</v>
      </c>
      <c r="E43" s="539" t="s">
        <v>302</v>
      </c>
    </row>
    <row r="44" spans="1:7" x14ac:dyDescent="0.2">
      <c r="A44" s="546" t="s">
        <v>55</v>
      </c>
      <c r="B44" s="257"/>
      <c r="C44" s="258"/>
      <c r="D44" s="258"/>
    </row>
    <row r="45" spans="1:7" x14ac:dyDescent="0.2">
      <c r="A45" s="544" t="s">
        <v>56</v>
      </c>
      <c r="B45" s="249">
        <v>0</v>
      </c>
      <c r="C45" s="210">
        <f t="shared" si="0"/>
        <v>0</v>
      </c>
      <c r="D45" s="210">
        <f t="shared" si="1"/>
        <v>0</v>
      </c>
    </row>
    <row r="46" spans="1:7" ht="25.5" x14ac:dyDescent="0.2">
      <c r="A46" s="544" t="s">
        <v>57</v>
      </c>
      <c r="B46" s="249">
        <v>150000</v>
      </c>
      <c r="C46" s="210">
        <f t="shared" si="0"/>
        <v>120000</v>
      </c>
      <c r="D46" s="210">
        <f t="shared" si="1"/>
        <v>30000</v>
      </c>
      <c r="E46" s="539" t="s">
        <v>303</v>
      </c>
      <c r="F46" s="538"/>
    </row>
    <row r="47" spans="1:7" x14ac:dyDescent="0.2">
      <c r="A47" s="544" t="s">
        <v>166</v>
      </c>
      <c r="B47" s="249">
        <v>0</v>
      </c>
      <c r="C47" s="210">
        <f t="shared" si="0"/>
        <v>0</v>
      </c>
      <c r="D47" s="210">
        <f t="shared" si="1"/>
        <v>0</v>
      </c>
      <c r="E47" s="538"/>
    </row>
    <row r="48" spans="1:7" ht="25.5" x14ac:dyDescent="0.2">
      <c r="A48" s="544" t="s">
        <v>184</v>
      </c>
      <c r="B48" s="249">
        <v>350000</v>
      </c>
      <c r="C48" s="210">
        <f t="shared" si="0"/>
        <v>280000</v>
      </c>
      <c r="D48" s="210">
        <f t="shared" si="1"/>
        <v>70000</v>
      </c>
      <c r="E48" s="539" t="s">
        <v>304</v>
      </c>
      <c r="F48" s="538"/>
    </row>
    <row r="49" spans="1:5" x14ac:dyDescent="0.2">
      <c r="A49" s="544" t="s">
        <v>187</v>
      </c>
      <c r="B49" s="249"/>
      <c r="C49" s="210">
        <f t="shared" si="0"/>
        <v>0</v>
      </c>
      <c r="D49" s="210">
        <f t="shared" si="1"/>
        <v>0</v>
      </c>
      <c r="E49" s="552" t="s">
        <v>317</v>
      </c>
    </row>
    <row r="50" spans="1:5" ht="38.25" x14ac:dyDescent="0.2">
      <c r="A50" s="544" t="s">
        <v>185</v>
      </c>
      <c r="B50" s="249">
        <v>600000</v>
      </c>
      <c r="C50" s="210">
        <f t="shared" si="0"/>
        <v>480000</v>
      </c>
      <c r="D50" s="210">
        <f t="shared" si="1"/>
        <v>120000</v>
      </c>
      <c r="E50" s="539" t="s">
        <v>318</v>
      </c>
    </row>
    <row r="51" spans="1:5" x14ac:dyDescent="0.2">
      <c r="A51" s="544" t="s">
        <v>64</v>
      </c>
      <c r="B51" s="249">
        <v>2287729</v>
      </c>
      <c r="C51" s="210">
        <f t="shared" si="0"/>
        <v>1830183.2000000002</v>
      </c>
      <c r="D51" s="210">
        <f t="shared" si="1"/>
        <v>457545.80000000005</v>
      </c>
      <c r="E51" s="537"/>
    </row>
    <row r="52" spans="1:5" x14ac:dyDescent="0.2">
      <c r="A52" s="546" t="s">
        <v>65</v>
      </c>
      <c r="B52" s="259"/>
      <c r="C52" s="258"/>
      <c r="D52" s="258"/>
    </row>
    <row r="53" spans="1:5" ht="25.5" x14ac:dyDescent="0.2">
      <c r="A53" s="544" t="s">
        <v>98</v>
      </c>
      <c r="B53" s="249">
        <v>600000</v>
      </c>
      <c r="C53" s="210">
        <f t="shared" si="0"/>
        <v>480000</v>
      </c>
      <c r="D53" s="210">
        <f t="shared" si="1"/>
        <v>120000</v>
      </c>
      <c r="E53" s="539" t="s">
        <v>305</v>
      </c>
    </row>
    <row r="54" spans="1:5" x14ac:dyDescent="0.2">
      <c r="A54" s="544" t="s">
        <v>99</v>
      </c>
      <c r="B54" s="249"/>
      <c r="C54" s="210">
        <f t="shared" si="0"/>
        <v>0</v>
      </c>
      <c r="D54" s="210">
        <f t="shared" si="1"/>
        <v>0</v>
      </c>
      <c r="E54" s="552" t="s">
        <v>309</v>
      </c>
    </row>
    <row r="55" spans="1:5" ht="25.5" x14ac:dyDescent="0.2">
      <c r="A55" s="544" t="s">
        <v>188</v>
      </c>
      <c r="B55" s="249">
        <v>1500000</v>
      </c>
      <c r="C55" s="210">
        <f t="shared" si="0"/>
        <v>1200000</v>
      </c>
      <c r="D55" s="210">
        <f t="shared" si="1"/>
        <v>300000</v>
      </c>
      <c r="E55" s="539" t="s">
        <v>300</v>
      </c>
    </row>
    <row r="56" spans="1:5" x14ac:dyDescent="0.2">
      <c r="A56" s="544" t="s">
        <v>101</v>
      </c>
      <c r="B56" s="249">
        <v>0</v>
      </c>
      <c r="C56" s="210">
        <f t="shared" si="0"/>
        <v>0</v>
      </c>
      <c r="D56" s="210">
        <f t="shared" si="1"/>
        <v>0</v>
      </c>
    </row>
    <row r="57" spans="1:5" ht="38.25" x14ac:dyDescent="0.2">
      <c r="A57" s="543" t="s">
        <v>189</v>
      </c>
      <c r="B57" s="249">
        <v>600000</v>
      </c>
      <c r="C57" s="210">
        <f t="shared" si="0"/>
        <v>480000</v>
      </c>
      <c r="D57" s="210">
        <f t="shared" si="1"/>
        <v>120000</v>
      </c>
      <c r="E57" s="539" t="s">
        <v>319</v>
      </c>
    </row>
    <row r="58" spans="1:5" ht="38.25" x14ac:dyDescent="0.2">
      <c r="A58" s="544" t="s">
        <v>103</v>
      </c>
      <c r="B58" s="249">
        <v>600000</v>
      </c>
      <c r="C58" s="210">
        <f t="shared" si="0"/>
        <v>480000</v>
      </c>
      <c r="D58" s="210">
        <f t="shared" si="1"/>
        <v>120000</v>
      </c>
      <c r="E58" s="539" t="s">
        <v>306</v>
      </c>
    </row>
    <row r="59" spans="1:5" x14ac:dyDescent="0.2">
      <c r="A59" s="547" t="s">
        <v>211</v>
      </c>
      <c r="B59" s="249"/>
      <c r="C59" s="210">
        <f t="shared" si="0"/>
        <v>0</v>
      </c>
      <c r="D59" s="210">
        <f t="shared" si="1"/>
        <v>0</v>
      </c>
      <c r="E59" s="539"/>
    </row>
    <row r="60" spans="1:5" x14ac:dyDescent="0.2">
      <c r="A60" s="537"/>
      <c r="B60" s="537"/>
      <c r="C60" s="537"/>
      <c r="D60" s="537"/>
    </row>
    <row r="61" spans="1:5" x14ac:dyDescent="0.2">
      <c r="A61" s="537"/>
      <c r="B61" s="537"/>
      <c r="C61" s="537"/>
      <c r="D61" s="537"/>
    </row>
  </sheetData>
  <mergeCells count="5">
    <mergeCell ref="A8:A9"/>
    <mergeCell ref="B8:B9"/>
    <mergeCell ref="C8:C9"/>
    <mergeCell ref="D8:D9"/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topLeftCell="C7" zoomScale="90" zoomScaleNormal="90" workbookViewId="0">
      <selection activeCell="K36" sqref="K36"/>
    </sheetView>
  </sheetViews>
  <sheetFormatPr baseColWidth="10" defaultColWidth="11.42578125" defaultRowHeight="15" x14ac:dyDescent="0.25"/>
  <cols>
    <col min="1" max="1" width="38.140625" style="388" bestFit="1" customWidth="1"/>
    <col min="2" max="13" width="13.85546875" style="388" bestFit="1" customWidth="1"/>
    <col min="14" max="14" width="14.85546875" style="388" bestFit="1" customWidth="1"/>
    <col min="15" max="15" width="13.85546875" style="388" bestFit="1" customWidth="1"/>
    <col min="16" max="16384" width="11.42578125" style="388"/>
  </cols>
  <sheetData>
    <row r="2" spans="1:15" ht="15.75" x14ac:dyDescent="0.25">
      <c r="A2" s="717" t="s">
        <v>245</v>
      </c>
      <c r="B2" s="717"/>
      <c r="C2" s="717"/>
      <c r="D2" s="717"/>
    </row>
    <row r="4" spans="1:15" x14ac:dyDescent="0.25">
      <c r="A4" s="399" t="s">
        <v>250</v>
      </c>
      <c r="B4" s="389" t="s">
        <v>228</v>
      </c>
      <c r="C4" s="389" t="s">
        <v>229</v>
      </c>
      <c r="D4" s="389" t="s">
        <v>230</v>
      </c>
      <c r="E4" s="389" t="s">
        <v>231</v>
      </c>
      <c r="F4" s="389" t="s">
        <v>232</v>
      </c>
      <c r="G4" s="389" t="s">
        <v>233</v>
      </c>
      <c r="H4" s="389" t="s">
        <v>234</v>
      </c>
      <c r="I4" s="389" t="s">
        <v>235</v>
      </c>
      <c r="J4" s="389" t="s">
        <v>236</v>
      </c>
      <c r="K4" s="389" t="s">
        <v>237</v>
      </c>
      <c r="L4" s="389" t="s">
        <v>238</v>
      </c>
      <c r="M4" s="389" t="s">
        <v>239</v>
      </c>
    </row>
    <row r="5" spans="1:15" x14ac:dyDescent="0.25">
      <c r="A5" s="390" t="s">
        <v>246</v>
      </c>
      <c r="B5" s="391"/>
      <c r="C5" s="391"/>
      <c r="D5" s="391">
        <f>+'B) Reajuste Tarifas y Ocupación'!$I$25</f>
        <v>62</v>
      </c>
      <c r="E5" s="391">
        <f>+'B) Reajuste Tarifas y Ocupación'!$I$25</f>
        <v>62</v>
      </c>
      <c r="F5" s="391">
        <f>+'B) Reajuste Tarifas y Ocupación'!$I$25</f>
        <v>62</v>
      </c>
      <c r="G5" s="391">
        <f>+'B) Reajuste Tarifas y Ocupación'!$I$25</f>
        <v>62</v>
      </c>
      <c r="H5" s="391">
        <f>+'B) Reajuste Tarifas y Ocupación'!$I$25</f>
        <v>62</v>
      </c>
      <c r="I5" s="391">
        <f>+'B) Reajuste Tarifas y Ocupación'!$I$25</f>
        <v>62</v>
      </c>
      <c r="J5" s="391">
        <f>+'B) Reajuste Tarifas y Ocupación'!$I$25</f>
        <v>62</v>
      </c>
      <c r="K5" s="391">
        <f>+'B) Reajuste Tarifas y Ocupación'!$I$25</f>
        <v>62</v>
      </c>
      <c r="L5" s="391">
        <f>+'B) Reajuste Tarifas y Ocupación'!$I$25</f>
        <v>62</v>
      </c>
      <c r="M5" s="391">
        <f>+'B) Reajuste Tarifas y Ocupación'!$I$25</f>
        <v>62</v>
      </c>
    </row>
    <row r="6" spans="1:15" x14ac:dyDescent="0.25">
      <c r="A6" s="390" t="s">
        <v>247</v>
      </c>
      <c r="B6" s="391">
        <f>+COUNTA('F) Remuneraciones'!$C$11:$C$22)</f>
        <v>3</v>
      </c>
      <c r="C6" s="391">
        <f>+COUNTA('F) Remuneraciones'!$C$11:$C$22)</f>
        <v>3</v>
      </c>
      <c r="D6" s="391">
        <f>+COUNTA('F) Remuneraciones'!$C$11:$C$22)</f>
        <v>3</v>
      </c>
      <c r="E6" s="391">
        <f>+COUNTA('F) Remuneraciones'!$C$11:$C$22)</f>
        <v>3</v>
      </c>
      <c r="F6" s="391">
        <f>+COUNTA('F) Remuneraciones'!$C$11:$C$22)</f>
        <v>3</v>
      </c>
      <c r="G6" s="391">
        <f>+COUNTA('F) Remuneraciones'!$C$11:$C$22)</f>
        <v>3</v>
      </c>
      <c r="H6" s="391">
        <f>+COUNTA('F) Remuneraciones'!$C$11:$C$22)</f>
        <v>3</v>
      </c>
      <c r="I6" s="391">
        <f>+COUNTA('F) Remuneraciones'!$C$11:$C$22)</f>
        <v>3</v>
      </c>
      <c r="J6" s="391">
        <f>+COUNTA('F) Remuneraciones'!$C$11:$C$22)</f>
        <v>3</v>
      </c>
      <c r="K6" s="391">
        <f>+COUNTA('F) Remuneraciones'!$C$11:$C$22)</f>
        <v>3</v>
      </c>
      <c r="L6" s="391">
        <f>+COUNTA('F) Remuneraciones'!$C$11:$C$22)</f>
        <v>3</v>
      </c>
      <c r="M6" s="391">
        <f>+COUNTA('F) Remuneraciones'!$C$11:$C$22)</f>
        <v>3</v>
      </c>
    </row>
    <row r="7" spans="1:15" x14ac:dyDescent="0.25">
      <c r="A7" s="390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</row>
    <row r="8" spans="1:15" ht="30" x14ac:dyDescent="0.25">
      <c r="A8" s="393" t="str">
        <f>+'A) Resumen Ingresos y Egresos'!A21</f>
        <v>Jardín Infantil Olitas de Mar</v>
      </c>
      <c r="B8" s="389" t="s">
        <v>228</v>
      </c>
      <c r="C8" s="389" t="s">
        <v>229</v>
      </c>
      <c r="D8" s="389" t="s">
        <v>230</v>
      </c>
      <c r="E8" s="389" t="s">
        <v>231</v>
      </c>
      <c r="F8" s="389" t="s">
        <v>232</v>
      </c>
      <c r="G8" s="389" t="s">
        <v>233</v>
      </c>
      <c r="H8" s="389" t="s">
        <v>234</v>
      </c>
      <c r="I8" s="389" t="s">
        <v>235</v>
      </c>
      <c r="J8" s="389" t="s">
        <v>236</v>
      </c>
      <c r="K8" s="389" t="s">
        <v>237</v>
      </c>
      <c r="L8" s="389" t="s">
        <v>238</v>
      </c>
      <c r="M8" s="389" t="s">
        <v>239</v>
      </c>
      <c r="N8" s="389" t="s">
        <v>248</v>
      </c>
    </row>
    <row r="9" spans="1:15" x14ac:dyDescent="0.25">
      <c r="A9" s="394" t="s">
        <v>240</v>
      </c>
      <c r="B9" s="395">
        <f>+'A) Resumen Ingresos y Egresos'!P30</f>
        <v>2207900</v>
      </c>
      <c r="C9" s="395">
        <f>+'A) Resumen Ingresos y Egresos'!N30*0.7</f>
        <v>6030920</v>
      </c>
      <c r="D9" s="395">
        <f>+'A) Resumen Ingresos y Egresos'!N30*0.3+'A) Resumen Ingresos y Egresos'!O30*0.1</f>
        <v>11200280</v>
      </c>
      <c r="E9" s="395">
        <f>+'A) Resumen Ingresos y Egresos'!$O$30*0.1</f>
        <v>8615600</v>
      </c>
      <c r="F9" s="395">
        <f>+'A) Resumen Ingresos y Egresos'!$O$30*0.1</f>
        <v>8615600</v>
      </c>
      <c r="G9" s="395">
        <f>+'A) Resumen Ingresos y Egresos'!$O$30*0.1</f>
        <v>8615600</v>
      </c>
      <c r="H9" s="395">
        <f>+'A) Resumen Ingresos y Egresos'!$O$30*0.1</f>
        <v>8615600</v>
      </c>
      <c r="I9" s="395">
        <f>+'A) Resumen Ingresos y Egresos'!$O$30*0.1</f>
        <v>8615600</v>
      </c>
      <c r="J9" s="395">
        <f>+'A) Resumen Ingresos y Egresos'!$O$30*0.1</f>
        <v>8615600</v>
      </c>
      <c r="K9" s="395">
        <f>+'A) Resumen Ingresos y Egresos'!$O$30*0.1</f>
        <v>8615600</v>
      </c>
      <c r="L9" s="395">
        <f>+'A) Resumen Ingresos y Egresos'!$O$30*0.1</f>
        <v>8615600</v>
      </c>
      <c r="M9" s="395">
        <f>+'A) Resumen Ingresos y Egresos'!$O$30*0.1</f>
        <v>8615600</v>
      </c>
      <c r="N9" s="396">
        <f>SUM(B9:M9)</f>
        <v>96979500</v>
      </c>
    </row>
    <row r="10" spans="1:15" x14ac:dyDescent="0.25">
      <c r="A10" s="394" t="s">
        <v>241</v>
      </c>
      <c r="B10" s="395">
        <f>SUM('F) Remuneraciones'!$H$11:$H$22)/12</f>
        <v>2114392.3800000004</v>
      </c>
      <c r="C10" s="395">
        <f>SUM('F) Remuneraciones'!$H$11:$H$22)/12</f>
        <v>2114392.3800000004</v>
      </c>
      <c r="D10" s="395">
        <f>SUM('F) Remuneraciones'!$H$11:$H$22)/12</f>
        <v>2114392.3800000004</v>
      </c>
      <c r="E10" s="395">
        <f>SUM('F) Remuneraciones'!$H$11:$H$22)/12</f>
        <v>2114392.3800000004</v>
      </c>
      <c r="F10" s="395">
        <f>SUM('F) Remuneraciones'!$H$11:$H$22)/12</f>
        <v>2114392.3800000004</v>
      </c>
      <c r="G10" s="395">
        <f>SUM('F) Remuneraciones'!$H$11:$H$22)/12</f>
        <v>2114392.3800000004</v>
      </c>
      <c r="H10" s="395">
        <f>SUM('F) Remuneraciones'!$H$11:$H$22)/12</f>
        <v>2114392.3800000004</v>
      </c>
      <c r="I10" s="395">
        <f>SUM('F) Remuneraciones'!$H$11:$H$22)/12</f>
        <v>2114392.3800000004</v>
      </c>
      <c r="J10" s="395">
        <f>SUM('F) Remuneraciones'!$H$11:$H$22)/12</f>
        <v>2114392.3800000004</v>
      </c>
      <c r="K10" s="395">
        <f>SUM('F) Remuneraciones'!$H$11:$H$22)/12</f>
        <v>2114392.3800000004</v>
      </c>
      <c r="L10" s="395">
        <f>SUM('F) Remuneraciones'!$H$11:$H$22)/12</f>
        <v>2114392.3800000004</v>
      </c>
      <c r="M10" s="395">
        <f>SUM('F) Remuneraciones'!$H$11:$H$22)/12</f>
        <v>2114392.3800000004</v>
      </c>
      <c r="N10" s="396">
        <f t="shared" ref="N10:N12" si="0">SUM(B10:M10)</f>
        <v>25372708.559999999</v>
      </c>
    </row>
    <row r="11" spans="1:15" x14ac:dyDescent="0.25">
      <c r="A11" s="394" t="s">
        <v>243</v>
      </c>
      <c r="B11" s="395">
        <f>SUM('F) Remuneraciones'!I11:I22)*0.5</f>
        <v>440790</v>
      </c>
      <c r="C11" s="395">
        <v>0</v>
      </c>
      <c r="D11" s="395">
        <v>0</v>
      </c>
      <c r="E11" s="395">
        <v>0</v>
      </c>
      <c r="F11" s="395">
        <v>0</v>
      </c>
      <c r="G11" s="395">
        <v>0</v>
      </c>
      <c r="H11" s="395">
        <v>0</v>
      </c>
      <c r="I11" s="395">
        <v>0</v>
      </c>
      <c r="J11" s="395">
        <f>SUM('F) Remuneraciones'!J11:J22)*0.5</f>
        <v>243591</v>
      </c>
      <c r="K11" s="395">
        <v>0</v>
      </c>
      <c r="L11" s="395">
        <v>0</v>
      </c>
      <c r="M11" s="395">
        <f>+B11+J11</f>
        <v>684381</v>
      </c>
      <c r="N11" s="396">
        <f t="shared" si="0"/>
        <v>1368762</v>
      </c>
    </row>
    <row r="12" spans="1:15" x14ac:dyDescent="0.25">
      <c r="A12" s="394" t="s">
        <v>242</v>
      </c>
      <c r="B12" s="395">
        <f>(+'C) Costos Directos'!$H$75-'C) Costos Directos'!$D$14)*0.05</f>
        <v>2395424.372</v>
      </c>
      <c r="C12" s="395">
        <f>(+'C) Costos Directos'!$H$75-'C) Costos Directos'!$D$14)*0.05</f>
        <v>2395424.372</v>
      </c>
      <c r="D12" s="395">
        <f>(+'C) Costos Directos'!$H$75-'C) Costos Directos'!$D$14)*0.09</f>
        <v>4311763.8695999999</v>
      </c>
      <c r="E12" s="395">
        <f>(+'C) Costos Directos'!$H$75-'C) Costos Directos'!$D$14)*0.09</f>
        <v>4311763.8695999999</v>
      </c>
      <c r="F12" s="395">
        <f>(+'C) Costos Directos'!$H$75-'C) Costos Directos'!$D$14)*0.09</f>
        <v>4311763.8695999999</v>
      </c>
      <c r="G12" s="395">
        <f>(+'C) Costos Directos'!$H$75-'C) Costos Directos'!$D$14)*0.09</f>
        <v>4311763.8695999999</v>
      </c>
      <c r="H12" s="395">
        <f>(+'C) Costos Directos'!$H$75-'C) Costos Directos'!$D$14)*0.09</f>
        <v>4311763.8695999999</v>
      </c>
      <c r="I12" s="395">
        <f>(+'C) Costos Directos'!$H$75-'C) Costos Directos'!$D$14)*0.09</f>
        <v>4311763.8695999999</v>
      </c>
      <c r="J12" s="395">
        <f>(+'C) Costos Directos'!$H$75-'C) Costos Directos'!$D$14)*0.09</f>
        <v>4311763.8695999999</v>
      </c>
      <c r="K12" s="395">
        <f>(+'C) Costos Directos'!$H$75-'C) Costos Directos'!$D$14)*0.09</f>
        <v>4311763.8695999999</v>
      </c>
      <c r="L12" s="395">
        <f>(+'C) Costos Directos'!$H$75-'C) Costos Directos'!$D$14)*0.09</f>
        <v>4311763.8695999999</v>
      </c>
      <c r="M12" s="395">
        <f>(+'C) Costos Directos'!$H$75-'C) Costos Directos'!$D$14)*0.09</f>
        <v>4311763.8695999999</v>
      </c>
      <c r="N12" s="396">
        <f t="shared" si="0"/>
        <v>47908487.43999999</v>
      </c>
      <c r="O12" s="395"/>
    </row>
    <row r="13" spans="1:15" x14ac:dyDescent="0.25">
      <c r="A13" s="397" t="s">
        <v>249</v>
      </c>
      <c r="B13" s="398">
        <f t="shared" ref="B13:M13" si="1">+B9-B10-B11-B12</f>
        <v>-2742706.7520000003</v>
      </c>
      <c r="C13" s="398">
        <f t="shared" si="1"/>
        <v>1521103.2479999997</v>
      </c>
      <c r="D13" s="398">
        <f t="shared" si="1"/>
        <v>4774123.7503999993</v>
      </c>
      <c r="E13" s="398">
        <f t="shared" si="1"/>
        <v>2189443.7503999993</v>
      </c>
      <c r="F13" s="398">
        <f t="shared" si="1"/>
        <v>2189443.7503999993</v>
      </c>
      <c r="G13" s="398">
        <f t="shared" si="1"/>
        <v>2189443.7503999993</v>
      </c>
      <c r="H13" s="398">
        <f t="shared" si="1"/>
        <v>2189443.7503999993</v>
      </c>
      <c r="I13" s="398">
        <f t="shared" si="1"/>
        <v>2189443.7503999993</v>
      </c>
      <c r="J13" s="398">
        <f t="shared" si="1"/>
        <v>1945852.7503999993</v>
      </c>
      <c r="K13" s="398">
        <f t="shared" si="1"/>
        <v>2189443.7503999993</v>
      </c>
      <c r="L13" s="398">
        <f t="shared" si="1"/>
        <v>2189443.7503999993</v>
      </c>
      <c r="M13" s="398">
        <f t="shared" si="1"/>
        <v>1505062.7503999993</v>
      </c>
      <c r="N13" s="398">
        <f>+N9-N10-N11-N12</f>
        <v>22329542.000000007</v>
      </c>
      <c r="O13" s="395"/>
    </row>
    <row r="16" spans="1:15" x14ac:dyDescent="0.25">
      <c r="A16" s="399" t="s">
        <v>250</v>
      </c>
      <c r="B16" s="389" t="s">
        <v>228</v>
      </c>
      <c r="C16" s="389" t="s">
        <v>229</v>
      </c>
      <c r="D16" s="389" t="s">
        <v>230</v>
      </c>
      <c r="E16" s="389" t="s">
        <v>231</v>
      </c>
      <c r="F16" s="389" t="s">
        <v>232</v>
      </c>
      <c r="G16" s="389" t="s">
        <v>233</v>
      </c>
      <c r="H16" s="389" t="s">
        <v>234</v>
      </c>
      <c r="I16" s="389" t="s">
        <v>235</v>
      </c>
      <c r="J16" s="389" t="s">
        <v>236</v>
      </c>
      <c r="K16" s="389" t="s">
        <v>237</v>
      </c>
      <c r="L16" s="389" t="s">
        <v>238</v>
      </c>
      <c r="M16" s="389" t="s">
        <v>239</v>
      </c>
    </row>
    <row r="17" spans="1:14" x14ac:dyDescent="0.25">
      <c r="A17" s="390" t="s">
        <v>246</v>
      </c>
      <c r="B17" s="391"/>
      <c r="C17" s="391"/>
      <c r="D17" s="391">
        <f>+'B) Reajuste Tarifas y Ocupación'!$I$28</f>
        <v>9</v>
      </c>
      <c r="E17" s="391">
        <f>+'B) Reajuste Tarifas y Ocupación'!$I$28</f>
        <v>9</v>
      </c>
      <c r="F17" s="391">
        <f>+'B) Reajuste Tarifas y Ocupación'!$I$28</f>
        <v>9</v>
      </c>
      <c r="G17" s="391">
        <f>+'B) Reajuste Tarifas y Ocupación'!$I$28</f>
        <v>9</v>
      </c>
      <c r="H17" s="391">
        <f>+'B) Reajuste Tarifas y Ocupación'!$I$28</f>
        <v>9</v>
      </c>
      <c r="I17" s="391">
        <f>+'B) Reajuste Tarifas y Ocupación'!$I$28</f>
        <v>9</v>
      </c>
      <c r="J17" s="391">
        <f>+'B) Reajuste Tarifas y Ocupación'!$I$28</f>
        <v>9</v>
      </c>
      <c r="K17" s="391">
        <f>+'B) Reajuste Tarifas y Ocupación'!$I$28</f>
        <v>9</v>
      </c>
      <c r="L17" s="391">
        <f>+'B) Reajuste Tarifas y Ocupación'!$I$28</f>
        <v>9</v>
      </c>
      <c r="M17" s="391">
        <f>+'B) Reajuste Tarifas y Ocupación'!$I$28</f>
        <v>9</v>
      </c>
    </row>
    <row r="18" spans="1:14" x14ac:dyDescent="0.25">
      <c r="A18" s="390" t="s">
        <v>247</v>
      </c>
      <c r="B18" s="391">
        <f>+COUNTA('F) Remuneraciones'!$C$23:$C$30)</f>
        <v>2</v>
      </c>
      <c r="C18" s="391">
        <f>+COUNTA('F) Remuneraciones'!$C$23:$C$30)</f>
        <v>2</v>
      </c>
      <c r="D18" s="391">
        <f>+COUNTA('F) Remuneraciones'!$C$23:$C$30)</f>
        <v>2</v>
      </c>
      <c r="E18" s="391">
        <f>+COUNTA('F) Remuneraciones'!$C$23:$C$30)</f>
        <v>2</v>
      </c>
      <c r="F18" s="391">
        <f>+COUNTA('F) Remuneraciones'!$C$23:$C$30)</f>
        <v>2</v>
      </c>
      <c r="G18" s="391">
        <f>+COUNTA('F) Remuneraciones'!$C$23:$C$30)</f>
        <v>2</v>
      </c>
      <c r="H18" s="391">
        <f>+COUNTA('F) Remuneraciones'!$C$23:$C$30)</f>
        <v>2</v>
      </c>
      <c r="I18" s="391">
        <f>+COUNTA('F) Remuneraciones'!$C$23:$C$30)</f>
        <v>2</v>
      </c>
      <c r="J18" s="391">
        <f>+COUNTA('F) Remuneraciones'!$C$23:$C$30)</f>
        <v>2</v>
      </c>
      <c r="K18" s="391">
        <f>+COUNTA('F) Remuneraciones'!$C$23:$C$30)</f>
        <v>2</v>
      </c>
      <c r="L18" s="391">
        <f>+COUNTA('F) Remuneraciones'!$C$23:$C$30)</f>
        <v>2</v>
      </c>
      <c r="M18" s="391">
        <f>+COUNTA('F) Remuneraciones'!$C$23:$C$30)</f>
        <v>2</v>
      </c>
    </row>
    <row r="19" spans="1:14" x14ac:dyDescent="0.25">
      <c r="A19" s="390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</row>
    <row r="20" spans="1:14" ht="30" x14ac:dyDescent="0.25">
      <c r="A20" s="393" t="str">
        <f>+'A) Resumen Ingresos y Egresos'!A31</f>
        <v>Sala Cuna Olitas de Mar</v>
      </c>
      <c r="B20" s="389" t="s">
        <v>228</v>
      </c>
      <c r="C20" s="389" t="s">
        <v>229</v>
      </c>
      <c r="D20" s="389" t="s">
        <v>230</v>
      </c>
      <c r="E20" s="389" t="s">
        <v>231</v>
      </c>
      <c r="F20" s="389" t="s">
        <v>232</v>
      </c>
      <c r="G20" s="389" t="s">
        <v>233</v>
      </c>
      <c r="H20" s="389" t="s">
        <v>234</v>
      </c>
      <c r="I20" s="389" t="s">
        <v>235</v>
      </c>
      <c r="J20" s="389" t="s">
        <v>236</v>
      </c>
      <c r="K20" s="389" t="s">
        <v>237</v>
      </c>
      <c r="L20" s="389" t="s">
        <v>238</v>
      </c>
      <c r="M20" s="389" t="s">
        <v>239</v>
      </c>
      <c r="N20" s="389" t="s">
        <v>248</v>
      </c>
    </row>
    <row r="21" spans="1:14" x14ac:dyDescent="0.25">
      <c r="A21" s="394" t="s">
        <v>240</v>
      </c>
      <c r="B21" s="395">
        <f>+'A) Resumen Ingresos y Egresos'!$O$40/12+'A) Resumen Ingresos y Egresos'!$N$40/12</f>
        <v>3580200</v>
      </c>
      <c r="C21" s="395">
        <f>+'A) Resumen Ingresos y Egresos'!$O$40/12+'A) Resumen Ingresos y Egresos'!$N$40/12</f>
        <v>3580200</v>
      </c>
      <c r="D21" s="395">
        <f>+'A) Resumen Ingresos y Egresos'!$O$40/12+'A) Resumen Ingresos y Egresos'!$N$40/12</f>
        <v>3580200</v>
      </c>
      <c r="E21" s="395">
        <f>+'A) Resumen Ingresos y Egresos'!$O$40/12+'A) Resumen Ingresos y Egresos'!$N$40/12</f>
        <v>3580200</v>
      </c>
      <c r="F21" s="395">
        <f>+'A) Resumen Ingresos y Egresos'!$O$40/12+'A) Resumen Ingresos y Egresos'!$N$40/12</f>
        <v>3580200</v>
      </c>
      <c r="G21" s="395">
        <f>+'A) Resumen Ingresos y Egresos'!$O$40/12+'A) Resumen Ingresos y Egresos'!$N$40/12</f>
        <v>3580200</v>
      </c>
      <c r="H21" s="395">
        <f>+'A) Resumen Ingresos y Egresos'!$O$40/12+'A) Resumen Ingresos y Egresos'!$N$40/12</f>
        <v>3580200</v>
      </c>
      <c r="I21" s="395">
        <f>+'A) Resumen Ingresos y Egresos'!$O$40/12+'A) Resumen Ingresos y Egresos'!$N$40/12</f>
        <v>3580200</v>
      </c>
      <c r="J21" s="395">
        <f>+'A) Resumen Ingresos y Egresos'!$O$40/12+'A) Resumen Ingresos y Egresos'!$N$40/12</f>
        <v>3580200</v>
      </c>
      <c r="K21" s="395">
        <f>+'A) Resumen Ingresos y Egresos'!$O$40/12+'A) Resumen Ingresos y Egresos'!$N$40/12</f>
        <v>3580200</v>
      </c>
      <c r="L21" s="395">
        <f>+'A) Resumen Ingresos y Egresos'!$O$40/12+'A) Resumen Ingresos y Egresos'!$N$40/12</f>
        <v>3580200</v>
      </c>
      <c r="M21" s="395">
        <f>+'A) Resumen Ingresos y Egresos'!$O$40/12+'A) Resumen Ingresos y Egresos'!$N$40/12</f>
        <v>3580200</v>
      </c>
      <c r="N21" s="396">
        <f>SUM(B21:M21)</f>
        <v>42962400</v>
      </c>
    </row>
    <row r="22" spans="1:14" x14ac:dyDescent="0.25">
      <c r="A22" s="394" t="s">
        <v>241</v>
      </c>
      <c r="B22" s="395">
        <f>SUM('F) Remuneraciones'!$H$23:$H$30)/12</f>
        <v>1698851.6700000002</v>
      </c>
      <c r="C22" s="395">
        <f>SUM('F) Remuneraciones'!$H$23:$H$30)/12</f>
        <v>1698851.6700000002</v>
      </c>
      <c r="D22" s="395">
        <f>SUM('F) Remuneraciones'!$H$23:$H$30)/12</f>
        <v>1698851.6700000002</v>
      </c>
      <c r="E22" s="395">
        <f>SUM('F) Remuneraciones'!$H$23:$H$30)/12</f>
        <v>1698851.6700000002</v>
      </c>
      <c r="F22" s="395">
        <f>SUM('F) Remuneraciones'!$H$23:$H$30)/12</f>
        <v>1698851.6700000002</v>
      </c>
      <c r="G22" s="395">
        <f>SUM('F) Remuneraciones'!$H$23:$H$30)/12</f>
        <v>1698851.6700000002</v>
      </c>
      <c r="H22" s="395">
        <f>SUM('F) Remuneraciones'!$H$23:$H$30)/12</f>
        <v>1698851.6700000002</v>
      </c>
      <c r="I22" s="395">
        <f>SUM('F) Remuneraciones'!$H$23:$H$30)/12</f>
        <v>1698851.6700000002</v>
      </c>
      <c r="J22" s="395">
        <f>SUM('F) Remuneraciones'!$H$23:$H$30)/12</f>
        <v>1698851.6700000002</v>
      </c>
      <c r="K22" s="395">
        <f>SUM('F) Remuneraciones'!$H$23:$H$30)/12</f>
        <v>1698851.6700000002</v>
      </c>
      <c r="L22" s="395">
        <f>SUM('F) Remuneraciones'!$H$23:$H$30)/12</f>
        <v>1698851.6700000002</v>
      </c>
      <c r="M22" s="395">
        <f>SUM('F) Remuneraciones'!$H$23:$H$30)/12</f>
        <v>1698851.6700000002</v>
      </c>
      <c r="N22" s="396">
        <f t="shared" ref="N22:N24" si="2">SUM(B22:M22)</f>
        <v>20386220.040000007</v>
      </c>
    </row>
    <row r="23" spans="1:14" x14ac:dyDescent="0.25">
      <c r="A23" s="394" t="s">
        <v>243</v>
      </c>
      <c r="B23" s="395">
        <f>SUM('F) Remuneraciones'!I23:I30)*0.5</f>
        <v>330540</v>
      </c>
      <c r="C23" s="395">
        <v>0</v>
      </c>
      <c r="D23" s="395">
        <v>0</v>
      </c>
      <c r="E23" s="395">
        <v>0</v>
      </c>
      <c r="F23" s="395">
        <v>0</v>
      </c>
      <c r="G23" s="395">
        <v>0</v>
      </c>
      <c r="H23" s="395">
        <v>0</v>
      </c>
      <c r="I23" s="395">
        <v>0</v>
      </c>
      <c r="J23" s="395">
        <f>SUM('F) Remuneraciones'!J23:J30)*0.5</f>
        <v>164286</v>
      </c>
      <c r="K23" s="395">
        <v>0</v>
      </c>
      <c r="L23" s="395">
        <v>0</v>
      </c>
      <c r="M23" s="395">
        <f>+B23+J23</f>
        <v>494826</v>
      </c>
      <c r="N23" s="396">
        <f t="shared" si="2"/>
        <v>989652</v>
      </c>
    </row>
    <row r="24" spans="1:14" x14ac:dyDescent="0.25">
      <c r="A24" s="394" t="s">
        <v>242</v>
      </c>
      <c r="B24" s="395">
        <f>(+'C) Costos Directos'!$H$139-'C) Costos Directos'!$D$78)/12</f>
        <v>755513.86333333328</v>
      </c>
      <c r="C24" s="395">
        <f>(+'C) Costos Directos'!$H$139-'C) Costos Directos'!$D$78)/12</f>
        <v>755513.86333333328</v>
      </c>
      <c r="D24" s="395">
        <f>(+'C) Costos Directos'!$H$139-'C) Costos Directos'!$D$78)/12</f>
        <v>755513.86333333328</v>
      </c>
      <c r="E24" s="395">
        <f>(+'C) Costos Directos'!$H$139-'C) Costos Directos'!$D$78)/12</f>
        <v>755513.86333333328</v>
      </c>
      <c r="F24" s="395">
        <f>(+'C) Costos Directos'!$H$139-'C) Costos Directos'!$D$78)/12</f>
        <v>755513.86333333328</v>
      </c>
      <c r="G24" s="395">
        <f>(+'C) Costos Directos'!$H$139-'C) Costos Directos'!$D$78)/12</f>
        <v>755513.86333333328</v>
      </c>
      <c r="H24" s="395">
        <f>(+'C) Costos Directos'!$H$139-'C) Costos Directos'!$D$78)/12</f>
        <v>755513.86333333328</v>
      </c>
      <c r="I24" s="395">
        <f>(+'C) Costos Directos'!$H$139-'C) Costos Directos'!$D$78)/12</f>
        <v>755513.86333333328</v>
      </c>
      <c r="J24" s="395">
        <f>(+'C) Costos Directos'!$H$139-'C) Costos Directos'!$D$78)/12</f>
        <v>755513.86333333328</v>
      </c>
      <c r="K24" s="395">
        <f>(+'C) Costos Directos'!$H$139-'C) Costos Directos'!$D$78)/12</f>
        <v>755513.86333333328</v>
      </c>
      <c r="L24" s="395">
        <f>(+'C) Costos Directos'!$H$139-'C) Costos Directos'!$D$78)/12</f>
        <v>755513.86333333328</v>
      </c>
      <c r="M24" s="395">
        <f>(+'C) Costos Directos'!$H$139-'C) Costos Directos'!$D$78)/12</f>
        <v>755513.86333333328</v>
      </c>
      <c r="N24" s="396">
        <f t="shared" si="2"/>
        <v>9066166.3599999994</v>
      </c>
    </row>
    <row r="25" spans="1:14" x14ac:dyDescent="0.25">
      <c r="A25" s="397" t="s">
        <v>249</v>
      </c>
      <c r="B25" s="398">
        <f t="shared" ref="B25:M25" si="3">+B21-B22-B23-B24</f>
        <v>795294.46666666656</v>
      </c>
      <c r="C25" s="398">
        <f t="shared" si="3"/>
        <v>1125834.4666666666</v>
      </c>
      <c r="D25" s="398">
        <f t="shared" si="3"/>
        <v>1125834.4666666666</v>
      </c>
      <c r="E25" s="398">
        <f t="shared" si="3"/>
        <v>1125834.4666666666</v>
      </c>
      <c r="F25" s="398">
        <f t="shared" si="3"/>
        <v>1125834.4666666666</v>
      </c>
      <c r="G25" s="398">
        <f t="shared" si="3"/>
        <v>1125834.4666666666</v>
      </c>
      <c r="H25" s="398">
        <f t="shared" si="3"/>
        <v>1125834.4666666666</v>
      </c>
      <c r="I25" s="398">
        <f t="shared" si="3"/>
        <v>1125834.4666666666</v>
      </c>
      <c r="J25" s="398">
        <f t="shared" si="3"/>
        <v>961548.46666666656</v>
      </c>
      <c r="K25" s="398">
        <f t="shared" si="3"/>
        <v>1125834.4666666666</v>
      </c>
      <c r="L25" s="398">
        <f t="shared" si="3"/>
        <v>1125834.4666666666</v>
      </c>
      <c r="M25" s="398">
        <f t="shared" si="3"/>
        <v>631008.46666666656</v>
      </c>
      <c r="N25" s="398">
        <f>+N21-N22-N23-N24</f>
        <v>12520361.599999994</v>
      </c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7"/>
  <sheetViews>
    <sheetView showGridLines="0" topLeftCell="A31" zoomScale="80" zoomScaleNormal="80" workbookViewId="0">
      <selection activeCell="B54" sqref="B54"/>
    </sheetView>
  </sheetViews>
  <sheetFormatPr baseColWidth="10" defaultColWidth="11.42578125" defaultRowHeight="12.75" x14ac:dyDescent="0.2"/>
  <sheetData>
    <row r="1" spans="2:11" x14ac:dyDescent="0.2">
      <c r="H1" s="24"/>
    </row>
    <row r="2" spans="2:11" x14ac:dyDescent="0.2">
      <c r="H2" s="24" t="s">
        <v>83</v>
      </c>
    </row>
    <row r="5" spans="2:11" x14ac:dyDescent="0.2">
      <c r="B5" s="690" t="s">
        <v>158</v>
      </c>
      <c r="C5" s="690"/>
      <c r="D5" s="690"/>
      <c r="E5" s="690"/>
      <c r="F5" s="690"/>
    </row>
    <row r="7" spans="2:11" x14ac:dyDescent="0.2">
      <c r="C7" s="71" t="s">
        <v>143</v>
      </c>
      <c r="D7" s="71"/>
      <c r="E7" s="71"/>
      <c r="F7" s="71"/>
      <c r="G7" s="71"/>
      <c r="H7" s="71"/>
      <c r="I7" s="71"/>
      <c r="J7" s="71"/>
      <c r="K7" s="71"/>
    </row>
    <row r="9" spans="2:11" x14ac:dyDescent="0.2">
      <c r="C9" s="71" t="s">
        <v>144</v>
      </c>
      <c r="D9" s="71"/>
      <c r="E9" s="71"/>
      <c r="F9" s="71"/>
      <c r="G9" s="71"/>
      <c r="H9" s="71"/>
    </row>
    <row r="11" spans="2:11" x14ac:dyDescent="0.2">
      <c r="B11" s="690" t="s">
        <v>159</v>
      </c>
      <c r="C11" s="690"/>
      <c r="D11" s="690"/>
      <c r="E11" s="690"/>
      <c r="F11" s="690"/>
    </row>
    <row r="13" spans="2:11" x14ac:dyDescent="0.2">
      <c r="C13" s="72" t="s">
        <v>145</v>
      </c>
      <c r="D13" s="72"/>
      <c r="E13" s="72"/>
      <c r="F13" s="72"/>
      <c r="G13" s="72"/>
      <c r="H13" s="72"/>
    </row>
    <row r="15" spans="2:11" x14ac:dyDescent="0.2">
      <c r="C15" s="72" t="s">
        <v>146</v>
      </c>
      <c r="D15" s="72"/>
      <c r="E15" s="72"/>
      <c r="F15" s="72"/>
      <c r="G15" s="72"/>
      <c r="H15" s="72"/>
    </row>
    <row r="19" spans="2:16" x14ac:dyDescent="0.2">
      <c r="B19" s="690" t="s">
        <v>160</v>
      </c>
      <c r="C19" s="690"/>
      <c r="D19" s="690"/>
      <c r="E19" s="690"/>
      <c r="F19" s="690"/>
    </row>
    <row r="21" spans="2:16" x14ac:dyDescent="0.2">
      <c r="C21" s="72" t="s">
        <v>148</v>
      </c>
      <c r="D21" s="72"/>
      <c r="E21" s="72"/>
      <c r="F21" s="73"/>
      <c r="G21" s="73"/>
      <c r="H21" s="73"/>
    </row>
    <row r="22" spans="2:16" x14ac:dyDescent="0.2">
      <c r="C22" s="691"/>
      <c r="D22" s="691"/>
      <c r="E22" s="691"/>
      <c r="F22" s="691"/>
      <c r="G22" s="691"/>
      <c r="H22" s="691"/>
      <c r="I22" s="691"/>
      <c r="J22" s="691"/>
      <c r="K22" s="691"/>
    </row>
    <row r="24" spans="2:16" x14ac:dyDescent="0.2">
      <c r="B24" s="690" t="s">
        <v>161</v>
      </c>
      <c r="C24" s="690"/>
      <c r="D24" s="690"/>
      <c r="E24" s="690"/>
      <c r="F24" s="690"/>
    </row>
    <row r="26" spans="2:16" x14ac:dyDescent="0.2">
      <c r="C26" s="74" t="s">
        <v>149</v>
      </c>
      <c r="D26" s="74"/>
      <c r="E26" s="74"/>
      <c r="F26" s="74"/>
      <c r="G26" s="74"/>
      <c r="H26" s="74"/>
      <c r="I26" s="74"/>
      <c r="J26" s="74"/>
    </row>
    <row r="27" spans="2:16" ht="12.75" customHeight="1" x14ac:dyDescent="0.2">
      <c r="C27" s="692" t="s">
        <v>150</v>
      </c>
      <c r="D27" s="692"/>
      <c r="E27" s="692"/>
      <c r="F27" s="692"/>
      <c r="G27" s="692"/>
      <c r="H27" s="692"/>
      <c r="I27" s="692"/>
      <c r="J27" s="692"/>
      <c r="K27" s="692"/>
      <c r="L27" s="692"/>
      <c r="M27" s="692"/>
    </row>
    <row r="28" spans="2:16" ht="12.75" customHeight="1" x14ac:dyDescent="0.2">
      <c r="C28" s="692"/>
      <c r="D28" s="692"/>
      <c r="E28" s="692"/>
      <c r="F28" s="692"/>
      <c r="G28" s="692"/>
      <c r="H28" s="692"/>
      <c r="I28" s="692"/>
      <c r="J28" s="692"/>
      <c r="K28" s="692"/>
      <c r="L28" s="692"/>
      <c r="M28" s="692"/>
    </row>
    <row r="29" spans="2:16" ht="12.75" customHeight="1" x14ac:dyDescent="0.2">
      <c r="C29" s="74" t="s">
        <v>151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3"/>
    </row>
    <row r="30" spans="2:16" ht="12.75" customHeight="1" x14ac:dyDescent="0.2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3"/>
    </row>
    <row r="31" spans="2:16" ht="12.75" customHeight="1" x14ac:dyDescent="0.2">
      <c r="C31" s="78" t="s">
        <v>152</v>
      </c>
      <c r="D31" s="75"/>
      <c r="E31" s="75"/>
      <c r="F31" s="77"/>
      <c r="G31" s="75"/>
      <c r="H31" s="75"/>
      <c r="I31" s="75"/>
      <c r="J31" s="75"/>
      <c r="K31" s="75"/>
      <c r="L31" s="75"/>
      <c r="M31" s="75"/>
      <c r="N31" s="73"/>
      <c r="O31" s="73"/>
      <c r="P31" s="73"/>
    </row>
    <row r="32" spans="2:16" ht="12.75" customHeight="1" x14ac:dyDescent="0.2">
      <c r="C32" s="76"/>
      <c r="D32" s="76"/>
      <c r="E32" s="76"/>
      <c r="F32" s="76"/>
      <c r="G32" s="76"/>
      <c r="H32" s="76"/>
      <c r="I32" s="75"/>
      <c r="J32" s="75"/>
      <c r="K32" s="75"/>
      <c r="L32" s="75"/>
      <c r="M32" s="75"/>
      <c r="N32" s="73"/>
    </row>
    <row r="33" spans="2:19" ht="12.75" customHeight="1" x14ac:dyDescent="0.2">
      <c r="C33" s="693" t="s">
        <v>153</v>
      </c>
      <c r="D33" s="693"/>
      <c r="E33" s="693"/>
      <c r="F33" s="693"/>
      <c r="G33" s="693"/>
      <c r="H33" s="693"/>
      <c r="I33" s="693"/>
      <c r="J33" s="693"/>
      <c r="K33" s="693"/>
      <c r="L33" s="693"/>
      <c r="M33" s="693"/>
      <c r="N33" s="73"/>
    </row>
    <row r="34" spans="2:19" ht="12.75" customHeight="1" x14ac:dyDescent="0.2">
      <c r="C34" s="58"/>
      <c r="D34" s="58"/>
      <c r="E34" s="58"/>
      <c r="F34" s="58"/>
      <c r="G34" s="58"/>
      <c r="H34" s="58"/>
      <c r="I34" s="74"/>
      <c r="J34" s="74"/>
      <c r="K34" s="74"/>
      <c r="L34" s="74"/>
      <c r="M34" s="74"/>
      <c r="N34" s="73"/>
    </row>
    <row r="35" spans="2:19" ht="12.75" customHeight="1" x14ac:dyDescent="0.2">
      <c r="C35" s="75" t="s">
        <v>154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3"/>
    </row>
    <row r="36" spans="2:19" ht="12.75" customHeight="1" x14ac:dyDescent="0.2">
      <c r="C36" s="76"/>
      <c r="D36" s="76"/>
      <c r="E36" s="76"/>
      <c r="F36" s="76"/>
      <c r="G36" s="76"/>
      <c r="H36" s="76"/>
      <c r="I36" s="75"/>
      <c r="J36" s="75"/>
      <c r="K36" s="75"/>
      <c r="L36" s="75"/>
      <c r="M36" s="75"/>
      <c r="N36" s="73"/>
    </row>
    <row r="37" spans="2:19" ht="12.75" customHeight="1" x14ac:dyDescent="0.2"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2:19" ht="12.75" customHeight="1" x14ac:dyDescent="0.2"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2:19" ht="12.75" customHeight="1" x14ac:dyDescent="0.2">
      <c r="B39" s="78" t="s">
        <v>162</v>
      </c>
      <c r="C39" s="74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2:19" x14ac:dyDescent="0.2">
      <c r="O40" s="691"/>
      <c r="P40" s="691"/>
      <c r="Q40" s="691"/>
      <c r="R40" s="691"/>
      <c r="S40" s="691"/>
    </row>
    <row r="41" spans="2:19" x14ac:dyDescent="0.2">
      <c r="C41" s="694" t="s">
        <v>155</v>
      </c>
      <c r="D41" s="694"/>
      <c r="E41" s="694"/>
      <c r="F41" s="694"/>
    </row>
    <row r="42" spans="2:19" x14ac:dyDescent="0.2">
      <c r="C42" s="691"/>
      <c r="D42" s="691"/>
      <c r="E42" s="691"/>
      <c r="F42" s="691"/>
      <c r="G42" s="691"/>
      <c r="H42" s="691"/>
      <c r="I42" s="691"/>
      <c r="J42" s="691"/>
    </row>
    <row r="44" spans="2:19" x14ac:dyDescent="0.2">
      <c r="B44" s="690" t="s">
        <v>163</v>
      </c>
      <c r="C44" s="690"/>
      <c r="D44" s="690"/>
      <c r="E44" s="690"/>
      <c r="F44" s="690"/>
    </row>
    <row r="46" spans="2:19" x14ac:dyDescent="0.2">
      <c r="C46" s="79" t="s">
        <v>156</v>
      </c>
      <c r="D46" s="79"/>
      <c r="E46" s="79"/>
      <c r="F46" s="79"/>
      <c r="G46" s="79"/>
      <c r="H46" s="79"/>
      <c r="I46" s="79"/>
      <c r="J46" s="79"/>
      <c r="K46" s="80"/>
      <c r="L46" s="80"/>
      <c r="M46" s="80"/>
    </row>
    <row r="50" spans="2:13" x14ac:dyDescent="0.2">
      <c r="B50" s="690" t="s">
        <v>164</v>
      </c>
      <c r="C50" s="690"/>
      <c r="D50" s="690"/>
      <c r="E50" s="690"/>
      <c r="F50" s="690"/>
    </row>
    <row r="52" spans="2:13" x14ac:dyDescent="0.2">
      <c r="C52" s="74" t="s">
        <v>157</v>
      </c>
      <c r="D52" s="74"/>
      <c r="E52" s="74"/>
      <c r="F52" s="74"/>
      <c r="G52" s="73"/>
      <c r="H52" s="73"/>
      <c r="I52" s="73"/>
      <c r="J52" s="73"/>
      <c r="K52" s="73"/>
      <c r="L52" s="73"/>
      <c r="M52" s="73"/>
    </row>
    <row r="54" spans="2:13" x14ac:dyDescent="0.2">
      <c r="B54" s="73" t="s">
        <v>165</v>
      </c>
      <c r="C54" s="73"/>
    </row>
    <row r="57" spans="2:13" x14ac:dyDescent="0.2">
      <c r="B57" s="689" t="s">
        <v>244</v>
      </c>
      <c r="C57" s="689"/>
    </row>
  </sheetData>
  <sheetProtection sheet="1" objects="1" scenarios="1"/>
  <mergeCells count="13">
    <mergeCell ref="B5:F5"/>
    <mergeCell ref="C22:K22"/>
    <mergeCell ref="B50:F50"/>
    <mergeCell ref="C42:J42"/>
    <mergeCell ref="B44:F44"/>
    <mergeCell ref="C27:M28"/>
    <mergeCell ref="C33:M33"/>
    <mergeCell ref="C41:F41"/>
    <mergeCell ref="B57:C57"/>
    <mergeCell ref="B11:F11"/>
    <mergeCell ref="O40:S40"/>
    <mergeCell ref="B19:F19"/>
    <mergeCell ref="B24:F24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zoomScale="80" zoomScaleNormal="80" workbookViewId="0">
      <selection activeCell="J9" sqref="J9"/>
    </sheetView>
  </sheetViews>
  <sheetFormatPr baseColWidth="10" defaultColWidth="11.42578125" defaultRowHeight="12.75" x14ac:dyDescent="0.2"/>
  <cols>
    <col min="1" max="1" width="37.140625" style="2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18.14062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5703125" style="2" customWidth="1"/>
    <col min="14" max="14" width="17.28515625" style="2" customWidth="1"/>
    <col min="15" max="15" width="16.85546875" style="2" customWidth="1"/>
    <col min="16" max="16" width="14.85546875" style="2" customWidth="1"/>
    <col min="17" max="17" width="16.42578125" style="2" bestFit="1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24" t="s">
        <v>197</v>
      </c>
      <c r="F1" s="24"/>
      <c r="IL1" s="2"/>
      <c r="IM1" s="2"/>
    </row>
    <row r="2" spans="1:247" s="4" customFormat="1" x14ac:dyDescent="0.2">
      <c r="A2" s="5"/>
      <c r="E2" s="24" t="s">
        <v>190</v>
      </c>
      <c r="F2" s="24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16"/>
      <c r="C4" s="697" t="s">
        <v>0</v>
      </c>
      <c r="D4" s="697"/>
      <c r="E4" s="698" t="s">
        <v>139</v>
      </c>
      <c r="F4" s="699"/>
      <c r="G4" s="700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717" t="s">
        <v>143</v>
      </c>
      <c r="B6" s="717"/>
      <c r="C6" s="717"/>
      <c r="D6" s="717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ht="13.5" thickBot="1" x14ac:dyDescent="0.25">
      <c r="B7" s="4"/>
      <c r="C7" s="4"/>
      <c r="E7" s="4"/>
      <c r="F7" s="4"/>
      <c r="G7" s="4"/>
      <c r="H7" s="4"/>
      <c r="I7" s="4"/>
      <c r="M7" s="26"/>
    </row>
    <row r="8" spans="1:247" ht="39" customHeight="1" x14ac:dyDescent="0.2">
      <c r="A8" s="116" t="s">
        <v>112</v>
      </c>
      <c r="B8" s="117" t="str">
        <f>+N19</f>
        <v>Ingreso por Matrícula</v>
      </c>
      <c r="C8" s="118" t="str">
        <f>+O19</f>
        <v>Ingreso por Mensualidad</v>
      </c>
      <c r="D8" s="118" t="s">
        <v>125</v>
      </c>
      <c r="E8" s="119" t="s">
        <v>82</v>
      </c>
      <c r="F8" s="120" t="s">
        <v>79</v>
      </c>
      <c r="G8" s="121" t="s">
        <v>80</v>
      </c>
      <c r="H8" s="122" t="s">
        <v>106</v>
      </c>
      <c r="I8" s="123" t="s">
        <v>111</v>
      </c>
      <c r="L8" s="32" t="s">
        <v>110</v>
      </c>
      <c r="N8" s="44"/>
    </row>
    <row r="9" spans="1:247" x14ac:dyDescent="0.2">
      <c r="A9" s="124" t="str">
        <f>+'B) Reajuste Tarifas y Ocupación'!A12</f>
        <v>Jardín Infantil Olitas de Mar</v>
      </c>
      <c r="B9" s="125">
        <f>+N30</f>
        <v>8615600</v>
      </c>
      <c r="C9" s="126">
        <f>+O30</f>
        <v>86156000</v>
      </c>
      <c r="D9" s="125">
        <f>+P30</f>
        <v>2207900</v>
      </c>
      <c r="E9" s="127">
        <f>+B9+D9+C9</f>
        <v>96979500</v>
      </c>
      <c r="F9" s="128">
        <f>+'C) Costos Directos'!H75</f>
        <v>74649958</v>
      </c>
      <c r="G9" s="129">
        <f>+'D) Costos Indirectos'!$AP$15*(F9/$F$12)</f>
        <v>15500268.463285808</v>
      </c>
      <c r="H9" s="130">
        <f>+F9+G9</f>
        <v>90150226.463285804</v>
      </c>
      <c r="I9" s="131">
        <f>E9-H9</f>
        <v>6829273.5367141962</v>
      </c>
      <c r="L9" s="38">
        <f>+IFERROR(G9/$G$12,0)</f>
        <v>0.71032962125743759</v>
      </c>
      <c r="N9" s="45"/>
    </row>
    <row r="10" spans="1:247" x14ac:dyDescent="0.2">
      <c r="A10" s="202" t="s">
        <v>222</v>
      </c>
      <c r="B10" s="125">
        <f>+N33+'A) Resumen Ingresos y Egresos'!N39</f>
        <v>0</v>
      </c>
      <c r="C10" s="126">
        <f>O33+O39</f>
        <v>42962400</v>
      </c>
      <c r="D10" s="347"/>
      <c r="E10" s="127">
        <f>+B10+D10+C10</f>
        <v>42962400</v>
      </c>
      <c r="F10" s="128">
        <f>'C) Costos Directos'!H139</f>
        <v>30442038.400000002</v>
      </c>
      <c r="G10" s="129">
        <f>+'D) Costos Indirectos'!$AP$15*(F10/$F$12)</f>
        <v>6320964.9464190667</v>
      </c>
      <c r="H10" s="130">
        <f t="shared" ref="H10:H11" si="0">+F10+G10</f>
        <v>36763003.346419066</v>
      </c>
      <c r="I10" s="131">
        <f t="shared" ref="I10:I11" si="1">E10-H10</f>
        <v>6199396.6535809338</v>
      </c>
      <c r="L10" s="38">
        <f>+IFERROR(G10/$G$12,0)</f>
        <v>0.28967037874256235</v>
      </c>
      <c r="N10" s="45"/>
    </row>
    <row r="11" spans="1:247" x14ac:dyDescent="0.2">
      <c r="A11" s="202" t="s">
        <v>223</v>
      </c>
      <c r="B11" s="125">
        <f>N36</f>
        <v>0</v>
      </c>
      <c r="C11" s="126">
        <f>O36</f>
        <v>0</v>
      </c>
      <c r="D11" s="347"/>
      <c r="E11" s="127">
        <f>+B11+D11+C11</f>
        <v>0</v>
      </c>
      <c r="F11" s="128">
        <f>+'C) Costos Directos'!H141</f>
        <v>0</v>
      </c>
      <c r="G11" s="129">
        <f>+'D) Costos Indirectos'!$AP$15*(F11/$F$12)</f>
        <v>0</v>
      </c>
      <c r="H11" s="130">
        <f t="shared" si="0"/>
        <v>0</v>
      </c>
      <c r="I11" s="131">
        <f t="shared" si="1"/>
        <v>0</v>
      </c>
      <c r="L11" s="38">
        <f>+IFERROR(G11/$G$12,0)</f>
        <v>0</v>
      </c>
      <c r="N11" s="45"/>
    </row>
    <row r="12" spans="1:247" s="4" customFormat="1" ht="15.75" thickBot="1" x14ac:dyDescent="0.25">
      <c r="A12" s="132" t="s">
        <v>1</v>
      </c>
      <c r="B12" s="133">
        <f>SUM(B9:B11)</f>
        <v>8615600</v>
      </c>
      <c r="C12" s="133">
        <f t="shared" ref="C12:I12" si="2">SUM(C9:C11)</f>
        <v>129118400</v>
      </c>
      <c r="D12" s="133">
        <f t="shared" si="2"/>
        <v>2207900</v>
      </c>
      <c r="E12" s="133">
        <f t="shared" si="2"/>
        <v>139941900</v>
      </c>
      <c r="F12" s="133">
        <f t="shared" si="2"/>
        <v>105091996.40000001</v>
      </c>
      <c r="G12" s="133">
        <f t="shared" si="2"/>
        <v>21821233.409704875</v>
      </c>
      <c r="H12" s="133">
        <f t="shared" si="2"/>
        <v>126913229.80970487</v>
      </c>
      <c r="I12" s="133">
        <f t="shared" si="2"/>
        <v>13028670.19029513</v>
      </c>
      <c r="L12" s="39">
        <f>SUM(L9:L11)</f>
        <v>1</v>
      </c>
      <c r="N12" s="26"/>
      <c r="O12" s="88"/>
      <c r="IB12" s="2"/>
      <c r="IC12" s="2"/>
      <c r="ID12" s="2"/>
      <c r="IE12" s="2"/>
      <c r="IF12" s="2"/>
      <c r="IG12" s="2"/>
      <c r="IH12" s="2"/>
    </row>
    <row r="13" spans="1:247" s="4" customFormat="1" ht="15.75" customHeight="1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IB13" s="2"/>
      <c r="IC13" s="2"/>
      <c r="ID13" s="2"/>
      <c r="IE13" s="2"/>
      <c r="IF13" s="2"/>
      <c r="IG13" s="2"/>
      <c r="IH13" s="2"/>
    </row>
    <row r="14" spans="1:247" s="4" customFormat="1" ht="15.75" customHeight="1" x14ac:dyDescent="0.2">
      <c r="A14" s="7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9"/>
      <c r="IB14" s="2"/>
      <c r="IC14" s="2"/>
      <c r="ID14" s="2"/>
      <c r="IE14" s="2"/>
      <c r="IF14" s="2"/>
      <c r="IG14" s="2"/>
      <c r="IH14" s="2"/>
    </row>
    <row r="15" spans="1:247" s="4" customFormat="1" ht="15.75" customHeight="1" x14ac:dyDescent="0.2">
      <c r="A15" s="7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IB15" s="2"/>
      <c r="IC15" s="2"/>
      <c r="ID15" s="2"/>
      <c r="IE15" s="2"/>
      <c r="IF15" s="2"/>
      <c r="IG15" s="2"/>
      <c r="IH15" s="2"/>
    </row>
    <row r="16" spans="1:247" s="4" customFormat="1" ht="15.75" customHeight="1" x14ac:dyDescent="0.2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IB16" s="2"/>
      <c r="IC16" s="2"/>
      <c r="ID16" s="2"/>
      <c r="IE16" s="2"/>
      <c r="IF16" s="2"/>
      <c r="IG16" s="2"/>
      <c r="IH16" s="2"/>
    </row>
    <row r="17" spans="1:247" s="4" customFormat="1" ht="15.75" customHeight="1" x14ac:dyDescent="0.2">
      <c r="A17" s="717" t="s">
        <v>144</v>
      </c>
      <c r="B17" s="717"/>
      <c r="C17" s="717"/>
      <c r="D17" s="717"/>
      <c r="E17" s="8"/>
      <c r="F17" s="8"/>
      <c r="G17" s="8"/>
      <c r="H17" s="8"/>
      <c r="I17" s="8"/>
      <c r="J17" s="8"/>
      <c r="K17" s="8"/>
      <c r="L17" s="8"/>
      <c r="M17" s="8"/>
      <c r="N17" s="8"/>
      <c r="IB17" s="2"/>
      <c r="IC17" s="2"/>
      <c r="ID17" s="2"/>
      <c r="IE17" s="2"/>
      <c r="IF17" s="2"/>
      <c r="IG17" s="2"/>
      <c r="IH17" s="2"/>
    </row>
    <row r="18" spans="1:247" s="4" customFormat="1" ht="13.5" thickBot="1" x14ac:dyDescent="0.25">
      <c r="I18" s="9"/>
      <c r="J18" s="9"/>
      <c r="K18" s="9"/>
      <c r="L18" s="1"/>
      <c r="M18" s="1"/>
      <c r="O18" s="10"/>
      <c r="P18" s="10"/>
      <c r="IL18" s="2"/>
      <c r="IM18" s="2"/>
    </row>
    <row r="19" spans="1:247" s="11" customFormat="1" ht="15.75" customHeight="1" x14ac:dyDescent="0.2">
      <c r="A19" s="718" t="s">
        <v>112</v>
      </c>
      <c r="B19" s="720" t="s">
        <v>5</v>
      </c>
      <c r="C19" s="701" t="s">
        <v>2</v>
      </c>
      <c r="D19" s="703" t="s">
        <v>254</v>
      </c>
      <c r="E19" s="704"/>
      <c r="F19" s="704"/>
      <c r="G19" s="704"/>
      <c r="H19" s="705"/>
      <c r="I19" s="706" t="s">
        <v>255</v>
      </c>
      <c r="J19" s="707"/>
      <c r="K19" s="707"/>
      <c r="L19" s="707"/>
      <c r="M19" s="708"/>
      <c r="N19" s="711" t="s">
        <v>88</v>
      </c>
      <c r="O19" s="713" t="s">
        <v>89</v>
      </c>
      <c r="P19" s="709" t="s">
        <v>125</v>
      </c>
      <c r="Q19" s="715" t="s">
        <v>105</v>
      </c>
    </row>
    <row r="20" spans="1:247" s="11" customFormat="1" ht="39" thickBot="1" x14ac:dyDescent="0.25">
      <c r="A20" s="719"/>
      <c r="B20" s="721"/>
      <c r="C20" s="702"/>
      <c r="D20" s="94" t="s">
        <v>85</v>
      </c>
      <c r="E20" s="93" t="s">
        <v>133</v>
      </c>
      <c r="F20" s="93" t="s">
        <v>134</v>
      </c>
      <c r="G20" s="93" t="s">
        <v>86</v>
      </c>
      <c r="H20" s="95" t="s">
        <v>87</v>
      </c>
      <c r="I20" s="94" t="s">
        <v>85</v>
      </c>
      <c r="J20" s="93" t="s">
        <v>133</v>
      </c>
      <c r="K20" s="93" t="s">
        <v>134</v>
      </c>
      <c r="L20" s="93" t="s">
        <v>86</v>
      </c>
      <c r="M20" s="95" t="s">
        <v>87</v>
      </c>
      <c r="N20" s="712"/>
      <c r="O20" s="714"/>
      <c r="P20" s="710"/>
      <c r="Q20" s="716"/>
    </row>
    <row r="21" spans="1:247" ht="12.75" customHeight="1" x14ac:dyDescent="0.2">
      <c r="A21" s="726" t="str">
        <f>+'B) Reajuste Tarifas y Ocupación'!A12</f>
        <v>Jardín Infantil Olitas de Mar</v>
      </c>
      <c r="B21" s="729" t="str">
        <f>+'B) Reajuste Tarifas y Ocupación'!B12</f>
        <v>Media jornada</v>
      </c>
      <c r="C21" s="355" t="s">
        <v>256</v>
      </c>
      <c r="D21" s="103">
        <f t="shared" ref="D21:F22" si="3">+I21</f>
        <v>78700</v>
      </c>
      <c r="E21" s="98">
        <f t="shared" si="3"/>
        <v>106200</v>
      </c>
      <c r="F21" s="98">
        <f t="shared" si="3"/>
        <v>110100</v>
      </c>
      <c r="G21" s="98">
        <f t="shared" ref="G21:H22" si="4">+L21</f>
        <v>118900</v>
      </c>
      <c r="H21" s="104">
        <f t="shared" si="4"/>
        <v>190700</v>
      </c>
      <c r="I21" s="103">
        <f>+'B) Reajuste Tarifas y Ocupación'!M12</f>
        <v>78700</v>
      </c>
      <c r="J21" s="98">
        <f>+'B) Reajuste Tarifas y Ocupación'!N12</f>
        <v>106200</v>
      </c>
      <c r="K21" s="98">
        <f>+'B) Reajuste Tarifas y Ocupación'!O12</f>
        <v>110100</v>
      </c>
      <c r="L21" s="98">
        <f>+'B) Reajuste Tarifas y Ocupación'!P12</f>
        <v>118900</v>
      </c>
      <c r="M21" s="104">
        <f>+'B) Reajuste Tarifas y Ocupación'!Q12</f>
        <v>190700</v>
      </c>
      <c r="N21" s="109"/>
      <c r="O21" s="99"/>
      <c r="P21" s="112">
        <f>+'B) Reajuste Tarifas y Ocupación'!C12</f>
        <v>70200</v>
      </c>
      <c r="Q21" s="695"/>
    </row>
    <row r="22" spans="1:247" x14ac:dyDescent="0.2">
      <c r="A22" s="727"/>
      <c r="B22" s="730"/>
      <c r="C22" s="92" t="s">
        <v>7</v>
      </c>
      <c r="D22" s="105">
        <f t="shared" si="3"/>
        <v>0</v>
      </c>
      <c r="E22" s="97">
        <f t="shared" si="3"/>
        <v>0</v>
      </c>
      <c r="F22" s="97">
        <f t="shared" si="3"/>
        <v>0</v>
      </c>
      <c r="G22" s="97">
        <f t="shared" si="4"/>
        <v>0</v>
      </c>
      <c r="H22" s="106">
        <f t="shared" si="4"/>
        <v>0</v>
      </c>
      <c r="I22" s="105">
        <f>+'B) Reajuste Tarifas y Ocupación'!C23</f>
        <v>0</v>
      </c>
      <c r="J22" s="97">
        <f>+'B) Reajuste Tarifas y Ocupación'!D23</f>
        <v>0</v>
      </c>
      <c r="K22" s="97">
        <f>+'B) Reajuste Tarifas y Ocupación'!E23</f>
        <v>0</v>
      </c>
      <c r="L22" s="97">
        <f>+'B) Reajuste Tarifas y Ocupación'!F23</f>
        <v>0</v>
      </c>
      <c r="M22" s="106">
        <f>+'B) Reajuste Tarifas y Ocupación'!G23</f>
        <v>0</v>
      </c>
      <c r="N22" s="110"/>
      <c r="O22" s="96"/>
      <c r="P22" s="113">
        <v>3</v>
      </c>
      <c r="Q22" s="696"/>
    </row>
    <row r="23" spans="1:247" ht="13.5" thickBot="1" x14ac:dyDescent="0.25">
      <c r="A23" s="727"/>
      <c r="B23" s="731"/>
      <c r="C23" s="100" t="s">
        <v>9</v>
      </c>
      <c r="D23" s="107">
        <f>D22*D21</f>
        <v>0</v>
      </c>
      <c r="E23" s="101">
        <f>E22*E21</f>
        <v>0</v>
      </c>
      <c r="F23" s="101">
        <f t="shared" ref="F23" si="5">F22*F21</f>
        <v>0</v>
      </c>
      <c r="G23" s="101">
        <f t="shared" ref="G23:H23" si="6">G22*G21</f>
        <v>0</v>
      </c>
      <c r="H23" s="108">
        <f t="shared" si="6"/>
        <v>0</v>
      </c>
      <c r="I23" s="175">
        <f>I22*I21*10</f>
        <v>0</v>
      </c>
      <c r="J23" s="176">
        <f t="shared" ref="J23:M23" si="7">J22*J21*10</f>
        <v>0</v>
      </c>
      <c r="K23" s="176">
        <f t="shared" ref="K23" si="8">K22*K21*10</f>
        <v>0</v>
      </c>
      <c r="L23" s="176">
        <f t="shared" si="7"/>
        <v>0</v>
      </c>
      <c r="M23" s="177">
        <f t="shared" si="7"/>
        <v>0</v>
      </c>
      <c r="N23" s="111">
        <f>SUM(D23:H23)</f>
        <v>0</v>
      </c>
      <c r="O23" s="102">
        <f>SUM(I23:M23)</f>
        <v>0</v>
      </c>
      <c r="P23" s="114">
        <f>P22*P21</f>
        <v>210600</v>
      </c>
      <c r="Q23" s="115">
        <f>N23+O23+P23</f>
        <v>210600</v>
      </c>
    </row>
    <row r="24" spans="1:247" x14ac:dyDescent="0.2">
      <c r="A24" s="727"/>
      <c r="B24" s="722" t="s">
        <v>204</v>
      </c>
      <c r="C24" s="355" t="s">
        <v>256</v>
      </c>
      <c r="D24" s="103">
        <f t="shared" ref="D24:D25" si="9">+I24</f>
        <v>89800</v>
      </c>
      <c r="E24" s="98">
        <f t="shared" ref="E24:E25" si="10">+J24</f>
        <v>121200</v>
      </c>
      <c r="F24" s="98">
        <f t="shared" ref="F24:F25" si="11">+K24</f>
        <v>125600</v>
      </c>
      <c r="G24" s="98">
        <f t="shared" ref="G24:G25" si="12">+L24</f>
        <v>169800</v>
      </c>
      <c r="H24" s="174">
        <f t="shared" ref="H24:H25" si="13">+M24</f>
        <v>253100</v>
      </c>
      <c r="I24" s="103">
        <f>+'B) Reajuste Tarifas y Ocupación'!M13</f>
        <v>89800</v>
      </c>
      <c r="J24" s="98">
        <f>+'B) Reajuste Tarifas y Ocupación'!N13</f>
        <v>121200</v>
      </c>
      <c r="K24" s="98">
        <f>+'B) Reajuste Tarifas y Ocupación'!O13</f>
        <v>125600</v>
      </c>
      <c r="L24" s="98">
        <f>+'B) Reajuste Tarifas y Ocupación'!P13</f>
        <v>169800</v>
      </c>
      <c r="M24" s="104">
        <f>+'B) Reajuste Tarifas y Ocupación'!Q13</f>
        <v>253100</v>
      </c>
      <c r="N24" s="109"/>
      <c r="O24" s="99"/>
      <c r="P24" s="112">
        <f>+'B) Reajuste Tarifas y Ocupación'!C13</f>
        <v>80100</v>
      </c>
      <c r="Q24" s="695"/>
    </row>
    <row r="25" spans="1:247" x14ac:dyDescent="0.2">
      <c r="A25" s="727"/>
      <c r="B25" s="723"/>
      <c r="C25" s="92" t="s">
        <v>7</v>
      </c>
      <c r="D25" s="105">
        <f t="shared" si="9"/>
        <v>2</v>
      </c>
      <c r="E25" s="97">
        <f t="shared" si="10"/>
        <v>0</v>
      </c>
      <c r="F25" s="97">
        <f t="shared" si="11"/>
        <v>0</v>
      </c>
      <c r="G25" s="97">
        <f t="shared" si="12"/>
        <v>0</v>
      </c>
      <c r="H25" s="178">
        <f t="shared" si="13"/>
        <v>0</v>
      </c>
      <c r="I25" s="105">
        <f>+'B) Reajuste Tarifas y Ocupación'!C24</f>
        <v>2</v>
      </c>
      <c r="J25" s="97">
        <f>+'B) Reajuste Tarifas y Ocupación'!D24</f>
        <v>0</v>
      </c>
      <c r="K25" s="97">
        <f>+'B) Reajuste Tarifas y Ocupación'!E24</f>
        <v>0</v>
      </c>
      <c r="L25" s="97">
        <f>+'B) Reajuste Tarifas y Ocupación'!F24</f>
        <v>0</v>
      </c>
      <c r="M25" s="106">
        <f>+'B) Reajuste Tarifas y Ocupación'!G24</f>
        <v>0</v>
      </c>
      <c r="N25" s="110"/>
      <c r="O25" s="96"/>
      <c r="P25" s="113">
        <v>3</v>
      </c>
      <c r="Q25" s="696"/>
    </row>
    <row r="26" spans="1:247" ht="13.5" thickBot="1" x14ac:dyDescent="0.25">
      <c r="A26" s="727"/>
      <c r="B26" s="724"/>
      <c r="C26" s="100" t="s">
        <v>9</v>
      </c>
      <c r="D26" s="107">
        <f>D25*D24</f>
        <v>179600</v>
      </c>
      <c r="E26" s="101">
        <f>E25*E24</f>
        <v>0</v>
      </c>
      <c r="F26" s="101">
        <f t="shared" ref="F26:H26" si="14">F25*F24</f>
        <v>0</v>
      </c>
      <c r="G26" s="101">
        <f t="shared" si="14"/>
        <v>0</v>
      </c>
      <c r="H26" s="114">
        <f t="shared" si="14"/>
        <v>0</v>
      </c>
      <c r="I26" s="107">
        <f>I25*I24*10</f>
        <v>1796000</v>
      </c>
      <c r="J26" s="101">
        <f t="shared" ref="J26:M26" si="15">J25*J24*10</f>
        <v>0</v>
      </c>
      <c r="K26" s="101">
        <f t="shared" si="15"/>
        <v>0</v>
      </c>
      <c r="L26" s="101">
        <f t="shared" si="15"/>
        <v>0</v>
      </c>
      <c r="M26" s="108">
        <f t="shared" si="15"/>
        <v>0</v>
      </c>
      <c r="N26" s="111">
        <f>SUM(D26:H26)</f>
        <v>179600</v>
      </c>
      <c r="O26" s="102">
        <f>SUM(I26:M26)</f>
        <v>1796000</v>
      </c>
      <c r="P26" s="114">
        <f>P25*P24</f>
        <v>240300</v>
      </c>
      <c r="Q26" s="115">
        <f>N26+O26+P26</f>
        <v>2215900</v>
      </c>
    </row>
    <row r="27" spans="1:247" x14ac:dyDescent="0.2">
      <c r="A27" s="727"/>
      <c r="B27" s="729" t="str">
        <f>+'B) Reajuste Tarifas y Ocupación'!B14</f>
        <v>Jornada Completa</v>
      </c>
      <c r="C27" s="355" t="s">
        <v>256</v>
      </c>
      <c r="D27" s="103">
        <f t="shared" ref="D27:F28" si="16">+I27</f>
        <v>140600</v>
      </c>
      <c r="E27" s="98">
        <f t="shared" si="16"/>
        <v>189800</v>
      </c>
      <c r="F27" s="98">
        <f t="shared" si="16"/>
        <v>196800</v>
      </c>
      <c r="G27" s="98">
        <f t="shared" ref="G27:H28" si="17">+L27</f>
        <v>217700</v>
      </c>
      <c r="H27" s="104">
        <f t="shared" si="17"/>
        <v>349700</v>
      </c>
      <c r="I27" s="179">
        <f>+'B) Reajuste Tarifas y Ocupación'!M14</f>
        <v>140600</v>
      </c>
      <c r="J27" s="180">
        <f>+'B) Reajuste Tarifas y Ocupación'!N14</f>
        <v>189800</v>
      </c>
      <c r="K27" s="180">
        <f>+'B) Reajuste Tarifas y Ocupación'!O14</f>
        <v>196800</v>
      </c>
      <c r="L27" s="180">
        <f>+'B) Reajuste Tarifas y Ocupación'!P14</f>
        <v>217700</v>
      </c>
      <c r="M27" s="181">
        <f>+'B) Reajuste Tarifas y Ocupación'!Q14</f>
        <v>349700</v>
      </c>
      <c r="N27" s="109"/>
      <c r="O27" s="99"/>
      <c r="P27" s="112">
        <f>+'B) Reajuste Tarifas y Ocupación'!C14</f>
        <v>125500</v>
      </c>
      <c r="Q27" s="695"/>
    </row>
    <row r="28" spans="1:247" x14ac:dyDescent="0.2">
      <c r="A28" s="727"/>
      <c r="B28" s="730"/>
      <c r="C28" s="92" t="s">
        <v>7</v>
      </c>
      <c r="D28" s="105">
        <f t="shared" si="16"/>
        <v>60</v>
      </c>
      <c r="E28" s="97">
        <f t="shared" si="16"/>
        <v>0</v>
      </c>
      <c r="F28" s="97">
        <f t="shared" si="16"/>
        <v>0</v>
      </c>
      <c r="G28" s="97">
        <f t="shared" si="17"/>
        <v>0</v>
      </c>
      <c r="H28" s="106">
        <f t="shared" si="17"/>
        <v>0</v>
      </c>
      <c r="I28" s="105">
        <f>+'B) Reajuste Tarifas y Ocupación'!C25</f>
        <v>60</v>
      </c>
      <c r="J28" s="97">
        <f>+'B) Reajuste Tarifas y Ocupación'!D25</f>
        <v>0</v>
      </c>
      <c r="K28" s="97">
        <f>+'B) Reajuste Tarifas y Ocupación'!E25</f>
        <v>0</v>
      </c>
      <c r="L28" s="97">
        <f>+'B) Reajuste Tarifas y Ocupación'!F25</f>
        <v>0</v>
      </c>
      <c r="M28" s="106">
        <f>+'B) Reajuste Tarifas y Ocupación'!G25</f>
        <v>0</v>
      </c>
      <c r="N28" s="110"/>
      <c r="O28" s="96"/>
      <c r="P28" s="113">
        <v>14</v>
      </c>
      <c r="Q28" s="696"/>
    </row>
    <row r="29" spans="1:247" ht="13.5" thickBot="1" x14ac:dyDescent="0.25">
      <c r="A29" s="727"/>
      <c r="B29" s="731"/>
      <c r="C29" s="100" t="s">
        <v>9</v>
      </c>
      <c r="D29" s="107">
        <f>D28*D27</f>
        <v>8436000</v>
      </c>
      <c r="E29" s="101">
        <f t="shared" ref="E29:H29" si="18">E28*E27</f>
        <v>0</v>
      </c>
      <c r="F29" s="101">
        <f t="shared" ref="F29" si="19">F28*F27</f>
        <v>0</v>
      </c>
      <c r="G29" s="101">
        <f t="shared" si="18"/>
        <v>0</v>
      </c>
      <c r="H29" s="108">
        <f t="shared" si="18"/>
        <v>0</v>
      </c>
      <c r="I29" s="107">
        <f t="shared" ref="I29:M29" si="20">I28*I27*10</f>
        <v>84360000</v>
      </c>
      <c r="J29" s="101">
        <f t="shared" si="20"/>
        <v>0</v>
      </c>
      <c r="K29" s="101">
        <f t="shared" ref="K29" si="21">K28*K27*10</f>
        <v>0</v>
      </c>
      <c r="L29" s="101">
        <f t="shared" si="20"/>
        <v>0</v>
      </c>
      <c r="M29" s="108">
        <f t="shared" si="20"/>
        <v>0</v>
      </c>
      <c r="N29" s="134">
        <f>SUM(D29:H29)</f>
        <v>8436000</v>
      </c>
      <c r="O29" s="135">
        <f>SUM(I29:M29)</f>
        <v>84360000</v>
      </c>
      <c r="P29" s="136">
        <f>P28*P27</f>
        <v>1757000</v>
      </c>
      <c r="Q29" s="137">
        <f>N29+O29+P29</f>
        <v>94553000</v>
      </c>
    </row>
    <row r="30" spans="1:247" ht="15.75" thickBot="1" x14ac:dyDescent="0.25">
      <c r="A30" s="728"/>
      <c r="B30" s="725" t="s">
        <v>10</v>
      </c>
      <c r="C30" s="725"/>
      <c r="D30" s="182">
        <f>+D23+D26+D29</f>
        <v>8615600</v>
      </c>
      <c r="E30" s="182">
        <f t="shared" ref="E30:M30" si="22">+E23+E26+E29</f>
        <v>0</v>
      </c>
      <c r="F30" s="182">
        <f t="shared" si="22"/>
        <v>0</v>
      </c>
      <c r="G30" s="182">
        <f t="shared" si="22"/>
        <v>0</v>
      </c>
      <c r="H30" s="182">
        <f t="shared" si="22"/>
        <v>0</v>
      </c>
      <c r="I30" s="182">
        <f t="shared" si="22"/>
        <v>86156000</v>
      </c>
      <c r="J30" s="182">
        <f t="shared" si="22"/>
        <v>0</v>
      </c>
      <c r="K30" s="182">
        <f t="shared" si="22"/>
        <v>0</v>
      </c>
      <c r="L30" s="182">
        <f t="shared" si="22"/>
        <v>0</v>
      </c>
      <c r="M30" s="182">
        <f t="shared" si="22"/>
        <v>0</v>
      </c>
      <c r="N30" s="517">
        <f>+N23+N26+N29</f>
        <v>8615600</v>
      </c>
      <c r="O30" s="517">
        <f t="shared" ref="O30" si="23">+O23+O26+O29</f>
        <v>86156000</v>
      </c>
      <c r="P30" s="517">
        <f t="shared" ref="P30" si="24">+P23+P26+P29</f>
        <v>2207900</v>
      </c>
      <c r="Q30" s="518">
        <f t="shared" ref="Q30" si="25">+Q23+Q26+Q29</f>
        <v>96979500</v>
      </c>
    </row>
    <row r="31" spans="1:247" ht="12.75" customHeight="1" x14ac:dyDescent="0.2">
      <c r="A31" s="734" t="str">
        <f>+'B) Reajuste Tarifas y Ocupación'!A15</f>
        <v>Sala Cuna Olitas de Mar</v>
      </c>
      <c r="B31" s="729" t="str">
        <f>+'B) Reajuste Tarifas y Ocupación'!B15</f>
        <v>Diurna</v>
      </c>
      <c r="C31" s="355" t="s">
        <v>256</v>
      </c>
      <c r="D31" s="221"/>
      <c r="E31" s="222">
        <f t="shared" ref="E31:H32" si="26">+J31</f>
        <v>537000</v>
      </c>
      <c r="F31" s="222">
        <f t="shared" si="26"/>
        <v>556900</v>
      </c>
      <c r="G31" s="222">
        <f t="shared" si="26"/>
        <v>497200</v>
      </c>
      <c r="H31" s="174">
        <f>+M31</f>
        <v>596600</v>
      </c>
      <c r="I31" s="230">
        <f>+'B) Reajuste Tarifas y Ocupación'!M15</f>
        <v>397800</v>
      </c>
      <c r="J31" s="222">
        <f>+'B) Reajuste Tarifas y Ocupación'!N15</f>
        <v>537000</v>
      </c>
      <c r="K31" s="222">
        <f>+'B) Reajuste Tarifas y Ocupación'!O15</f>
        <v>556900</v>
      </c>
      <c r="L31" s="222">
        <f>+'B) Reajuste Tarifas y Ocupación'!P15</f>
        <v>497200</v>
      </c>
      <c r="M31" s="231">
        <f>+'B) Reajuste Tarifas y Ocupación'!Q15</f>
        <v>596600</v>
      </c>
      <c r="N31" s="109"/>
      <c r="O31" s="99"/>
      <c r="P31" s="99"/>
      <c r="Q31" s="695"/>
    </row>
    <row r="32" spans="1:247" ht="12.75" customHeight="1" x14ac:dyDescent="0.2">
      <c r="A32" s="735"/>
      <c r="B32" s="730"/>
      <c r="C32" s="92" t="s">
        <v>7</v>
      </c>
      <c r="D32" s="223"/>
      <c r="E32" s="224">
        <f t="shared" si="26"/>
        <v>0</v>
      </c>
      <c r="F32" s="224">
        <f t="shared" si="26"/>
        <v>0</v>
      </c>
      <c r="G32" s="224">
        <f t="shared" si="26"/>
        <v>0</v>
      </c>
      <c r="H32" s="225">
        <f t="shared" si="26"/>
        <v>0</v>
      </c>
      <c r="I32" s="232">
        <f>+'B) Reajuste Tarifas y Ocupación'!C26</f>
        <v>9</v>
      </c>
      <c r="J32" s="224">
        <f>+'B) Reajuste Tarifas y Ocupación'!D26</f>
        <v>0</v>
      </c>
      <c r="K32" s="224">
        <f>+'B) Reajuste Tarifas y Ocupación'!E26</f>
        <v>0</v>
      </c>
      <c r="L32" s="224">
        <f>+'B) Reajuste Tarifas y Ocupación'!F26</f>
        <v>0</v>
      </c>
      <c r="M32" s="233">
        <f>+'B) Reajuste Tarifas y Ocupación'!G26</f>
        <v>0</v>
      </c>
      <c r="N32" s="110"/>
      <c r="O32" s="96"/>
      <c r="P32" s="96"/>
      <c r="Q32" s="696"/>
    </row>
    <row r="33" spans="1:17" ht="13.5" customHeight="1" thickBot="1" x14ac:dyDescent="0.25">
      <c r="A33" s="735"/>
      <c r="B33" s="731"/>
      <c r="C33" s="100" t="s">
        <v>9</v>
      </c>
      <c r="D33" s="107">
        <f>D32*D31</f>
        <v>0</v>
      </c>
      <c r="E33" s="101">
        <f>E32*E31</f>
        <v>0</v>
      </c>
      <c r="F33" s="101">
        <f t="shared" ref="F33:H33" si="27">F32*F31</f>
        <v>0</v>
      </c>
      <c r="G33" s="101">
        <f t="shared" si="27"/>
        <v>0</v>
      </c>
      <c r="H33" s="114">
        <f t="shared" si="27"/>
        <v>0</v>
      </c>
      <c r="I33" s="107">
        <f>I32*I31*12</f>
        <v>42962400</v>
      </c>
      <c r="J33" s="101">
        <f t="shared" ref="J33:M33" si="28">J32*J31*12</f>
        <v>0</v>
      </c>
      <c r="K33" s="101">
        <f t="shared" si="28"/>
        <v>0</v>
      </c>
      <c r="L33" s="101">
        <f t="shared" si="28"/>
        <v>0</v>
      </c>
      <c r="M33" s="108">
        <f t="shared" si="28"/>
        <v>0</v>
      </c>
      <c r="N33" s="111">
        <f>SUM(D33:H33)</f>
        <v>0</v>
      </c>
      <c r="O33" s="102">
        <f>SUM(I33:M33)</f>
        <v>42962400</v>
      </c>
      <c r="P33" s="114">
        <f>P32*P31</f>
        <v>0</v>
      </c>
      <c r="Q33" s="115">
        <f>N33+O33+P33</f>
        <v>42962400</v>
      </c>
    </row>
    <row r="34" spans="1:17" ht="12.75" customHeight="1" x14ac:dyDescent="0.2">
      <c r="A34" s="735"/>
      <c r="B34" s="729" t="str">
        <f>+'B) Reajuste Tarifas y Ocupación'!B16</f>
        <v>Nocturna</v>
      </c>
      <c r="C34" s="355" t="s">
        <v>256</v>
      </c>
      <c r="D34" s="223"/>
      <c r="E34" s="226"/>
      <c r="F34" s="226"/>
      <c r="G34" s="226"/>
      <c r="H34" s="227"/>
      <c r="I34" s="240"/>
      <c r="J34" s="241"/>
      <c r="K34" s="241"/>
      <c r="L34" s="241"/>
      <c r="M34" s="242"/>
      <c r="N34" s="109"/>
      <c r="O34" s="99"/>
      <c r="P34" s="99"/>
      <c r="Q34" s="695"/>
    </row>
    <row r="35" spans="1:17" ht="12.75" customHeight="1" x14ac:dyDescent="0.2">
      <c r="A35" s="735"/>
      <c r="B35" s="730"/>
      <c r="C35" s="92" t="s">
        <v>7</v>
      </c>
      <c r="D35" s="223"/>
      <c r="E35" s="228">
        <f t="shared" ref="E35:H35" si="29">+J35</f>
        <v>0</v>
      </c>
      <c r="F35" s="228">
        <f t="shared" si="29"/>
        <v>0</v>
      </c>
      <c r="G35" s="228">
        <f t="shared" si="29"/>
        <v>0</v>
      </c>
      <c r="H35" s="229">
        <f t="shared" si="29"/>
        <v>0</v>
      </c>
      <c r="I35" s="237">
        <f>+'[1]B) Reajuste Tarifas y Ocupación'!C27</f>
        <v>0</v>
      </c>
      <c r="J35" s="228">
        <f>+'[1]B) Reajuste Tarifas y Ocupación'!D27</f>
        <v>0</v>
      </c>
      <c r="K35" s="228">
        <f>+'[1]B) Reajuste Tarifas y Ocupación'!E27</f>
        <v>0</v>
      </c>
      <c r="L35" s="228">
        <f>+'[1]B) Reajuste Tarifas y Ocupación'!F27</f>
        <v>0</v>
      </c>
      <c r="M35" s="238">
        <f>+'[1]B) Reajuste Tarifas y Ocupación'!G27</f>
        <v>0</v>
      </c>
      <c r="N35" s="110"/>
      <c r="O35" s="96"/>
      <c r="P35" s="96"/>
      <c r="Q35" s="696"/>
    </row>
    <row r="36" spans="1:17" ht="13.5" customHeight="1" thickBot="1" x14ac:dyDescent="0.25">
      <c r="A36" s="735"/>
      <c r="B36" s="731"/>
      <c r="C36" s="100" t="s">
        <v>9</v>
      </c>
      <c r="D36" s="107">
        <f>D35*D34</f>
        <v>0</v>
      </c>
      <c r="E36" s="101">
        <f>E35*E34</f>
        <v>0</v>
      </c>
      <c r="F36" s="101">
        <f t="shared" ref="F36:G36" si="30">F35*F34</f>
        <v>0</v>
      </c>
      <c r="G36" s="101">
        <f t="shared" si="30"/>
        <v>0</v>
      </c>
      <c r="H36" s="114">
        <f>H35*H34</f>
        <v>0</v>
      </c>
      <c r="I36" s="234">
        <f>I35*I34*12</f>
        <v>0</v>
      </c>
      <c r="J36" s="235">
        <f t="shared" ref="J36:M36" si="31">J35*J34*12</f>
        <v>0</v>
      </c>
      <c r="K36" s="235">
        <f t="shared" si="31"/>
        <v>0</v>
      </c>
      <c r="L36" s="235">
        <f t="shared" si="31"/>
        <v>0</v>
      </c>
      <c r="M36" s="236">
        <f t="shared" si="31"/>
        <v>0</v>
      </c>
      <c r="N36" s="111">
        <f>SUM(D36:H36)</f>
        <v>0</v>
      </c>
      <c r="O36" s="102">
        <f>SUM(I36:M36)</f>
        <v>0</v>
      </c>
      <c r="P36" s="114">
        <f>P35*P34</f>
        <v>0</v>
      </c>
      <c r="Q36" s="115">
        <f>N36+O36+P36</f>
        <v>0</v>
      </c>
    </row>
    <row r="37" spans="1:17" ht="12.75" customHeight="1" x14ac:dyDescent="0.2">
      <c r="A37" s="735"/>
      <c r="B37" s="729" t="str">
        <f>+'B) Reajuste Tarifas y Ocupación'!B17</f>
        <v>Media Jornada</v>
      </c>
      <c r="C37" s="355" t="s">
        <v>256</v>
      </c>
      <c r="D37" s="223"/>
      <c r="E37" s="222">
        <f t="shared" ref="E37:H38" si="32">+J37</f>
        <v>322600</v>
      </c>
      <c r="F37" s="222">
        <f t="shared" si="32"/>
        <v>334500</v>
      </c>
      <c r="G37" s="222">
        <f t="shared" si="32"/>
        <v>358100</v>
      </c>
      <c r="H37" s="174">
        <f>+M37</f>
        <v>477400</v>
      </c>
      <c r="I37" s="230">
        <f>+'B) Reajuste Tarifas y Ocupación'!M17</f>
        <v>238900</v>
      </c>
      <c r="J37" s="222">
        <f>+'B) Reajuste Tarifas y Ocupación'!N17</f>
        <v>322600</v>
      </c>
      <c r="K37" s="222">
        <f>+'B) Reajuste Tarifas y Ocupación'!O17</f>
        <v>334500</v>
      </c>
      <c r="L37" s="222">
        <f>+'B) Reajuste Tarifas y Ocupación'!P17</f>
        <v>358100</v>
      </c>
      <c r="M37" s="231">
        <f>+'B) Reajuste Tarifas y Ocupación'!Q17</f>
        <v>477400</v>
      </c>
      <c r="N37" s="203"/>
      <c r="O37" s="205"/>
      <c r="P37" s="205"/>
      <c r="Q37" s="695"/>
    </row>
    <row r="38" spans="1:17" ht="12.75" customHeight="1" x14ac:dyDescent="0.2">
      <c r="A38" s="735"/>
      <c r="B38" s="730"/>
      <c r="C38" s="92" t="s">
        <v>7</v>
      </c>
      <c r="D38" s="223"/>
      <c r="E38" s="224">
        <f t="shared" si="32"/>
        <v>0</v>
      </c>
      <c r="F38" s="224">
        <f t="shared" si="32"/>
        <v>0</v>
      </c>
      <c r="G38" s="224">
        <f t="shared" si="32"/>
        <v>0</v>
      </c>
      <c r="H38" s="225">
        <f t="shared" si="32"/>
        <v>0</v>
      </c>
      <c r="I38" s="232">
        <f>+'B) Reajuste Tarifas y Ocupación'!C28</f>
        <v>0</v>
      </c>
      <c r="J38" s="224">
        <f>+'B) Reajuste Tarifas y Ocupación'!D28</f>
        <v>0</v>
      </c>
      <c r="K38" s="224">
        <f>+'B) Reajuste Tarifas y Ocupación'!E28</f>
        <v>0</v>
      </c>
      <c r="L38" s="224">
        <f>+'B) Reajuste Tarifas y Ocupación'!F28</f>
        <v>0</v>
      </c>
      <c r="M38" s="233">
        <f>+'B) Reajuste Tarifas y Ocupación'!G28</f>
        <v>0</v>
      </c>
      <c r="N38" s="208"/>
      <c r="O38" s="207"/>
      <c r="P38" s="207"/>
      <c r="Q38" s="696"/>
    </row>
    <row r="39" spans="1:17" ht="13.5" customHeight="1" thickBot="1" x14ac:dyDescent="0.25">
      <c r="A39" s="735"/>
      <c r="B39" s="731"/>
      <c r="C39" s="100" t="s">
        <v>9</v>
      </c>
      <c r="D39" s="107">
        <f>D38*D37</f>
        <v>0</v>
      </c>
      <c r="E39" s="101">
        <f>E38*E37</f>
        <v>0</v>
      </c>
      <c r="F39" s="101">
        <f t="shared" ref="F39:H39" si="33">F38*F37</f>
        <v>0</v>
      </c>
      <c r="G39" s="101">
        <f t="shared" si="33"/>
        <v>0</v>
      </c>
      <c r="H39" s="114">
        <f t="shared" si="33"/>
        <v>0</v>
      </c>
      <c r="I39" s="107">
        <f>I38*I37*12</f>
        <v>0</v>
      </c>
      <c r="J39" s="101">
        <f t="shared" ref="J39:M39" si="34">J38*J37*12</f>
        <v>0</v>
      </c>
      <c r="K39" s="101">
        <f t="shared" si="34"/>
        <v>0</v>
      </c>
      <c r="L39" s="101">
        <f t="shared" si="34"/>
        <v>0</v>
      </c>
      <c r="M39" s="108">
        <f t="shared" si="34"/>
        <v>0</v>
      </c>
      <c r="N39" s="111">
        <f>SUM(D39:H39)</f>
        <v>0</v>
      </c>
      <c r="O39" s="102">
        <f>SUM(I39:M39)</f>
        <v>0</v>
      </c>
      <c r="P39" s="101">
        <f>P38*P37</f>
        <v>0</v>
      </c>
      <c r="Q39" s="206">
        <f>N39+O39+P39</f>
        <v>0</v>
      </c>
    </row>
    <row r="40" spans="1:17" ht="15.75" customHeight="1" thickBot="1" x14ac:dyDescent="0.25">
      <c r="A40" s="736"/>
      <c r="B40" s="725" t="s">
        <v>10</v>
      </c>
      <c r="C40" s="725"/>
      <c r="D40" s="182">
        <f>+D33+D39+D36</f>
        <v>0</v>
      </c>
      <c r="E40" s="182">
        <f t="shared" ref="E40:P40" si="35">+E33+E39+E36</f>
        <v>0</v>
      </c>
      <c r="F40" s="182">
        <f>+F33+F39+F36</f>
        <v>0</v>
      </c>
      <c r="G40" s="182">
        <f t="shared" si="35"/>
        <v>0</v>
      </c>
      <c r="H40" s="182">
        <f t="shared" si="35"/>
        <v>0</v>
      </c>
      <c r="I40" s="182">
        <f>+I33+I39+I36</f>
        <v>42962400</v>
      </c>
      <c r="J40" s="182">
        <f>+J33+J39+J36</f>
        <v>0</v>
      </c>
      <c r="K40" s="182">
        <f t="shared" si="35"/>
        <v>0</v>
      </c>
      <c r="L40" s="182">
        <f t="shared" si="35"/>
        <v>0</v>
      </c>
      <c r="M40" s="182">
        <f>+M33+M39+M36</f>
        <v>0</v>
      </c>
      <c r="N40" s="182">
        <f t="shared" si="35"/>
        <v>0</v>
      </c>
      <c r="O40" s="182">
        <f t="shared" si="35"/>
        <v>42962400</v>
      </c>
      <c r="P40" s="182">
        <f t="shared" si="35"/>
        <v>0</v>
      </c>
      <c r="Q40" s="182">
        <f>+Q33+Q39+Q36</f>
        <v>42962400</v>
      </c>
    </row>
    <row r="41" spans="1:17" ht="15" customHeight="1" thickBot="1" x14ac:dyDescent="0.25">
      <c r="A41" s="732" t="s">
        <v>8</v>
      </c>
      <c r="B41" s="733"/>
      <c r="C41" s="733"/>
      <c r="D41" s="183">
        <f>+D30+D40</f>
        <v>8615600</v>
      </c>
      <c r="E41" s="183">
        <f t="shared" ref="E41:Q41" si="36">+E30+E40</f>
        <v>0</v>
      </c>
      <c r="F41" s="183">
        <f t="shared" si="36"/>
        <v>0</v>
      </c>
      <c r="G41" s="183">
        <f t="shared" si="36"/>
        <v>0</v>
      </c>
      <c r="H41" s="183">
        <f t="shared" si="36"/>
        <v>0</v>
      </c>
      <c r="I41" s="183">
        <f t="shared" si="36"/>
        <v>129118400</v>
      </c>
      <c r="J41" s="183">
        <f t="shared" si="36"/>
        <v>0</v>
      </c>
      <c r="K41" s="183">
        <f t="shared" si="36"/>
        <v>0</v>
      </c>
      <c r="L41" s="183">
        <f t="shared" si="36"/>
        <v>0</v>
      </c>
      <c r="M41" s="183">
        <f t="shared" si="36"/>
        <v>0</v>
      </c>
      <c r="N41" s="183">
        <f t="shared" si="36"/>
        <v>8615600</v>
      </c>
      <c r="O41" s="183">
        <f t="shared" si="36"/>
        <v>129118400</v>
      </c>
      <c r="P41" s="183">
        <f t="shared" si="36"/>
        <v>2207900</v>
      </c>
      <c r="Q41" s="183">
        <f t="shared" si="36"/>
        <v>139941900</v>
      </c>
    </row>
  </sheetData>
  <mergeCells count="30">
    <mergeCell ref="Q31:Q32"/>
    <mergeCell ref="B34:B36"/>
    <mergeCell ref="Q34:Q35"/>
    <mergeCell ref="B37:B39"/>
    <mergeCell ref="Q37:Q38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</mergeCells>
  <phoneticPr fontId="33" type="noConversion"/>
  <conditionalFormatting sqref="B9:I12">
    <cfRule type="cellIs" dxfId="4" priority="1" stopIfTrue="1" operator="lessThan">
      <formula>0</formula>
    </cfRule>
  </conditionalFormatting>
  <conditionalFormatting sqref="C13:N13 D14:N16 E17:N17">
    <cfRule type="cellIs" dxfId="3" priority="8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E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abSelected="1" zoomScale="80" zoomScaleNormal="80" workbookViewId="0">
      <selection activeCell="L21" sqref="L21"/>
    </sheetView>
  </sheetViews>
  <sheetFormatPr baseColWidth="10" defaultColWidth="11.42578125" defaultRowHeight="12.75" x14ac:dyDescent="0.2"/>
  <cols>
    <col min="1" max="1" width="56.5703125" customWidth="1"/>
    <col min="2" max="2" width="33.85546875" customWidth="1"/>
    <col min="3" max="3" width="12.28515625" customWidth="1"/>
    <col min="4" max="4" width="13.71093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6" width="11.85546875" customWidth="1"/>
    <col min="17" max="17" width="14" customWidth="1"/>
    <col min="18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24" t="s">
        <v>198</v>
      </c>
      <c r="S1" s="3"/>
      <c r="IU1" s="2"/>
      <c r="IV1" s="2"/>
    </row>
    <row r="2" spans="1:256" s="4" customFormat="1" x14ac:dyDescent="0.2">
      <c r="A2" s="5"/>
      <c r="F2" s="24" t="s">
        <v>191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16"/>
      <c r="S4" s="2"/>
      <c r="T4" s="16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16"/>
      <c r="C5" s="697" t="s">
        <v>0</v>
      </c>
      <c r="D5" s="773"/>
      <c r="E5" s="6"/>
      <c r="F5" s="756" t="s">
        <v>122</v>
      </c>
      <c r="G5" s="757"/>
      <c r="S5" s="2"/>
      <c r="T5" s="16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16"/>
      <c r="C6" s="6"/>
      <c r="D6" s="6"/>
      <c r="E6" s="6"/>
      <c r="F6" s="24"/>
      <c r="G6" s="24"/>
      <c r="S6" s="2"/>
      <c r="T6" s="16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16"/>
      <c r="C7" s="6"/>
      <c r="D7" s="6"/>
      <c r="E7" s="6"/>
      <c r="F7" s="24"/>
      <c r="G7" s="24"/>
      <c r="S7" s="2"/>
      <c r="T7" s="16"/>
      <c r="V7" s="29"/>
      <c r="W7" s="29"/>
      <c r="IL7" s="2"/>
      <c r="IM7" s="2"/>
      <c r="IN7" s="2"/>
      <c r="IO7" s="2"/>
      <c r="IP7" s="2"/>
      <c r="IQ7" s="2"/>
    </row>
    <row r="8" spans="1:256" s="4" customFormat="1" ht="15.75" x14ac:dyDescent="0.2">
      <c r="A8" s="743" t="s">
        <v>145</v>
      </c>
      <c r="B8" s="743"/>
      <c r="C8" s="743"/>
      <c r="D8" s="743"/>
      <c r="E8" s="47"/>
      <c r="F8" s="24"/>
      <c r="G8" s="24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765" t="s">
        <v>132</v>
      </c>
      <c r="B10" s="761" t="s">
        <v>5</v>
      </c>
      <c r="C10" s="763" t="s">
        <v>251</v>
      </c>
      <c r="D10" s="741"/>
      <c r="E10" s="741"/>
      <c r="F10" s="741"/>
      <c r="G10" s="764"/>
      <c r="H10" s="744" t="s">
        <v>107</v>
      </c>
      <c r="I10" s="745"/>
      <c r="J10" s="745"/>
      <c r="K10" s="745"/>
      <c r="L10" s="746"/>
      <c r="M10" s="740" t="s">
        <v>257</v>
      </c>
      <c r="N10" s="741"/>
      <c r="O10" s="741"/>
      <c r="P10" s="741"/>
      <c r="Q10" s="742"/>
      <c r="R10" s="12"/>
    </row>
    <row r="11" spans="1:256" ht="94.5" customHeight="1" thickBot="1" x14ac:dyDescent="0.25">
      <c r="A11" s="766"/>
      <c r="B11" s="762"/>
      <c r="C11" s="431" t="s">
        <v>85</v>
      </c>
      <c r="D11" s="432" t="s">
        <v>133</v>
      </c>
      <c r="E11" s="432" t="s">
        <v>134</v>
      </c>
      <c r="F11" s="432" t="s">
        <v>86</v>
      </c>
      <c r="G11" s="433" t="s">
        <v>87</v>
      </c>
      <c r="H11" s="434" t="s">
        <v>85</v>
      </c>
      <c r="I11" s="435" t="s">
        <v>133</v>
      </c>
      <c r="J11" s="435" t="s">
        <v>134</v>
      </c>
      <c r="K11" s="436" t="s">
        <v>86</v>
      </c>
      <c r="L11" s="437" t="s">
        <v>87</v>
      </c>
      <c r="M11" s="443" t="s">
        <v>85</v>
      </c>
      <c r="N11" s="432" t="s">
        <v>133</v>
      </c>
      <c r="O11" s="432" t="s">
        <v>134</v>
      </c>
      <c r="P11" s="432" t="s">
        <v>86</v>
      </c>
      <c r="Q11" s="438" t="s">
        <v>87</v>
      </c>
      <c r="R11" s="12"/>
    </row>
    <row r="12" spans="1:256" ht="13.5" customHeight="1" x14ac:dyDescent="0.2">
      <c r="A12" s="747" t="s">
        <v>207</v>
      </c>
      <c r="B12" s="376" t="s">
        <v>126</v>
      </c>
      <c r="C12" s="379">
        <v>70200</v>
      </c>
      <c r="D12" s="380">
        <v>94800</v>
      </c>
      <c r="E12" s="380">
        <v>98300</v>
      </c>
      <c r="F12" s="380">
        <v>106100</v>
      </c>
      <c r="G12" s="439">
        <v>170200</v>
      </c>
      <c r="H12" s="444">
        <v>0.12</v>
      </c>
      <c r="I12" s="381">
        <f>+H12</f>
        <v>0.12</v>
      </c>
      <c r="J12" s="381">
        <f>+H12</f>
        <v>0.12</v>
      </c>
      <c r="K12" s="381">
        <f>+H12</f>
        <v>0.12</v>
      </c>
      <c r="L12" s="445">
        <f>+H12</f>
        <v>0.12</v>
      </c>
      <c r="M12" s="372">
        <f>CEILING(C12*(1+H12),100)</f>
        <v>78700</v>
      </c>
      <c r="N12" s="368">
        <f>+CEILING(C12*(1.35)*(1+I12),100)</f>
        <v>106200</v>
      </c>
      <c r="O12" s="368">
        <f>+CEILING(C12*(1.4)*(1+J12),100)</f>
        <v>110100</v>
      </c>
      <c r="P12" s="368">
        <f>+CEILING(F12*(1+K12),100)</f>
        <v>118900</v>
      </c>
      <c r="Q12" s="369">
        <f>+CEILING(G12*(1+L12),100)</f>
        <v>190700</v>
      </c>
      <c r="R12" s="37"/>
    </row>
    <row r="13" spans="1:256" ht="13.5" customHeight="1" x14ac:dyDescent="0.2">
      <c r="A13" s="748"/>
      <c r="B13" s="377" t="s">
        <v>204</v>
      </c>
      <c r="C13" s="382">
        <v>80100</v>
      </c>
      <c r="D13" s="375">
        <v>108100</v>
      </c>
      <c r="E13" s="375">
        <v>112100</v>
      </c>
      <c r="F13" s="375">
        <v>151600</v>
      </c>
      <c r="G13" s="440">
        <v>225900</v>
      </c>
      <c r="H13" s="446">
        <v>0.12</v>
      </c>
      <c r="I13" s="374">
        <f>+H13</f>
        <v>0.12</v>
      </c>
      <c r="J13" s="374">
        <f>+H13</f>
        <v>0.12</v>
      </c>
      <c r="K13" s="374">
        <f>+H13</f>
        <v>0.12</v>
      </c>
      <c r="L13" s="447">
        <f>+H13</f>
        <v>0.12</v>
      </c>
      <c r="M13" s="373">
        <f>CEILING(C13*(1+H13),100)</f>
        <v>89800</v>
      </c>
      <c r="N13" s="370">
        <f t="shared" ref="N13:N14" si="0">+CEILING(C13*(1.35)*(1+I13),100)</f>
        <v>121200</v>
      </c>
      <c r="O13" s="370">
        <f t="shared" ref="O13:O14" si="1">+CEILING(C13*(1.4)*(1+J13),100)</f>
        <v>125600</v>
      </c>
      <c r="P13" s="370">
        <f>+CEILING(F13*(1+K13),100)</f>
        <v>169800</v>
      </c>
      <c r="Q13" s="371">
        <f>+CEILING(G13*(1+L13),100)</f>
        <v>253100</v>
      </c>
      <c r="R13" s="37"/>
    </row>
    <row r="14" spans="1:256" ht="13.5" customHeight="1" thickBot="1" x14ac:dyDescent="0.25">
      <c r="A14" s="749"/>
      <c r="B14" s="378" t="s">
        <v>205</v>
      </c>
      <c r="C14" s="428">
        <v>125500</v>
      </c>
      <c r="D14" s="429">
        <v>169400</v>
      </c>
      <c r="E14" s="429">
        <v>175700</v>
      </c>
      <c r="F14" s="429">
        <v>194300</v>
      </c>
      <c r="G14" s="441">
        <v>312200</v>
      </c>
      <c r="H14" s="448">
        <v>0.12</v>
      </c>
      <c r="I14" s="138">
        <f t="shared" ref="I14" si="2">+H14</f>
        <v>0.12</v>
      </c>
      <c r="J14" s="138">
        <f t="shared" ref="J14" si="3">+H14</f>
        <v>0.12</v>
      </c>
      <c r="K14" s="138">
        <f t="shared" ref="K14" si="4">+H14</f>
        <v>0.12</v>
      </c>
      <c r="L14" s="449">
        <f t="shared" ref="L14" si="5">+H14</f>
        <v>0.12</v>
      </c>
      <c r="M14" s="430">
        <f t="shared" ref="M14:M15" si="6">CEILING(C14*(1+H14),100)</f>
        <v>140600</v>
      </c>
      <c r="N14" s="383">
        <f t="shared" si="0"/>
        <v>189800</v>
      </c>
      <c r="O14" s="383">
        <f t="shared" si="1"/>
        <v>196800</v>
      </c>
      <c r="P14" s="383">
        <f t="shared" ref="P14:Q15" si="7">+CEILING(F14*(1+K14),100)</f>
        <v>217700</v>
      </c>
      <c r="Q14" s="384">
        <f t="shared" si="7"/>
        <v>349700</v>
      </c>
    </row>
    <row r="15" spans="1:256" ht="12.75" customHeight="1" x14ac:dyDescent="0.2">
      <c r="A15" s="771" t="s">
        <v>218</v>
      </c>
      <c r="B15" s="421" t="s">
        <v>221</v>
      </c>
      <c r="C15" s="422">
        <v>368300</v>
      </c>
      <c r="D15" s="423">
        <v>497200</v>
      </c>
      <c r="E15" s="423">
        <v>515600</v>
      </c>
      <c r="F15" s="423">
        <v>460300</v>
      </c>
      <c r="G15" s="442">
        <v>552400</v>
      </c>
      <c r="H15" s="450">
        <v>0.08</v>
      </c>
      <c r="I15" s="424">
        <f>+H15</f>
        <v>0.08</v>
      </c>
      <c r="J15" s="424">
        <f t="shared" ref="J15" si="8">+H15</f>
        <v>0.08</v>
      </c>
      <c r="K15" s="424">
        <f t="shared" ref="K15" si="9">+H15</f>
        <v>0.08</v>
      </c>
      <c r="L15" s="451">
        <f t="shared" ref="L15" si="10">+H15</f>
        <v>0.08</v>
      </c>
      <c r="M15" s="425">
        <f t="shared" si="6"/>
        <v>397800</v>
      </c>
      <c r="N15" s="426">
        <f>+CEILING(C15*(1.35)*(1+I15),100)</f>
        <v>537000</v>
      </c>
      <c r="O15" s="426">
        <f>+CEILING(C15*(1.4)*(1+J15),100)</f>
        <v>556900</v>
      </c>
      <c r="P15" s="426">
        <f t="shared" si="7"/>
        <v>497200</v>
      </c>
      <c r="Q15" s="427">
        <f>+CEILING(G15*(1+L15),100)</f>
        <v>596600</v>
      </c>
    </row>
    <row r="16" spans="1:256" x14ac:dyDescent="0.2">
      <c r="A16" s="748"/>
      <c r="B16" s="377" t="s">
        <v>220</v>
      </c>
      <c r="C16" s="526"/>
      <c r="D16" s="527"/>
      <c r="E16" s="527"/>
      <c r="F16" s="527"/>
      <c r="G16" s="528"/>
      <c r="H16" s="737"/>
      <c r="I16" s="738"/>
      <c r="J16" s="738"/>
      <c r="K16" s="738"/>
      <c r="L16" s="739"/>
      <c r="M16" s="737"/>
      <c r="N16" s="738"/>
      <c r="O16" s="738"/>
      <c r="P16" s="738"/>
      <c r="Q16" s="739"/>
    </row>
    <row r="17" spans="1:17" ht="13.5" thickBot="1" x14ac:dyDescent="0.25">
      <c r="A17" s="772"/>
      <c r="B17" s="378" t="s">
        <v>219</v>
      </c>
      <c r="C17" s="513">
        <v>221200</v>
      </c>
      <c r="D17" s="514">
        <v>298600</v>
      </c>
      <c r="E17" s="514">
        <v>309600</v>
      </c>
      <c r="F17" s="514">
        <v>331500</v>
      </c>
      <c r="G17" s="515">
        <v>442000</v>
      </c>
      <c r="H17" s="448">
        <v>0.08</v>
      </c>
      <c r="I17" s="138">
        <f t="shared" ref="I17" si="11">+H17</f>
        <v>0.08</v>
      </c>
      <c r="J17" s="138">
        <f t="shared" ref="J17" si="12">+H17</f>
        <v>0.08</v>
      </c>
      <c r="K17" s="138">
        <f t="shared" ref="K17" si="13">+H17</f>
        <v>0.08</v>
      </c>
      <c r="L17" s="449">
        <f t="shared" ref="L17" si="14">+H17</f>
        <v>0.08</v>
      </c>
      <c r="M17" s="387">
        <f t="shared" ref="M17" si="15">CEILING(C17*(1+H17),100)</f>
        <v>238900</v>
      </c>
      <c r="N17" s="383">
        <f>+CEILING(C17*(1.35)*(1+I17),100)</f>
        <v>322600</v>
      </c>
      <c r="O17" s="383">
        <f>+CEILING(C17*(1.4)*(1+J17),100)</f>
        <v>334500</v>
      </c>
      <c r="P17" s="383">
        <f>+CEILING(F17*(1+K17),100)</f>
        <v>358100</v>
      </c>
      <c r="Q17" s="384">
        <f>+CEILING(G17*(1+L17),100)</f>
        <v>477400</v>
      </c>
    </row>
    <row r="18" spans="1:17" x14ac:dyDescent="0.2">
      <c r="D18" s="55"/>
    </row>
    <row r="19" spans="1:17" ht="15.75" x14ac:dyDescent="0.2">
      <c r="A19" s="743" t="s">
        <v>146</v>
      </c>
      <c r="B19" s="743"/>
      <c r="C19" s="743"/>
      <c r="D19" s="743"/>
      <c r="E19" s="743"/>
      <c r="F19" s="743"/>
      <c r="G19" s="4"/>
      <c r="H19" s="4"/>
    </row>
    <row r="20" spans="1:17" ht="13.5" thickBot="1" x14ac:dyDescent="0.25"/>
    <row r="21" spans="1:17" ht="16.5" thickBot="1" x14ac:dyDescent="0.25">
      <c r="A21" s="769" t="s">
        <v>132</v>
      </c>
      <c r="B21" s="767" t="s">
        <v>5</v>
      </c>
      <c r="C21" s="758" t="s">
        <v>258</v>
      </c>
      <c r="D21" s="759"/>
      <c r="E21" s="759"/>
      <c r="F21" s="759"/>
      <c r="G21" s="759"/>
      <c r="H21" s="760"/>
    </row>
    <row r="22" spans="1:17" ht="82.5" customHeight="1" thickBot="1" x14ac:dyDescent="0.25">
      <c r="A22" s="770"/>
      <c r="B22" s="768"/>
      <c r="C22" s="467" t="s">
        <v>85</v>
      </c>
      <c r="D22" s="468" t="s">
        <v>133</v>
      </c>
      <c r="E22" s="468" t="s">
        <v>134</v>
      </c>
      <c r="F22" s="468" t="s">
        <v>86</v>
      </c>
      <c r="G22" s="469" t="s">
        <v>87</v>
      </c>
      <c r="H22" s="463" t="s">
        <v>131</v>
      </c>
    </row>
    <row r="23" spans="1:17" ht="20.100000000000001" customHeight="1" x14ac:dyDescent="0.2">
      <c r="A23" s="753" t="str">
        <f>+A12</f>
        <v>Jardín Infantil Olitas de Mar</v>
      </c>
      <c r="B23" s="455" t="str">
        <f>+B12</f>
        <v>Media jornada</v>
      </c>
      <c r="C23" s="459"/>
      <c r="D23" s="239"/>
      <c r="E23" s="239"/>
      <c r="F23" s="239"/>
      <c r="G23" s="470"/>
      <c r="H23" s="464">
        <f>SUM(C23:G23)</f>
        <v>0</v>
      </c>
    </row>
    <row r="24" spans="1:17" ht="20.100000000000001" customHeight="1" thickBot="1" x14ac:dyDescent="0.25">
      <c r="A24" s="754"/>
      <c r="B24" s="452" t="str">
        <f t="shared" ref="B24:B28" si="16">+B13</f>
        <v>Media jornada Extendida</v>
      </c>
      <c r="C24" s="460">
        <v>2</v>
      </c>
      <c r="D24" s="91"/>
      <c r="E24" s="91"/>
      <c r="F24" s="91"/>
      <c r="G24" s="471"/>
      <c r="H24" s="465">
        <f>SUM(C24:G24)</f>
        <v>2</v>
      </c>
    </row>
    <row r="25" spans="1:17" ht="20.100000000000001" customHeight="1" thickBot="1" x14ac:dyDescent="0.25">
      <c r="A25" s="755"/>
      <c r="B25" s="456" t="str">
        <f t="shared" si="16"/>
        <v>Jornada Completa</v>
      </c>
      <c r="C25" s="461">
        <v>60</v>
      </c>
      <c r="D25" s="54"/>
      <c r="E25" s="54"/>
      <c r="F25" s="54"/>
      <c r="G25" s="472"/>
      <c r="H25" s="466">
        <f t="shared" ref="H25" si="17">SUM(C25:G25)</f>
        <v>60</v>
      </c>
      <c r="I25" s="458">
        <f>SUM(H23:H25)</f>
        <v>62</v>
      </c>
    </row>
    <row r="26" spans="1:17" ht="19.5" customHeight="1" x14ac:dyDescent="0.2">
      <c r="A26" s="750" t="str">
        <f>+A15</f>
        <v>Sala Cuna Olitas de Mar</v>
      </c>
      <c r="B26" s="455" t="str">
        <f t="shared" si="16"/>
        <v>Diurna</v>
      </c>
      <c r="C26" s="459">
        <v>9</v>
      </c>
      <c r="D26" s="239"/>
      <c r="E26" s="239"/>
      <c r="F26" s="239"/>
      <c r="G26" s="470"/>
      <c r="H26" s="464">
        <f>SUM(C26:G26)</f>
        <v>9</v>
      </c>
    </row>
    <row r="27" spans="1:17" ht="19.5" customHeight="1" thickBot="1" x14ac:dyDescent="0.25">
      <c r="A27" s="751"/>
      <c r="B27" s="452" t="str">
        <f t="shared" si="16"/>
        <v>Nocturna</v>
      </c>
      <c r="C27" s="462"/>
      <c r="D27" s="454"/>
      <c r="E27" s="454"/>
      <c r="F27" s="454"/>
      <c r="G27" s="473"/>
      <c r="H27" s="453"/>
    </row>
    <row r="28" spans="1:17" ht="19.5" customHeight="1" thickBot="1" x14ac:dyDescent="0.25">
      <c r="A28" s="752"/>
      <c r="B28" s="457" t="str">
        <f t="shared" si="16"/>
        <v>Media Jornada</v>
      </c>
      <c r="C28" s="461"/>
      <c r="D28" s="54"/>
      <c r="E28" s="54"/>
      <c r="F28" s="54"/>
      <c r="G28" s="472"/>
      <c r="H28" s="466">
        <f>SUM(C28:G28)</f>
        <v>0</v>
      </c>
      <c r="I28" s="458">
        <f>SUM(H26:H28)</f>
        <v>9</v>
      </c>
    </row>
  </sheetData>
  <mergeCells count="18"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5:D5"/>
    <mergeCell ref="M16:Q16"/>
    <mergeCell ref="H16:L16"/>
    <mergeCell ref="M10:Q10"/>
    <mergeCell ref="A19:F19"/>
    <mergeCell ref="H10:L10"/>
    <mergeCell ref="A12:A14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zoomScale="80" zoomScaleNormal="80" workbookViewId="0">
      <selection activeCell="E126" sqref="E126"/>
    </sheetView>
  </sheetViews>
  <sheetFormatPr baseColWidth="10" defaultColWidth="11.42578125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17" customWidth="1"/>
    <col min="7" max="7" width="14.28515625" style="4" customWidth="1"/>
    <col min="8" max="8" width="23" style="4" customWidth="1"/>
    <col min="9" max="9" width="15.7109375" style="2" bestFit="1" customWidth="1"/>
    <col min="10" max="10" width="13.42578125" style="2" bestFit="1" customWidth="1"/>
    <col min="11" max="11" width="14.42578125" style="2" customWidth="1"/>
    <col min="12" max="12" width="92.85546875" style="2" bestFit="1" customWidth="1"/>
    <col min="13" max="13" width="13.7109375" style="11" customWidth="1"/>
    <col min="14" max="14" width="12.85546875" style="11" bestFit="1" customWidth="1"/>
    <col min="15" max="15" width="11.42578125" style="11"/>
    <col min="16" max="16384" width="11.42578125" style="2"/>
  </cols>
  <sheetData>
    <row r="1" spans="1:15" x14ac:dyDescent="0.2">
      <c r="C1" s="24"/>
      <c r="D1" s="24" t="s">
        <v>199</v>
      </c>
      <c r="E1" s="24"/>
      <c r="F1" s="24"/>
      <c r="G1" s="24"/>
      <c r="H1" s="24"/>
    </row>
    <row r="2" spans="1:15" x14ac:dyDescent="0.2">
      <c r="C2" s="24"/>
      <c r="D2" s="24" t="s">
        <v>208</v>
      </c>
      <c r="E2" s="24"/>
      <c r="F2" s="24"/>
      <c r="G2" s="24"/>
      <c r="H2" s="24"/>
    </row>
    <row r="3" spans="1:15" x14ac:dyDescent="0.2">
      <c r="C3" s="24"/>
      <c r="E3" s="24"/>
      <c r="F3" s="24"/>
      <c r="G3" s="24"/>
      <c r="H3" s="24"/>
    </row>
    <row r="4" spans="1:15" ht="19.5" customHeight="1" x14ac:dyDescent="0.2">
      <c r="C4" s="6" t="s">
        <v>0</v>
      </c>
      <c r="D4" s="778" t="s">
        <v>147</v>
      </c>
      <c r="E4" s="779"/>
      <c r="F4" s="24"/>
      <c r="G4" s="24"/>
      <c r="H4" s="24"/>
    </row>
    <row r="5" spans="1:15" x14ac:dyDescent="0.2">
      <c r="B5" s="24"/>
      <c r="C5" s="24"/>
      <c r="D5" s="24"/>
      <c r="E5" s="24"/>
      <c r="F5" s="24"/>
      <c r="G5" s="24"/>
      <c r="H5" s="24"/>
    </row>
    <row r="6" spans="1:15" x14ac:dyDescent="0.2">
      <c r="B6" s="24"/>
      <c r="C6" s="24"/>
      <c r="D6" s="24"/>
      <c r="E6" s="24"/>
      <c r="F6" s="24"/>
      <c r="G6" s="24"/>
      <c r="H6" s="24"/>
    </row>
    <row r="7" spans="1:15" x14ac:dyDescent="0.2">
      <c r="C7" s="4"/>
    </row>
    <row r="8" spans="1:15" ht="15.75" x14ac:dyDescent="0.2">
      <c r="A8" s="743" t="s">
        <v>148</v>
      </c>
      <c r="B8" s="743"/>
      <c r="C8" s="743"/>
      <c r="D8" s="24"/>
      <c r="G8" s="2"/>
    </row>
    <row r="10" spans="1:15" ht="12.75" customHeight="1" x14ac:dyDescent="0.2">
      <c r="A10" s="784" t="s">
        <v>112</v>
      </c>
      <c r="B10" s="788" t="s">
        <v>75</v>
      </c>
      <c r="C10" s="786" t="s">
        <v>76</v>
      </c>
      <c r="D10" s="781" t="s">
        <v>77</v>
      </c>
      <c r="E10" s="780" t="s">
        <v>78</v>
      </c>
      <c r="F10" s="780"/>
      <c r="G10" s="780"/>
      <c r="H10" s="782" t="s">
        <v>259</v>
      </c>
      <c r="L10" s="774" t="s">
        <v>225</v>
      </c>
      <c r="M10" s="776" t="s">
        <v>224</v>
      </c>
      <c r="N10" s="776" t="s">
        <v>226</v>
      </c>
      <c r="O10" s="776" t="s">
        <v>227</v>
      </c>
    </row>
    <row r="11" spans="1:15" ht="39" customHeight="1" thickBot="1" x14ac:dyDescent="0.25">
      <c r="A11" s="785"/>
      <c r="B11" s="789"/>
      <c r="C11" s="787"/>
      <c r="D11" s="781"/>
      <c r="E11" s="81" t="s">
        <v>67</v>
      </c>
      <c r="F11" s="82" t="s">
        <v>68</v>
      </c>
      <c r="G11" s="83" t="s">
        <v>6</v>
      </c>
      <c r="H11" s="783"/>
      <c r="L11" s="775"/>
      <c r="M11" s="777"/>
      <c r="N11" s="777"/>
      <c r="O11" s="777"/>
    </row>
    <row r="12" spans="1:15" ht="15.75" customHeight="1" x14ac:dyDescent="0.2">
      <c r="A12" s="793" t="str">
        <f>+'B) Reajuste Tarifas y Ocupación'!A12</f>
        <v>Jardín Infantil Olitas de Mar</v>
      </c>
      <c r="B12" s="204"/>
      <c r="C12" s="251" t="s">
        <v>11</v>
      </c>
      <c r="D12" s="260">
        <f>SUM(D13+D18)</f>
        <v>40117576.560000002</v>
      </c>
      <c r="E12" s="261"/>
      <c r="F12" s="261"/>
      <c r="G12" s="262">
        <f>SUM(G13,G18)</f>
        <v>25617640</v>
      </c>
      <c r="H12" s="263">
        <f>SUM(H13,H18)</f>
        <v>65735216.560000002</v>
      </c>
      <c r="L12" s="243" t="s">
        <v>11</v>
      </c>
      <c r="M12" s="244"/>
      <c r="N12" s="244"/>
      <c r="O12" s="244"/>
    </row>
    <row r="13" spans="1:15" ht="12.75" customHeight="1" x14ac:dyDescent="0.2">
      <c r="A13" s="727"/>
      <c r="B13" s="187"/>
      <c r="C13" s="254" t="s">
        <v>12</v>
      </c>
      <c r="D13" s="264">
        <f>SUM(D14:D17)</f>
        <v>33385576.560000002</v>
      </c>
      <c r="E13" s="265"/>
      <c r="F13" s="265"/>
      <c r="G13" s="266">
        <f>SUM(G14:G17)</f>
        <v>0</v>
      </c>
      <c r="H13" s="188">
        <f>SUM(H14:H17)</f>
        <v>33385576.560000002</v>
      </c>
      <c r="L13" s="245" t="s">
        <v>16</v>
      </c>
      <c r="M13" s="246"/>
      <c r="N13" s="247"/>
      <c r="O13" s="247"/>
    </row>
    <row r="14" spans="1:15" ht="12.75" customHeight="1" x14ac:dyDescent="0.2">
      <c r="A14" s="727"/>
      <c r="B14" s="189">
        <v>53103040100000</v>
      </c>
      <c r="C14" s="248" t="s">
        <v>94</v>
      </c>
      <c r="D14" s="267">
        <f>'F) Remuneraciones'!L11</f>
        <v>26741470.560000002</v>
      </c>
      <c r="E14" s="268">
        <v>0</v>
      </c>
      <c r="F14" s="269">
        <v>0</v>
      </c>
      <c r="G14" s="268">
        <f>E14*F14</f>
        <v>0</v>
      </c>
      <c r="H14" s="270">
        <f>D14+G14</f>
        <v>26741470.560000002</v>
      </c>
      <c r="L14" s="211" t="s">
        <v>173</v>
      </c>
      <c r="M14" s="250">
        <v>900000</v>
      </c>
      <c r="N14" s="210">
        <f t="shared" ref="N14:N61" si="0">M14*0.8</f>
        <v>720000</v>
      </c>
      <c r="O14" s="210">
        <f t="shared" ref="O14:O61" si="1">M14*0.2</f>
        <v>180000</v>
      </c>
    </row>
    <row r="15" spans="1:15" ht="12.75" customHeight="1" x14ac:dyDescent="0.2">
      <c r="A15" s="727"/>
      <c r="B15" s="189">
        <v>53103050000000</v>
      </c>
      <c r="C15" s="248" t="s">
        <v>167</v>
      </c>
      <c r="D15" s="271">
        <v>5476692</v>
      </c>
      <c r="E15" s="272">
        <v>0</v>
      </c>
      <c r="F15" s="273">
        <v>0</v>
      </c>
      <c r="G15" s="268">
        <f>E15*F15</f>
        <v>0</v>
      </c>
      <c r="H15" s="270">
        <f>D15+G15</f>
        <v>5476692</v>
      </c>
      <c r="L15" s="190" t="s">
        <v>19</v>
      </c>
      <c r="M15" s="249">
        <v>50000</v>
      </c>
      <c r="N15" s="210">
        <f t="shared" si="0"/>
        <v>40000</v>
      </c>
      <c r="O15" s="210">
        <f t="shared" si="1"/>
        <v>10000</v>
      </c>
    </row>
    <row r="16" spans="1:15" ht="12.75" customHeight="1" x14ac:dyDescent="0.2">
      <c r="A16" s="727"/>
      <c r="B16" s="209">
        <v>53103040400000</v>
      </c>
      <c r="C16" s="191" t="s">
        <v>168</v>
      </c>
      <c r="D16" s="271">
        <v>267414</v>
      </c>
      <c r="E16" s="272">
        <v>0</v>
      </c>
      <c r="F16" s="273">
        <v>0</v>
      </c>
      <c r="G16" s="268">
        <f>E16*F16</f>
        <v>0</v>
      </c>
      <c r="H16" s="270">
        <f>D16+G16</f>
        <v>267414</v>
      </c>
      <c r="L16" s="190" t="s">
        <v>174</v>
      </c>
      <c r="M16" s="249">
        <v>0</v>
      </c>
      <c r="N16" s="210">
        <f t="shared" si="0"/>
        <v>0</v>
      </c>
      <c r="O16" s="210">
        <f t="shared" si="1"/>
        <v>0</v>
      </c>
    </row>
    <row r="17" spans="1:15" ht="12.75" customHeight="1" x14ac:dyDescent="0.2">
      <c r="A17" s="727"/>
      <c r="B17" s="189">
        <v>53103080010000</v>
      </c>
      <c r="C17" s="248" t="s">
        <v>169</v>
      </c>
      <c r="D17" s="271">
        <v>900000</v>
      </c>
      <c r="E17" s="272">
        <v>0</v>
      </c>
      <c r="F17" s="273">
        <v>0</v>
      </c>
      <c r="G17" s="268">
        <f>E17*F17</f>
        <v>0</v>
      </c>
      <c r="H17" s="270">
        <f>D17+G17</f>
        <v>900000</v>
      </c>
      <c r="L17" s="190" t="s">
        <v>209</v>
      </c>
      <c r="M17" s="249">
        <v>280000</v>
      </c>
      <c r="N17" s="210">
        <f t="shared" si="0"/>
        <v>224000</v>
      </c>
      <c r="O17" s="210">
        <f t="shared" si="1"/>
        <v>56000</v>
      </c>
    </row>
    <row r="18" spans="1:15" ht="12.75" customHeight="1" x14ac:dyDescent="0.2">
      <c r="A18" s="727"/>
      <c r="B18" s="187"/>
      <c r="C18" s="254" t="s">
        <v>16</v>
      </c>
      <c r="D18" s="264">
        <f>SUM(D19:D38)</f>
        <v>6732000</v>
      </c>
      <c r="E18" s="265"/>
      <c r="F18" s="265"/>
      <c r="G18" s="264">
        <f>SUM(G19:G38)</f>
        <v>25617640</v>
      </c>
      <c r="H18" s="188">
        <f>SUM(H19:H38)</f>
        <v>32349640</v>
      </c>
      <c r="L18" s="190" t="s">
        <v>22</v>
      </c>
      <c r="M18" s="249">
        <v>1000000</v>
      </c>
      <c r="N18" s="210">
        <f t="shared" si="0"/>
        <v>800000</v>
      </c>
      <c r="O18" s="210">
        <f t="shared" si="1"/>
        <v>200000</v>
      </c>
    </row>
    <row r="19" spans="1:15" ht="12.75" customHeight="1" x14ac:dyDescent="0.2">
      <c r="A19" s="727"/>
      <c r="B19" s="189">
        <v>53201010100000</v>
      </c>
      <c r="C19" s="274" t="s">
        <v>170</v>
      </c>
      <c r="D19" s="271"/>
      <c r="E19" s="272">
        <v>1971</v>
      </c>
      <c r="F19" s="273">
        <f>(60*11)</f>
        <v>660</v>
      </c>
      <c r="G19" s="268">
        <f t="shared" ref="G19:G38" si="2">E19*F19</f>
        <v>1300860</v>
      </c>
      <c r="H19" s="270">
        <f t="shared" ref="H19:H38" si="3">D19+G19</f>
        <v>1300860</v>
      </c>
      <c r="L19" s="190" t="s">
        <v>176</v>
      </c>
      <c r="M19" s="249">
        <v>80000</v>
      </c>
      <c r="N19" s="210">
        <f t="shared" si="0"/>
        <v>64000</v>
      </c>
      <c r="O19" s="210">
        <f t="shared" si="1"/>
        <v>16000</v>
      </c>
    </row>
    <row r="20" spans="1:15" ht="12.75" customHeight="1" x14ac:dyDescent="0.2">
      <c r="A20" s="727"/>
      <c r="B20" s="189">
        <v>53201010100000</v>
      </c>
      <c r="C20" s="274" t="s">
        <v>171</v>
      </c>
      <c r="D20" s="271">
        <v>0</v>
      </c>
      <c r="E20" s="272">
        <v>1961</v>
      </c>
      <c r="F20" s="273">
        <f>(1220*10)</f>
        <v>12200</v>
      </c>
      <c r="G20" s="268">
        <f t="shared" si="2"/>
        <v>23924200</v>
      </c>
      <c r="H20" s="270">
        <f t="shared" si="3"/>
        <v>23924200</v>
      </c>
      <c r="L20" s="190" t="s">
        <v>24</v>
      </c>
      <c r="M20" s="249">
        <v>1300000</v>
      </c>
      <c r="N20" s="210">
        <f t="shared" si="0"/>
        <v>1040000</v>
      </c>
      <c r="O20" s="210">
        <f t="shared" si="1"/>
        <v>260000</v>
      </c>
    </row>
    <row r="21" spans="1:15" ht="12.75" customHeight="1" x14ac:dyDescent="0.2">
      <c r="A21" s="727"/>
      <c r="B21" s="189">
        <v>53201010100000</v>
      </c>
      <c r="C21" s="274" t="s">
        <v>172</v>
      </c>
      <c r="D21" s="271">
        <v>0</v>
      </c>
      <c r="E21" s="272">
        <v>2181</v>
      </c>
      <c r="F21" s="273">
        <f>(36*5)</f>
        <v>180</v>
      </c>
      <c r="G21" s="268">
        <f t="shared" si="2"/>
        <v>392580</v>
      </c>
      <c r="H21" s="270">
        <f t="shared" si="3"/>
        <v>392580</v>
      </c>
      <c r="L21" s="190" t="s">
        <v>25</v>
      </c>
      <c r="M21" s="249">
        <v>900000</v>
      </c>
      <c r="N21" s="210">
        <f t="shared" si="0"/>
        <v>720000</v>
      </c>
      <c r="O21" s="210">
        <f t="shared" si="1"/>
        <v>180000</v>
      </c>
    </row>
    <row r="22" spans="1:15" ht="12.75" customHeight="1" x14ac:dyDescent="0.2">
      <c r="A22" s="727"/>
      <c r="B22" s="189">
        <v>53202010100000</v>
      </c>
      <c r="C22" s="248" t="s">
        <v>173</v>
      </c>
      <c r="D22" s="275">
        <f t="shared" ref="D22:D38" si="4">N14</f>
        <v>720000</v>
      </c>
      <c r="E22" s="275">
        <v>0</v>
      </c>
      <c r="F22" s="276">
        <v>0</v>
      </c>
      <c r="G22" s="268">
        <f t="shared" si="2"/>
        <v>0</v>
      </c>
      <c r="H22" s="270">
        <f t="shared" si="3"/>
        <v>720000</v>
      </c>
      <c r="L22" s="190" t="s">
        <v>26</v>
      </c>
      <c r="M22" s="249">
        <v>2255000</v>
      </c>
      <c r="N22" s="210">
        <f t="shared" si="0"/>
        <v>1804000</v>
      </c>
      <c r="O22" s="210">
        <f t="shared" si="1"/>
        <v>451000</v>
      </c>
    </row>
    <row r="23" spans="1:15" ht="12.75" customHeight="1" x14ac:dyDescent="0.2">
      <c r="A23" s="727"/>
      <c r="B23" s="189">
        <v>53203010100000</v>
      </c>
      <c r="C23" s="248" t="s">
        <v>19</v>
      </c>
      <c r="D23" s="268">
        <f t="shared" si="4"/>
        <v>40000</v>
      </c>
      <c r="E23" s="268">
        <v>0</v>
      </c>
      <c r="F23" s="276">
        <v>0</v>
      </c>
      <c r="G23" s="268">
        <f t="shared" si="2"/>
        <v>0</v>
      </c>
      <c r="H23" s="270">
        <f t="shared" si="3"/>
        <v>40000</v>
      </c>
      <c r="L23" s="190" t="s">
        <v>27</v>
      </c>
      <c r="M23" s="249">
        <v>0</v>
      </c>
      <c r="N23" s="210">
        <f t="shared" si="0"/>
        <v>0</v>
      </c>
      <c r="O23" s="210">
        <f t="shared" si="1"/>
        <v>0</v>
      </c>
    </row>
    <row r="24" spans="1:15" ht="12.75" customHeight="1" x14ac:dyDescent="0.2">
      <c r="A24" s="727"/>
      <c r="B24" s="189">
        <v>53203030000000</v>
      </c>
      <c r="C24" s="248" t="s">
        <v>174</v>
      </c>
      <c r="D24" s="268">
        <f t="shared" si="4"/>
        <v>0</v>
      </c>
      <c r="E24" s="268">
        <v>0</v>
      </c>
      <c r="F24" s="276">
        <v>0</v>
      </c>
      <c r="G24" s="268">
        <f t="shared" si="2"/>
        <v>0</v>
      </c>
      <c r="H24" s="270">
        <f t="shared" si="3"/>
        <v>0</v>
      </c>
      <c r="L24" s="190" t="s">
        <v>29</v>
      </c>
      <c r="M24" s="249">
        <v>0</v>
      </c>
      <c r="N24" s="210">
        <f t="shared" si="0"/>
        <v>0</v>
      </c>
      <c r="O24" s="210">
        <f t="shared" si="1"/>
        <v>0</v>
      </c>
    </row>
    <row r="25" spans="1:15" ht="12.75" customHeight="1" x14ac:dyDescent="0.2">
      <c r="A25" s="727"/>
      <c r="B25" s="189">
        <v>53204030000000</v>
      </c>
      <c r="C25" s="248" t="s">
        <v>209</v>
      </c>
      <c r="D25" s="268">
        <f t="shared" si="4"/>
        <v>224000</v>
      </c>
      <c r="E25" s="268">
        <v>0</v>
      </c>
      <c r="F25" s="276">
        <v>0</v>
      </c>
      <c r="G25" s="268">
        <f t="shared" si="2"/>
        <v>0</v>
      </c>
      <c r="H25" s="270">
        <f>D25+G25</f>
        <v>224000</v>
      </c>
      <c r="L25" s="190" t="s">
        <v>30</v>
      </c>
      <c r="M25" s="249">
        <v>0</v>
      </c>
      <c r="N25" s="210">
        <f t="shared" si="0"/>
        <v>0</v>
      </c>
      <c r="O25" s="210">
        <f t="shared" si="1"/>
        <v>0</v>
      </c>
    </row>
    <row r="26" spans="1:15" ht="12.75" customHeight="1" x14ac:dyDescent="0.2">
      <c r="A26" s="727"/>
      <c r="B26" s="189">
        <v>53204100100001</v>
      </c>
      <c r="C26" s="248" t="s">
        <v>22</v>
      </c>
      <c r="D26" s="268">
        <f t="shared" si="4"/>
        <v>800000</v>
      </c>
      <c r="E26" s="268">
        <v>0</v>
      </c>
      <c r="F26" s="276">
        <v>0</v>
      </c>
      <c r="G26" s="268">
        <f t="shared" si="2"/>
        <v>0</v>
      </c>
      <c r="H26" s="270">
        <f t="shared" si="3"/>
        <v>800000</v>
      </c>
      <c r="L26" s="190" t="s">
        <v>31</v>
      </c>
      <c r="M26" s="250">
        <v>0</v>
      </c>
      <c r="N26" s="210">
        <f t="shared" si="0"/>
        <v>0</v>
      </c>
      <c r="O26" s="210">
        <f t="shared" si="1"/>
        <v>0</v>
      </c>
    </row>
    <row r="27" spans="1:15" ht="12.75" customHeight="1" x14ac:dyDescent="0.2">
      <c r="A27" s="727"/>
      <c r="B27" s="189">
        <v>53204130100000</v>
      </c>
      <c r="C27" s="248" t="s">
        <v>176</v>
      </c>
      <c r="D27" s="268">
        <f t="shared" si="4"/>
        <v>64000</v>
      </c>
      <c r="E27" s="268">
        <v>0</v>
      </c>
      <c r="F27" s="276">
        <v>0</v>
      </c>
      <c r="G27" s="268">
        <f t="shared" si="2"/>
        <v>0</v>
      </c>
      <c r="H27" s="270">
        <f t="shared" si="3"/>
        <v>64000</v>
      </c>
      <c r="L27" s="190" t="s">
        <v>177</v>
      </c>
      <c r="M27" s="249">
        <v>0</v>
      </c>
      <c r="N27" s="210">
        <f t="shared" si="0"/>
        <v>0</v>
      </c>
      <c r="O27" s="210">
        <f t="shared" si="1"/>
        <v>0</v>
      </c>
    </row>
    <row r="28" spans="1:15" ht="12.75" customHeight="1" x14ac:dyDescent="0.2">
      <c r="A28" s="727"/>
      <c r="B28" s="189">
        <v>53205010100000</v>
      </c>
      <c r="C28" s="248" t="s">
        <v>24</v>
      </c>
      <c r="D28" s="268">
        <f t="shared" si="4"/>
        <v>1040000</v>
      </c>
      <c r="E28" s="268">
        <v>0</v>
      </c>
      <c r="F28" s="276">
        <v>0</v>
      </c>
      <c r="G28" s="268">
        <f t="shared" si="2"/>
        <v>0</v>
      </c>
      <c r="H28" s="270">
        <f t="shared" si="3"/>
        <v>1040000</v>
      </c>
      <c r="L28" s="190" t="s">
        <v>32</v>
      </c>
      <c r="M28" s="249">
        <v>0</v>
      </c>
      <c r="N28" s="210">
        <f t="shared" si="0"/>
        <v>0</v>
      </c>
      <c r="O28" s="210">
        <f t="shared" si="1"/>
        <v>0</v>
      </c>
    </row>
    <row r="29" spans="1:15" ht="12.75" customHeight="1" x14ac:dyDescent="0.2">
      <c r="A29" s="727"/>
      <c r="B29" s="189">
        <v>53205020100000</v>
      </c>
      <c r="C29" s="248" t="s">
        <v>25</v>
      </c>
      <c r="D29" s="268">
        <f t="shared" si="4"/>
        <v>720000</v>
      </c>
      <c r="E29" s="268">
        <v>0</v>
      </c>
      <c r="F29" s="276">
        <v>0</v>
      </c>
      <c r="G29" s="268">
        <f t="shared" si="2"/>
        <v>0</v>
      </c>
      <c r="H29" s="270">
        <f t="shared" si="3"/>
        <v>720000</v>
      </c>
      <c r="L29" s="211" t="s">
        <v>178</v>
      </c>
      <c r="M29" s="249">
        <v>1650000</v>
      </c>
      <c r="N29" s="210">
        <f t="shared" si="0"/>
        <v>1320000</v>
      </c>
      <c r="O29" s="210">
        <f t="shared" si="1"/>
        <v>330000</v>
      </c>
    </row>
    <row r="30" spans="1:15" ht="12.75" customHeight="1" x14ac:dyDescent="0.2">
      <c r="A30" s="727"/>
      <c r="B30" s="189">
        <v>53205030100000</v>
      </c>
      <c r="C30" s="248" t="s">
        <v>26</v>
      </c>
      <c r="D30" s="268">
        <f t="shared" si="4"/>
        <v>1804000</v>
      </c>
      <c r="E30" s="268">
        <v>0</v>
      </c>
      <c r="F30" s="276">
        <v>0</v>
      </c>
      <c r="G30" s="268">
        <f t="shared" si="2"/>
        <v>0</v>
      </c>
      <c r="H30" s="270">
        <f t="shared" si="3"/>
        <v>1804000</v>
      </c>
      <c r="L30" s="190" t="s">
        <v>179</v>
      </c>
      <c r="M30" s="250"/>
      <c r="N30" s="210">
        <f t="shared" si="0"/>
        <v>0</v>
      </c>
      <c r="O30" s="210">
        <f t="shared" si="1"/>
        <v>0</v>
      </c>
    </row>
    <row r="31" spans="1:15" ht="12.75" customHeight="1" x14ac:dyDescent="0.2">
      <c r="A31" s="727"/>
      <c r="B31" s="189">
        <v>53205050100000</v>
      </c>
      <c r="C31" s="248" t="s">
        <v>27</v>
      </c>
      <c r="D31" s="268">
        <f t="shared" si="4"/>
        <v>0</v>
      </c>
      <c r="E31" s="268">
        <v>0</v>
      </c>
      <c r="F31" s="276">
        <v>0</v>
      </c>
      <c r="G31" s="268">
        <f t="shared" si="2"/>
        <v>0</v>
      </c>
      <c r="H31" s="270">
        <f t="shared" si="3"/>
        <v>0</v>
      </c>
      <c r="L31" s="251" t="s">
        <v>34</v>
      </c>
      <c r="M31" s="252">
        <v>0</v>
      </c>
      <c r="N31" s="253"/>
      <c r="O31" s="253"/>
    </row>
    <row r="32" spans="1:15" ht="12.75" customHeight="1" x14ac:dyDescent="0.2">
      <c r="A32" s="727"/>
      <c r="B32" s="189">
        <v>53205070100000</v>
      </c>
      <c r="C32" s="248" t="s">
        <v>29</v>
      </c>
      <c r="D32" s="268">
        <f t="shared" si="4"/>
        <v>0</v>
      </c>
      <c r="E32" s="268">
        <v>0</v>
      </c>
      <c r="F32" s="276">
        <v>0</v>
      </c>
      <c r="G32" s="268">
        <f t="shared" si="2"/>
        <v>0</v>
      </c>
      <c r="H32" s="270">
        <f t="shared" si="3"/>
        <v>0</v>
      </c>
      <c r="L32" s="254" t="s">
        <v>35</v>
      </c>
      <c r="M32" s="255"/>
      <c r="N32" s="256"/>
      <c r="O32" s="256"/>
    </row>
    <row r="33" spans="1:15" ht="12.75" customHeight="1" x14ac:dyDescent="0.2">
      <c r="A33" s="727"/>
      <c r="B33" s="189">
        <v>53208010100000</v>
      </c>
      <c r="C33" s="248" t="s">
        <v>30</v>
      </c>
      <c r="D33" s="268">
        <f t="shared" si="4"/>
        <v>0</v>
      </c>
      <c r="E33" s="268">
        <v>0</v>
      </c>
      <c r="F33" s="276">
        <v>0</v>
      </c>
      <c r="G33" s="268">
        <f t="shared" si="2"/>
        <v>0</v>
      </c>
      <c r="H33" s="270">
        <f t="shared" si="3"/>
        <v>0</v>
      </c>
      <c r="L33" s="190" t="s">
        <v>41</v>
      </c>
      <c r="M33" s="249">
        <v>0</v>
      </c>
      <c r="N33" s="210">
        <f t="shared" si="0"/>
        <v>0</v>
      </c>
      <c r="O33" s="210">
        <f t="shared" si="1"/>
        <v>0</v>
      </c>
    </row>
    <row r="34" spans="1:15" ht="12.75" customHeight="1" x14ac:dyDescent="0.2">
      <c r="A34" s="727"/>
      <c r="B34" s="189">
        <v>53208070100001</v>
      </c>
      <c r="C34" s="248" t="s">
        <v>31</v>
      </c>
      <c r="D34" s="268">
        <f t="shared" si="4"/>
        <v>0</v>
      </c>
      <c r="E34" s="268">
        <v>0</v>
      </c>
      <c r="F34" s="276">
        <v>0</v>
      </c>
      <c r="G34" s="268">
        <f t="shared" si="2"/>
        <v>0</v>
      </c>
      <c r="H34" s="270">
        <f t="shared" si="3"/>
        <v>0</v>
      </c>
      <c r="L34" s="211" t="s">
        <v>182</v>
      </c>
      <c r="M34" s="249">
        <v>172932.80000000002</v>
      </c>
      <c r="N34" s="210">
        <f t="shared" si="0"/>
        <v>138346.24000000002</v>
      </c>
      <c r="O34" s="210">
        <f t="shared" si="1"/>
        <v>34586.560000000005</v>
      </c>
    </row>
    <row r="35" spans="1:15" ht="12.75" customHeight="1" x14ac:dyDescent="0.2">
      <c r="A35" s="727"/>
      <c r="B35" s="189">
        <v>53208100100001</v>
      </c>
      <c r="C35" s="248" t="s">
        <v>177</v>
      </c>
      <c r="D35" s="268">
        <f t="shared" si="4"/>
        <v>0</v>
      </c>
      <c r="E35" s="268">
        <v>0</v>
      </c>
      <c r="F35" s="276">
        <v>0</v>
      </c>
      <c r="G35" s="268">
        <f t="shared" si="2"/>
        <v>0</v>
      </c>
      <c r="H35" s="270">
        <f t="shared" si="3"/>
        <v>0</v>
      </c>
      <c r="L35" s="254" t="s">
        <v>42</v>
      </c>
      <c r="M35" s="255"/>
      <c r="N35" s="256"/>
      <c r="O35" s="256"/>
    </row>
    <row r="36" spans="1:15" ht="12.75" customHeight="1" x14ac:dyDescent="0.2">
      <c r="A36" s="727"/>
      <c r="B36" s="189">
        <v>53211030000000</v>
      </c>
      <c r="C36" s="248" t="s">
        <v>32</v>
      </c>
      <c r="D36" s="268">
        <f t="shared" si="4"/>
        <v>0</v>
      </c>
      <c r="E36" s="268">
        <v>0</v>
      </c>
      <c r="F36" s="276">
        <v>0</v>
      </c>
      <c r="G36" s="268">
        <f t="shared" si="2"/>
        <v>0</v>
      </c>
      <c r="H36" s="270">
        <f t="shared" si="3"/>
        <v>0</v>
      </c>
      <c r="L36" s="190" t="s">
        <v>44</v>
      </c>
      <c r="M36" s="249">
        <v>0</v>
      </c>
      <c r="N36" s="210">
        <f t="shared" si="0"/>
        <v>0</v>
      </c>
      <c r="O36" s="210">
        <f t="shared" si="1"/>
        <v>0</v>
      </c>
    </row>
    <row r="37" spans="1:15" ht="12.75" customHeight="1" x14ac:dyDescent="0.2">
      <c r="A37" s="727"/>
      <c r="B37" s="189">
        <v>53212020100000</v>
      </c>
      <c r="C37" s="248" t="s">
        <v>178</v>
      </c>
      <c r="D37" s="268">
        <f t="shared" si="4"/>
        <v>1320000</v>
      </c>
      <c r="E37" s="268">
        <v>0</v>
      </c>
      <c r="F37" s="276">
        <v>0</v>
      </c>
      <c r="G37" s="268">
        <f t="shared" si="2"/>
        <v>0</v>
      </c>
      <c r="H37" s="270">
        <f t="shared" si="3"/>
        <v>1320000</v>
      </c>
      <c r="L37" s="254" t="s">
        <v>45</v>
      </c>
      <c r="M37" s="257"/>
      <c r="N37" s="258"/>
      <c r="O37" s="258"/>
    </row>
    <row r="38" spans="1:15" ht="12.75" customHeight="1" x14ac:dyDescent="0.2">
      <c r="A38" s="727"/>
      <c r="B38" s="189">
        <v>53214020000000</v>
      </c>
      <c r="C38" s="248" t="s">
        <v>179</v>
      </c>
      <c r="D38" s="268">
        <f t="shared" si="4"/>
        <v>0</v>
      </c>
      <c r="E38" s="268">
        <v>0</v>
      </c>
      <c r="F38" s="276">
        <v>0</v>
      </c>
      <c r="G38" s="268">
        <f t="shared" si="2"/>
        <v>0</v>
      </c>
      <c r="H38" s="270">
        <f t="shared" si="3"/>
        <v>0</v>
      </c>
      <c r="L38" s="190" t="s">
        <v>47</v>
      </c>
      <c r="M38" s="249">
        <v>100000</v>
      </c>
      <c r="N38" s="210">
        <f t="shared" si="0"/>
        <v>80000</v>
      </c>
      <c r="O38" s="210">
        <f t="shared" si="1"/>
        <v>20000</v>
      </c>
    </row>
    <row r="39" spans="1:15" ht="15.75" customHeight="1" x14ac:dyDescent="0.2">
      <c r="A39" s="727"/>
      <c r="B39" s="204"/>
      <c r="C39" s="251" t="s">
        <v>34</v>
      </c>
      <c r="D39" s="192">
        <f>+D40+D45+D47+D56+D65+D73</f>
        <v>7112529.4400000004</v>
      </c>
      <c r="E39" s="277"/>
      <c r="F39" s="277"/>
      <c r="G39" s="192">
        <f>+G40+G45+G47+G56+G65+G73</f>
        <v>1802212</v>
      </c>
      <c r="H39" s="192">
        <f>+H40+H45+H47+H56+H65+H73</f>
        <v>8914741.4400000013</v>
      </c>
      <c r="L39" s="190" t="s">
        <v>210</v>
      </c>
      <c r="M39" s="249">
        <v>50000</v>
      </c>
      <c r="N39" s="210">
        <f t="shared" si="0"/>
        <v>40000</v>
      </c>
      <c r="O39" s="210">
        <f t="shared" si="1"/>
        <v>10000</v>
      </c>
    </row>
    <row r="40" spans="1:15" ht="12.75" customHeight="1" x14ac:dyDescent="0.2">
      <c r="A40" s="727"/>
      <c r="B40" s="187"/>
      <c r="C40" s="254" t="s">
        <v>35</v>
      </c>
      <c r="D40" s="264">
        <f>SUM(D41:D44)</f>
        <v>138346.24000000002</v>
      </c>
      <c r="E40" s="265"/>
      <c r="F40" s="265"/>
      <c r="G40" s="264">
        <f>SUM(G41:G44)</f>
        <v>480000</v>
      </c>
      <c r="H40" s="264">
        <f>SUM(H41:H44)</f>
        <v>618346.23999999999</v>
      </c>
      <c r="L40" s="190" t="s">
        <v>49</v>
      </c>
      <c r="M40" s="249"/>
      <c r="N40" s="210">
        <f t="shared" si="0"/>
        <v>0</v>
      </c>
      <c r="O40" s="210">
        <f t="shared" si="1"/>
        <v>0</v>
      </c>
    </row>
    <row r="41" spans="1:15" ht="12.75" customHeight="1" x14ac:dyDescent="0.2">
      <c r="A41" s="727"/>
      <c r="B41" s="189">
        <v>53202020100000</v>
      </c>
      <c r="C41" s="248" t="s">
        <v>180</v>
      </c>
      <c r="D41" s="271">
        <v>0</v>
      </c>
      <c r="E41" s="272">
        <v>30000</v>
      </c>
      <c r="F41" s="348">
        <v>14</v>
      </c>
      <c r="G41" s="268">
        <f>E41*F41</f>
        <v>420000</v>
      </c>
      <c r="H41" s="270">
        <f t="shared" ref="H41:H74" si="5">D41+G41</f>
        <v>420000</v>
      </c>
      <c r="L41" s="190" t="s">
        <v>50</v>
      </c>
      <c r="M41" s="249">
        <v>1680000</v>
      </c>
      <c r="N41" s="210">
        <f t="shared" si="0"/>
        <v>1344000</v>
      </c>
      <c r="O41" s="210">
        <f t="shared" si="1"/>
        <v>336000</v>
      </c>
    </row>
    <row r="42" spans="1:15" ht="12.75" customHeight="1" x14ac:dyDescent="0.2">
      <c r="A42" s="727"/>
      <c r="B42" s="189">
        <v>53202030000000</v>
      </c>
      <c r="C42" s="248" t="s">
        <v>181</v>
      </c>
      <c r="D42" s="271">
        <v>0</v>
      </c>
      <c r="E42" s="272">
        <v>30000</v>
      </c>
      <c r="F42" s="348">
        <v>2</v>
      </c>
      <c r="G42" s="268">
        <f t="shared" ref="G42:G74" si="6">E42*F42</f>
        <v>60000</v>
      </c>
      <c r="H42" s="270">
        <f t="shared" si="5"/>
        <v>60000</v>
      </c>
      <c r="L42" s="190" t="s">
        <v>51</v>
      </c>
      <c r="M42" s="249"/>
      <c r="N42" s="210">
        <f t="shared" si="0"/>
        <v>0</v>
      </c>
      <c r="O42" s="210">
        <f t="shared" si="1"/>
        <v>0</v>
      </c>
    </row>
    <row r="43" spans="1:15" ht="12.75" customHeight="1" x14ac:dyDescent="0.2">
      <c r="A43" s="727"/>
      <c r="B43" s="189">
        <v>53211020000000</v>
      </c>
      <c r="C43" s="248" t="s">
        <v>41</v>
      </c>
      <c r="D43" s="278">
        <f>N33</f>
        <v>0</v>
      </c>
      <c r="E43" s="278">
        <v>0</v>
      </c>
      <c r="F43" s="279">
        <v>0</v>
      </c>
      <c r="G43" s="268">
        <f t="shared" si="6"/>
        <v>0</v>
      </c>
      <c r="H43" s="270">
        <f t="shared" si="5"/>
        <v>0</v>
      </c>
      <c r="L43" s="190" t="s">
        <v>52</v>
      </c>
      <c r="M43" s="250"/>
      <c r="N43" s="210">
        <f t="shared" si="0"/>
        <v>0</v>
      </c>
      <c r="O43" s="210">
        <f t="shared" si="1"/>
        <v>0</v>
      </c>
    </row>
    <row r="44" spans="1:15" ht="12.75" customHeight="1" x14ac:dyDescent="0.2">
      <c r="A44" s="727"/>
      <c r="B44" s="189">
        <v>53101040600000</v>
      </c>
      <c r="C44" s="248" t="s">
        <v>182</v>
      </c>
      <c r="D44" s="278">
        <f>N34</f>
        <v>138346.24000000002</v>
      </c>
      <c r="E44" s="278">
        <v>0</v>
      </c>
      <c r="F44" s="279">
        <v>0</v>
      </c>
      <c r="G44" s="268">
        <f t="shared" si="6"/>
        <v>0</v>
      </c>
      <c r="H44" s="270">
        <f t="shared" si="5"/>
        <v>138346.24000000002</v>
      </c>
      <c r="L44" s="211" t="s">
        <v>183</v>
      </c>
      <c r="M44" s="250">
        <v>200000</v>
      </c>
      <c r="N44" s="210">
        <f t="shared" si="0"/>
        <v>160000</v>
      </c>
      <c r="O44" s="210">
        <f t="shared" si="1"/>
        <v>40000</v>
      </c>
    </row>
    <row r="45" spans="1:15" ht="12.75" customHeight="1" x14ac:dyDescent="0.2">
      <c r="A45" s="727"/>
      <c r="B45" s="187"/>
      <c r="C45" s="254" t="s">
        <v>42</v>
      </c>
      <c r="D45" s="264">
        <f>SUM(D46:D46)</f>
        <v>0</v>
      </c>
      <c r="E45" s="265"/>
      <c r="F45" s="265"/>
      <c r="G45" s="280">
        <f>SUM(G46:G46)</f>
        <v>0</v>
      </c>
      <c r="H45" s="281">
        <f>SUM(H46:H46)</f>
        <v>0</v>
      </c>
      <c r="L45" s="190" t="s">
        <v>175</v>
      </c>
      <c r="M45" s="249"/>
      <c r="N45" s="210">
        <f t="shared" si="0"/>
        <v>0</v>
      </c>
      <c r="O45" s="210">
        <f t="shared" si="1"/>
        <v>0</v>
      </c>
    </row>
    <row r="46" spans="1:15" ht="12.75" customHeight="1" x14ac:dyDescent="0.2">
      <c r="A46" s="727"/>
      <c r="B46" s="193">
        <v>53205990000000</v>
      </c>
      <c r="C46" s="248" t="s">
        <v>44</v>
      </c>
      <c r="D46" s="278">
        <f>N36</f>
        <v>0</v>
      </c>
      <c r="E46" s="278">
        <v>0</v>
      </c>
      <c r="F46" s="279">
        <v>0</v>
      </c>
      <c r="G46" s="268">
        <f t="shared" si="6"/>
        <v>0</v>
      </c>
      <c r="H46" s="270">
        <f t="shared" si="5"/>
        <v>0</v>
      </c>
      <c r="L46" s="254" t="s">
        <v>55</v>
      </c>
      <c r="M46" s="257"/>
      <c r="N46" s="258"/>
      <c r="O46" s="258"/>
    </row>
    <row r="47" spans="1:15" ht="12.75" customHeight="1" x14ac:dyDescent="0.2">
      <c r="A47" s="727"/>
      <c r="B47" s="187"/>
      <c r="C47" s="254" t="s">
        <v>45</v>
      </c>
      <c r="D47" s="264">
        <f>SUM(D48:D55)</f>
        <v>1624000</v>
      </c>
      <c r="E47" s="265"/>
      <c r="F47" s="265"/>
      <c r="G47" s="264">
        <f>SUM(G48:G55)</f>
        <v>0</v>
      </c>
      <c r="H47" s="188">
        <f>SUM(H48:H55)</f>
        <v>1624000</v>
      </c>
      <c r="L47" s="190" t="s">
        <v>56</v>
      </c>
      <c r="M47" s="249">
        <v>0</v>
      </c>
      <c r="N47" s="210">
        <f t="shared" si="0"/>
        <v>0</v>
      </c>
      <c r="O47" s="210">
        <f t="shared" si="1"/>
        <v>0</v>
      </c>
    </row>
    <row r="48" spans="1:15" ht="12.75" customHeight="1" x14ac:dyDescent="0.2">
      <c r="A48" s="727"/>
      <c r="B48" s="189">
        <v>53204010000000</v>
      </c>
      <c r="C48" s="248" t="s">
        <v>47</v>
      </c>
      <c r="D48" s="278">
        <f t="shared" ref="D48:D55" si="7">N38</f>
        <v>80000</v>
      </c>
      <c r="E48" s="278">
        <v>0</v>
      </c>
      <c r="F48" s="279">
        <v>0</v>
      </c>
      <c r="G48" s="278">
        <f t="shared" si="6"/>
        <v>0</v>
      </c>
      <c r="H48" s="270">
        <f t="shared" si="5"/>
        <v>80000</v>
      </c>
      <c r="L48" s="190" t="s">
        <v>57</v>
      </c>
      <c r="M48" s="249">
        <v>150000</v>
      </c>
      <c r="N48" s="210">
        <f t="shared" si="0"/>
        <v>120000</v>
      </c>
      <c r="O48" s="210">
        <f t="shared" si="1"/>
        <v>30000</v>
      </c>
    </row>
    <row r="49" spans="1:15" ht="12.75" customHeight="1" x14ac:dyDescent="0.2">
      <c r="A49" s="727"/>
      <c r="B49" s="193">
        <v>53204040200000</v>
      </c>
      <c r="C49" s="248" t="s">
        <v>210</v>
      </c>
      <c r="D49" s="278">
        <f t="shared" si="7"/>
        <v>40000</v>
      </c>
      <c r="E49" s="278">
        <v>0</v>
      </c>
      <c r="F49" s="279">
        <v>0</v>
      </c>
      <c r="G49" s="278">
        <f t="shared" si="6"/>
        <v>0</v>
      </c>
      <c r="H49" s="270">
        <f t="shared" si="5"/>
        <v>40000</v>
      </c>
      <c r="L49" s="190" t="s">
        <v>166</v>
      </c>
      <c r="M49" s="249">
        <v>0</v>
      </c>
      <c r="N49" s="210">
        <f t="shared" si="0"/>
        <v>0</v>
      </c>
      <c r="O49" s="210">
        <f t="shared" si="1"/>
        <v>0</v>
      </c>
    </row>
    <row r="50" spans="1:15" ht="12.75" customHeight="1" x14ac:dyDescent="0.2">
      <c r="A50" s="727"/>
      <c r="B50" s="189">
        <v>53204060000000</v>
      </c>
      <c r="C50" s="248" t="s">
        <v>49</v>
      </c>
      <c r="D50" s="278">
        <f t="shared" si="7"/>
        <v>0</v>
      </c>
      <c r="E50" s="278">
        <v>0</v>
      </c>
      <c r="F50" s="279">
        <v>0</v>
      </c>
      <c r="G50" s="278">
        <f t="shared" si="6"/>
        <v>0</v>
      </c>
      <c r="H50" s="270">
        <f t="shared" si="5"/>
        <v>0</v>
      </c>
      <c r="L50" s="190" t="s">
        <v>184</v>
      </c>
      <c r="M50" s="249">
        <v>350000</v>
      </c>
      <c r="N50" s="210">
        <f t="shared" si="0"/>
        <v>280000</v>
      </c>
      <c r="O50" s="210">
        <f t="shared" si="1"/>
        <v>70000</v>
      </c>
    </row>
    <row r="51" spans="1:15" ht="12.75" customHeight="1" x14ac:dyDescent="0.2">
      <c r="A51" s="727"/>
      <c r="B51" s="189">
        <v>53204070000000</v>
      </c>
      <c r="C51" s="248" t="s">
        <v>50</v>
      </c>
      <c r="D51" s="278">
        <f t="shared" si="7"/>
        <v>1344000</v>
      </c>
      <c r="E51" s="278">
        <v>0</v>
      </c>
      <c r="F51" s="279">
        <v>0</v>
      </c>
      <c r="G51" s="278">
        <f t="shared" si="6"/>
        <v>0</v>
      </c>
      <c r="H51" s="270">
        <f t="shared" si="5"/>
        <v>1344000</v>
      </c>
      <c r="L51" s="190" t="s">
        <v>187</v>
      </c>
      <c r="M51" s="249"/>
      <c r="N51" s="210">
        <f t="shared" si="0"/>
        <v>0</v>
      </c>
      <c r="O51" s="210">
        <f t="shared" si="1"/>
        <v>0</v>
      </c>
    </row>
    <row r="52" spans="1:15" ht="12.75" customHeight="1" x14ac:dyDescent="0.2">
      <c r="A52" s="727"/>
      <c r="B52" s="189">
        <v>53204080000000</v>
      </c>
      <c r="C52" s="248" t="s">
        <v>51</v>
      </c>
      <c r="D52" s="278">
        <f t="shared" si="7"/>
        <v>0</v>
      </c>
      <c r="E52" s="278">
        <v>0</v>
      </c>
      <c r="F52" s="279">
        <v>0</v>
      </c>
      <c r="G52" s="278">
        <f t="shared" si="6"/>
        <v>0</v>
      </c>
      <c r="H52" s="270">
        <f t="shared" si="5"/>
        <v>0</v>
      </c>
      <c r="L52" s="190" t="s">
        <v>185</v>
      </c>
      <c r="M52" s="249">
        <v>600000</v>
      </c>
      <c r="N52" s="210">
        <f t="shared" si="0"/>
        <v>480000</v>
      </c>
      <c r="O52" s="210">
        <f t="shared" si="1"/>
        <v>120000</v>
      </c>
    </row>
    <row r="53" spans="1:15" ht="12.75" customHeight="1" x14ac:dyDescent="0.2">
      <c r="A53" s="727"/>
      <c r="B53" s="189">
        <v>53214010000000</v>
      </c>
      <c r="C53" s="248" t="s">
        <v>52</v>
      </c>
      <c r="D53" s="282">
        <f t="shared" si="7"/>
        <v>0</v>
      </c>
      <c r="E53" s="282">
        <v>0</v>
      </c>
      <c r="F53" s="279">
        <v>0</v>
      </c>
      <c r="G53" s="278">
        <f t="shared" si="6"/>
        <v>0</v>
      </c>
      <c r="H53" s="270">
        <f t="shared" si="5"/>
        <v>0</v>
      </c>
      <c r="L53" s="190" t="s">
        <v>64</v>
      </c>
      <c r="M53" s="249">
        <v>2287729</v>
      </c>
      <c r="N53" s="210">
        <f t="shared" si="0"/>
        <v>1830183.2000000002</v>
      </c>
      <c r="O53" s="210">
        <f t="shared" si="1"/>
        <v>457545.80000000005</v>
      </c>
    </row>
    <row r="54" spans="1:15" ht="12.75" customHeight="1" x14ac:dyDescent="0.2">
      <c r="A54" s="727"/>
      <c r="B54" s="189">
        <v>53214040000000</v>
      </c>
      <c r="C54" s="248" t="s">
        <v>183</v>
      </c>
      <c r="D54" s="282">
        <f t="shared" si="7"/>
        <v>160000</v>
      </c>
      <c r="E54" s="282">
        <v>0</v>
      </c>
      <c r="F54" s="279">
        <v>0</v>
      </c>
      <c r="G54" s="278">
        <f t="shared" si="6"/>
        <v>0</v>
      </c>
      <c r="H54" s="270">
        <f t="shared" si="5"/>
        <v>160000</v>
      </c>
      <c r="L54" s="254" t="s">
        <v>65</v>
      </c>
      <c r="M54" s="259"/>
      <c r="N54" s="258"/>
      <c r="O54" s="258"/>
    </row>
    <row r="55" spans="1:15" ht="12.75" customHeight="1" x14ac:dyDescent="0.2">
      <c r="A55" s="727"/>
      <c r="B55" s="209">
        <v>53204020100000</v>
      </c>
      <c r="C55" s="248" t="s">
        <v>175</v>
      </c>
      <c r="D55" s="278">
        <f t="shared" si="7"/>
        <v>0</v>
      </c>
      <c r="E55" s="278">
        <v>0</v>
      </c>
      <c r="F55" s="279">
        <v>0</v>
      </c>
      <c r="G55" s="278">
        <f t="shared" si="6"/>
        <v>0</v>
      </c>
      <c r="H55" s="270">
        <f t="shared" si="5"/>
        <v>0</v>
      </c>
      <c r="L55" s="190" t="s">
        <v>98</v>
      </c>
      <c r="M55" s="249">
        <v>600000</v>
      </c>
      <c r="N55" s="210">
        <f t="shared" si="0"/>
        <v>480000</v>
      </c>
      <c r="O55" s="210">
        <f t="shared" si="1"/>
        <v>120000</v>
      </c>
    </row>
    <row r="56" spans="1:15" ht="12.75" customHeight="1" x14ac:dyDescent="0.2">
      <c r="A56" s="727"/>
      <c r="B56" s="187"/>
      <c r="C56" s="254" t="s">
        <v>55</v>
      </c>
      <c r="D56" s="264">
        <f>SUM(D57:D64)</f>
        <v>2710183.2</v>
      </c>
      <c r="E56" s="265"/>
      <c r="F56" s="265"/>
      <c r="G56" s="264">
        <f>SUM(G57:G64)</f>
        <v>392212</v>
      </c>
      <c r="H56" s="188">
        <f>SUM(H57:H64)</f>
        <v>3102395.2</v>
      </c>
      <c r="L56" s="190" t="s">
        <v>99</v>
      </c>
      <c r="M56" s="249"/>
      <c r="N56" s="210">
        <f t="shared" si="0"/>
        <v>0</v>
      </c>
      <c r="O56" s="210">
        <f t="shared" si="1"/>
        <v>0</v>
      </c>
    </row>
    <row r="57" spans="1:15" ht="12.75" customHeight="1" x14ac:dyDescent="0.2">
      <c r="A57" s="727"/>
      <c r="B57" s="189">
        <v>53207010000000</v>
      </c>
      <c r="C57" s="248" t="s">
        <v>56</v>
      </c>
      <c r="D57" s="278">
        <f>N47</f>
        <v>0</v>
      </c>
      <c r="E57" s="278">
        <v>0</v>
      </c>
      <c r="F57" s="279">
        <v>0</v>
      </c>
      <c r="G57" s="278">
        <f t="shared" si="6"/>
        <v>0</v>
      </c>
      <c r="H57" s="270">
        <f t="shared" si="5"/>
        <v>0</v>
      </c>
      <c r="L57" s="190" t="s">
        <v>188</v>
      </c>
      <c r="M57" s="249">
        <v>1500000</v>
      </c>
      <c r="N57" s="210">
        <f t="shared" si="0"/>
        <v>1200000</v>
      </c>
      <c r="O57" s="210">
        <f t="shared" si="1"/>
        <v>300000</v>
      </c>
    </row>
    <row r="58" spans="1:15" ht="12.75" customHeight="1" x14ac:dyDescent="0.2">
      <c r="A58" s="727"/>
      <c r="B58" s="189">
        <v>53207020000000</v>
      </c>
      <c r="C58" s="248" t="s">
        <v>57</v>
      </c>
      <c r="D58" s="278">
        <f>N48</f>
        <v>120000</v>
      </c>
      <c r="E58" s="278">
        <v>0</v>
      </c>
      <c r="F58" s="279">
        <v>0</v>
      </c>
      <c r="G58" s="278">
        <f t="shared" si="6"/>
        <v>0</v>
      </c>
      <c r="H58" s="270">
        <f t="shared" si="5"/>
        <v>120000</v>
      </c>
      <c r="L58" s="190" t="s">
        <v>101</v>
      </c>
      <c r="M58" s="249">
        <v>0</v>
      </c>
      <c r="N58" s="210">
        <f t="shared" si="0"/>
        <v>0</v>
      </c>
      <c r="O58" s="210">
        <f t="shared" si="1"/>
        <v>0</v>
      </c>
    </row>
    <row r="59" spans="1:15" ht="12.75" customHeight="1" x14ac:dyDescent="0.2">
      <c r="A59" s="727"/>
      <c r="B59" s="189">
        <v>53208020000000</v>
      </c>
      <c r="C59" s="248" t="s">
        <v>166</v>
      </c>
      <c r="D59" s="278">
        <f>N49</f>
        <v>0</v>
      </c>
      <c r="E59" s="278">
        <v>0</v>
      </c>
      <c r="F59" s="279">
        <v>0</v>
      </c>
      <c r="G59" s="278">
        <f t="shared" si="6"/>
        <v>0</v>
      </c>
      <c r="H59" s="270">
        <f t="shared" si="5"/>
        <v>0</v>
      </c>
      <c r="L59" s="211" t="s">
        <v>189</v>
      </c>
      <c r="M59" s="249">
        <v>600000</v>
      </c>
      <c r="N59" s="210">
        <f t="shared" si="0"/>
        <v>480000</v>
      </c>
      <c r="O59" s="210">
        <f t="shared" si="1"/>
        <v>120000</v>
      </c>
    </row>
    <row r="60" spans="1:15" ht="12.75" customHeight="1" x14ac:dyDescent="0.2">
      <c r="A60" s="727"/>
      <c r="B60" s="189">
        <v>53208990000000</v>
      </c>
      <c r="C60" s="248" t="s">
        <v>184</v>
      </c>
      <c r="D60" s="278">
        <f>N50</f>
        <v>280000</v>
      </c>
      <c r="E60" s="278">
        <v>0</v>
      </c>
      <c r="F60" s="279">
        <v>0</v>
      </c>
      <c r="G60" s="278">
        <f t="shared" si="6"/>
        <v>0</v>
      </c>
      <c r="H60" s="270">
        <f t="shared" si="5"/>
        <v>280000</v>
      </c>
      <c r="L60" s="190" t="s">
        <v>103</v>
      </c>
      <c r="M60" s="249">
        <v>600000</v>
      </c>
      <c r="N60" s="210">
        <f t="shared" si="0"/>
        <v>480000</v>
      </c>
      <c r="O60" s="210">
        <f t="shared" si="1"/>
        <v>120000</v>
      </c>
    </row>
    <row r="61" spans="1:15" ht="12.75" customHeight="1" x14ac:dyDescent="0.2">
      <c r="A61" s="727"/>
      <c r="B61" s="209">
        <v>53210020300000</v>
      </c>
      <c r="C61" s="248" t="s">
        <v>186</v>
      </c>
      <c r="D61" s="516">
        <v>0</v>
      </c>
      <c r="E61" s="519">
        <v>6326</v>
      </c>
      <c r="F61" s="520">
        <f>+'B) Reajuste Tarifas y Ocupación'!I25</f>
        <v>62</v>
      </c>
      <c r="G61" s="268">
        <f t="shared" si="6"/>
        <v>392212</v>
      </c>
      <c r="H61" s="270">
        <f t="shared" si="5"/>
        <v>392212</v>
      </c>
      <c r="L61" s="190" t="s">
        <v>211</v>
      </c>
      <c r="M61" s="249"/>
      <c r="N61" s="210">
        <f t="shared" si="0"/>
        <v>0</v>
      </c>
      <c r="O61" s="210">
        <f t="shared" si="1"/>
        <v>0</v>
      </c>
    </row>
    <row r="62" spans="1:15" ht="12.75" customHeight="1" x14ac:dyDescent="0.2">
      <c r="A62" s="727"/>
      <c r="B62" s="189">
        <v>53208990000000</v>
      </c>
      <c r="C62" s="248" t="s">
        <v>187</v>
      </c>
      <c r="D62" s="268">
        <f>N51</f>
        <v>0</v>
      </c>
      <c r="E62" s="268">
        <v>0</v>
      </c>
      <c r="F62" s="276">
        <v>0</v>
      </c>
      <c r="G62" s="268">
        <f t="shared" si="6"/>
        <v>0</v>
      </c>
      <c r="H62" s="270">
        <f t="shared" si="5"/>
        <v>0</v>
      </c>
    </row>
    <row r="63" spans="1:15" ht="12.75" customHeight="1" x14ac:dyDescent="0.2">
      <c r="A63" s="727"/>
      <c r="B63" s="189">
        <v>53209990000000</v>
      </c>
      <c r="C63" s="248" t="s">
        <v>185</v>
      </c>
      <c r="D63" s="268">
        <f>N52</f>
        <v>480000</v>
      </c>
      <c r="E63" s="268">
        <v>0</v>
      </c>
      <c r="F63" s="276">
        <v>0</v>
      </c>
      <c r="G63" s="268">
        <f t="shared" si="6"/>
        <v>0</v>
      </c>
      <c r="H63" s="270">
        <f t="shared" si="5"/>
        <v>480000</v>
      </c>
    </row>
    <row r="64" spans="1:15" ht="12.75" customHeight="1" x14ac:dyDescent="0.2">
      <c r="A64" s="727"/>
      <c r="B64" s="189">
        <v>53210020100000</v>
      </c>
      <c r="C64" s="248" t="s">
        <v>64</v>
      </c>
      <c r="D64" s="521">
        <f>+N53</f>
        <v>1830183.2000000002</v>
      </c>
      <c r="E64" s="268">
        <v>0</v>
      </c>
      <c r="F64" s="276">
        <v>0</v>
      </c>
      <c r="G64" s="268">
        <f t="shared" si="6"/>
        <v>0</v>
      </c>
      <c r="H64" s="270">
        <f t="shared" si="5"/>
        <v>1830183.2000000002</v>
      </c>
    </row>
    <row r="65" spans="1:10" ht="12.75" customHeight="1" x14ac:dyDescent="0.2">
      <c r="A65" s="727"/>
      <c r="B65" s="187"/>
      <c r="C65" s="254" t="s">
        <v>65</v>
      </c>
      <c r="D65" s="264">
        <f>SUM(D66:D72)</f>
        <v>2640000</v>
      </c>
      <c r="E65" s="265"/>
      <c r="F65" s="265"/>
      <c r="G65" s="264">
        <f>SUM(G66:G72)</f>
        <v>0</v>
      </c>
      <c r="H65" s="188">
        <f>SUM(H66:H72)</f>
        <v>2640000</v>
      </c>
    </row>
    <row r="66" spans="1:10" ht="12.75" customHeight="1" x14ac:dyDescent="0.2">
      <c r="A66" s="727"/>
      <c r="B66" s="189">
        <v>53206030000000</v>
      </c>
      <c r="C66" s="248" t="s">
        <v>98</v>
      </c>
      <c r="D66" s="278">
        <f t="shared" ref="D66:D72" si="8">N55</f>
        <v>480000</v>
      </c>
      <c r="E66" s="278">
        <v>0</v>
      </c>
      <c r="F66" s="279">
        <v>0</v>
      </c>
      <c r="G66" s="268">
        <f t="shared" si="6"/>
        <v>0</v>
      </c>
      <c r="H66" s="270">
        <f t="shared" si="5"/>
        <v>480000</v>
      </c>
    </row>
    <row r="67" spans="1:10" ht="12.75" customHeight="1" x14ac:dyDescent="0.2">
      <c r="A67" s="727"/>
      <c r="B67" s="189">
        <v>53206040000000</v>
      </c>
      <c r="C67" s="248" t="s">
        <v>99</v>
      </c>
      <c r="D67" s="278">
        <f t="shared" si="8"/>
        <v>0</v>
      </c>
      <c r="E67" s="278">
        <v>0</v>
      </c>
      <c r="F67" s="279">
        <v>0</v>
      </c>
      <c r="G67" s="268">
        <f t="shared" si="6"/>
        <v>0</v>
      </c>
      <c r="H67" s="270">
        <f t="shared" si="5"/>
        <v>0</v>
      </c>
    </row>
    <row r="68" spans="1:10" ht="12.75" customHeight="1" x14ac:dyDescent="0.2">
      <c r="A68" s="727"/>
      <c r="B68" s="189">
        <v>53206060000000</v>
      </c>
      <c r="C68" s="248" t="s">
        <v>188</v>
      </c>
      <c r="D68" s="278">
        <f t="shared" si="8"/>
        <v>1200000</v>
      </c>
      <c r="E68" s="278">
        <v>0</v>
      </c>
      <c r="F68" s="279">
        <v>0</v>
      </c>
      <c r="G68" s="268">
        <f t="shared" si="6"/>
        <v>0</v>
      </c>
      <c r="H68" s="270">
        <f t="shared" si="5"/>
        <v>1200000</v>
      </c>
    </row>
    <row r="69" spans="1:10" ht="12.75" customHeight="1" x14ac:dyDescent="0.2">
      <c r="A69" s="727"/>
      <c r="B69" s="189">
        <v>53206070000000</v>
      </c>
      <c r="C69" s="248" t="s">
        <v>101</v>
      </c>
      <c r="D69" s="278">
        <f t="shared" si="8"/>
        <v>0</v>
      </c>
      <c r="E69" s="278">
        <v>0</v>
      </c>
      <c r="F69" s="279">
        <v>0</v>
      </c>
      <c r="G69" s="268">
        <f t="shared" si="6"/>
        <v>0</v>
      </c>
      <c r="H69" s="270">
        <f t="shared" si="5"/>
        <v>0</v>
      </c>
    </row>
    <row r="70" spans="1:10" ht="12.75" customHeight="1" x14ac:dyDescent="0.2">
      <c r="A70" s="727"/>
      <c r="B70" s="189">
        <v>53206990000000</v>
      </c>
      <c r="C70" s="248" t="s">
        <v>189</v>
      </c>
      <c r="D70" s="278">
        <f t="shared" si="8"/>
        <v>480000</v>
      </c>
      <c r="E70" s="278">
        <v>0</v>
      </c>
      <c r="F70" s="279">
        <v>0</v>
      </c>
      <c r="G70" s="268">
        <f t="shared" si="6"/>
        <v>0</v>
      </c>
      <c r="H70" s="270">
        <f t="shared" si="5"/>
        <v>480000</v>
      </c>
    </row>
    <row r="71" spans="1:10" ht="12.75" customHeight="1" x14ac:dyDescent="0.2">
      <c r="A71" s="727"/>
      <c r="B71" s="189">
        <v>53208030000000</v>
      </c>
      <c r="C71" s="248" t="s">
        <v>103</v>
      </c>
      <c r="D71" s="278">
        <f t="shared" si="8"/>
        <v>480000</v>
      </c>
      <c r="E71" s="278">
        <v>0</v>
      </c>
      <c r="F71" s="279">
        <v>0</v>
      </c>
      <c r="G71" s="268">
        <f t="shared" si="6"/>
        <v>0</v>
      </c>
      <c r="H71" s="270">
        <f t="shared" si="5"/>
        <v>480000</v>
      </c>
    </row>
    <row r="72" spans="1:10" ht="12.75" customHeight="1" x14ac:dyDescent="0.2">
      <c r="A72" s="727"/>
      <c r="B72" s="189">
        <v>53206990000000</v>
      </c>
      <c r="C72" s="248" t="s">
        <v>211</v>
      </c>
      <c r="D72" s="278">
        <f t="shared" si="8"/>
        <v>0</v>
      </c>
      <c r="E72" s="278">
        <v>0</v>
      </c>
      <c r="F72" s="279">
        <v>0</v>
      </c>
      <c r="G72" s="268">
        <f t="shared" si="6"/>
        <v>0</v>
      </c>
      <c r="H72" s="270">
        <f>D72+G72</f>
        <v>0</v>
      </c>
    </row>
    <row r="73" spans="1:10" ht="12.75" customHeight="1" x14ac:dyDescent="0.2">
      <c r="A73" s="727"/>
      <c r="B73" s="187"/>
      <c r="C73" s="254" t="s">
        <v>66</v>
      </c>
      <c r="D73" s="264">
        <f>SUM(D74:D74)</f>
        <v>0</v>
      </c>
      <c r="E73" s="265"/>
      <c r="F73" s="265"/>
      <c r="G73" s="264">
        <f>SUM(G74:G74)</f>
        <v>930000</v>
      </c>
      <c r="H73" s="188">
        <f>SUM(H74:H74)</f>
        <v>930000</v>
      </c>
    </row>
    <row r="74" spans="1:10" ht="12.75" customHeight="1" x14ac:dyDescent="0.2">
      <c r="A74" s="727"/>
      <c r="B74" s="283"/>
      <c r="C74" s="284" t="s">
        <v>212</v>
      </c>
      <c r="D74" s="271">
        <v>0</v>
      </c>
      <c r="E74" s="271">
        <v>15000</v>
      </c>
      <c r="F74" s="348">
        <v>62</v>
      </c>
      <c r="G74" s="268">
        <f t="shared" si="6"/>
        <v>930000</v>
      </c>
      <c r="H74" s="285">
        <f t="shared" si="5"/>
        <v>930000</v>
      </c>
      <c r="I74" s="286" t="s">
        <v>213</v>
      </c>
      <c r="J74" s="287">
        <f>+H72+H71+H70+H69+H68+H67+H66+H64+H63+H62+H61+H60+H59+H58+H57+H55+H52+H51+H50+H49+H48+H46+H44+H43+H37+H36+H35+H33+H32+H31+H30+H29+H28+H27+H26+H25+H24+H23</f>
        <v>13356741.440000001</v>
      </c>
    </row>
    <row r="75" spans="1:10" ht="12.75" customHeight="1" collapsed="1" thickBot="1" x14ac:dyDescent="0.25">
      <c r="A75" s="728"/>
      <c r="B75" s="288"/>
      <c r="C75" s="289" t="s">
        <v>104</v>
      </c>
      <c r="D75" s="290">
        <f>SUM(D12,D39)</f>
        <v>47230106</v>
      </c>
      <c r="E75" s="291"/>
      <c r="F75" s="291"/>
      <c r="G75" s="290">
        <f>SUM(G12,G39)</f>
        <v>27419852</v>
      </c>
      <c r="H75" s="292">
        <f>SUM(H12,H39)</f>
        <v>74649958</v>
      </c>
      <c r="I75" s="293" t="s">
        <v>214</v>
      </c>
      <c r="J75" s="294">
        <f>+H75-J74</f>
        <v>61293216.560000002</v>
      </c>
    </row>
    <row r="76" spans="1:10" ht="15.75" customHeight="1" x14ac:dyDescent="0.2">
      <c r="A76" s="793" t="s">
        <v>222</v>
      </c>
      <c r="B76" s="204"/>
      <c r="C76" s="251" t="s">
        <v>11</v>
      </c>
      <c r="D76" s="260">
        <f>SUM(D77+D82)</f>
        <v>28058872.040000003</v>
      </c>
      <c r="E76" s="261"/>
      <c r="F76" s="261"/>
      <c r="G76" s="262">
        <f>SUM(G77,G82)</f>
        <v>218100</v>
      </c>
      <c r="H76" s="263">
        <f>SUM(H77,H82)</f>
        <v>28276972.040000003</v>
      </c>
    </row>
    <row r="77" spans="1:10" ht="12.75" customHeight="1" x14ac:dyDescent="0.2">
      <c r="A77" s="727"/>
      <c r="B77" s="187"/>
      <c r="C77" s="254" t="s">
        <v>12</v>
      </c>
      <c r="D77" s="264">
        <f>SUM(D78:D81)</f>
        <v>26375872.040000003</v>
      </c>
      <c r="E77" s="265"/>
      <c r="F77" s="265"/>
      <c r="G77" s="266">
        <f>SUM(G78:G81)</f>
        <v>0</v>
      </c>
      <c r="H77" s="188">
        <f>SUM(H78:H81)</f>
        <v>26375872.040000003</v>
      </c>
    </row>
    <row r="78" spans="1:10" ht="12.75" customHeight="1" x14ac:dyDescent="0.2">
      <c r="A78" s="727"/>
      <c r="B78" s="189">
        <v>53103040100000</v>
      </c>
      <c r="C78" s="248" t="s">
        <v>94</v>
      </c>
      <c r="D78" s="267">
        <f>+'F) Remuneraciones'!L23</f>
        <v>21375872.040000003</v>
      </c>
      <c r="E78" s="268">
        <v>0</v>
      </c>
      <c r="F78" s="269">
        <v>0</v>
      </c>
      <c r="G78" s="268">
        <f>E78*F78</f>
        <v>0</v>
      </c>
      <c r="H78" s="270">
        <f>D78+G78</f>
        <v>21375872.040000003</v>
      </c>
    </row>
    <row r="79" spans="1:10" ht="12.75" customHeight="1" x14ac:dyDescent="0.2">
      <c r="A79" s="727"/>
      <c r="B79" s="189">
        <v>53103050000000</v>
      </c>
      <c r="C79" s="248" t="s">
        <v>167</v>
      </c>
      <c r="D79" s="271">
        <v>5000000</v>
      </c>
      <c r="E79" s="272">
        <v>0</v>
      </c>
      <c r="F79" s="273">
        <v>0</v>
      </c>
      <c r="G79" s="268">
        <f>E79*F79</f>
        <v>0</v>
      </c>
      <c r="H79" s="270">
        <f>D79+G79</f>
        <v>5000000</v>
      </c>
    </row>
    <row r="80" spans="1:10" ht="12.75" customHeight="1" x14ac:dyDescent="0.2">
      <c r="A80" s="727"/>
      <c r="B80" s="209">
        <v>53103040400000</v>
      </c>
      <c r="C80" s="191" t="s">
        <v>168</v>
      </c>
      <c r="D80" s="271">
        <v>0</v>
      </c>
      <c r="E80" s="272">
        <v>0</v>
      </c>
      <c r="F80" s="273">
        <v>0</v>
      </c>
      <c r="G80" s="268">
        <f>E80*F80</f>
        <v>0</v>
      </c>
      <c r="H80" s="270">
        <f>D80+G80</f>
        <v>0</v>
      </c>
    </row>
    <row r="81" spans="1:8" ht="12.75" customHeight="1" x14ac:dyDescent="0.2">
      <c r="A81" s="727"/>
      <c r="B81" s="189">
        <v>53103080010000</v>
      </c>
      <c r="C81" s="248" t="s">
        <v>169</v>
      </c>
      <c r="D81" s="271">
        <v>0</v>
      </c>
      <c r="E81" s="272">
        <v>0</v>
      </c>
      <c r="F81" s="273">
        <v>0</v>
      </c>
      <c r="G81" s="268">
        <f>E81*F81</f>
        <v>0</v>
      </c>
      <c r="H81" s="270">
        <f>D81+G81</f>
        <v>0</v>
      </c>
    </row>
    <row r="82" spans="1:8" ht="12.75" customHeight="1" x14ac:dyDescent="0.2">
      <c r="A82" s="727"/>
      <c r="B82" s="187"/>
      <c r="C82" s="254" t="s">
        <v>16</v>
      </c>
      <c r="D82" s="264">
        <f>SUM(D83:D102)</f>
        <v>1683000</v>
      </c>
      <c r="E82" s="265"/>
      <c r="F82" s="265"/>
      <c r="G82" s="264">
        <f>SUM(G83:G102)</f>
        <v>218100</v>
      </c>
      <c r="H82" s="188">
        <f>SUM(H83:H102)</f>
        <v>1901100</v>
      </c>
    </row>
    <row r="83" spans="1:8" ht="12.75" customHeight="1" x14ac:dyDescent="0.2">
      <c r="A83" s="727"/>
      <c r="B83" s="189">
        <v>53201010100000</v>
      </c>
      <c r="C83" s="274" t="s">
        <v>170</v>
      </c>
      <c r="D83" s="271">
        <v>0</v>
      </c>
      <c r="E83" s="272">
        <v>0</v>
      </c>
      <c r="F83" s="273">
        <v>0</v>
      </c>
      <c r="G83" s="268">
        <f t="shared" ref="G83:G102" si="9">E83*F83</f>
        <v>0</v>
      </c>
      <c r="H83" s="270">
        <f t="shared" ref="H83:H88" si="10">D83+G83</f>
        <v>0</v>
      </c>
    </row>
    <row r="84" spans="1:8" ht="12.75" customHeight="1" x14ac:dyDescent="0.2">
      <c r="A84" s="727"/>
      <c r="B84" s="189">
        <v>53201010100000</v>
      </c>
      <c r="C84" s="274" t="s">
        <v>171</v>
      </c>
      <c r="D84" s="271">
        <v>0</v>
      </c>
      <c r="E84" s="272">
        <v>0</v>
      </c>
      <c r="F84" s="273">
        <v>0</v>
      </c>
      <c r="G84" s="268">
        <f t="shared" si="9"/>
        <v>0</v>
      </c>
      <c r="H84" s="270">
        <f t="shared" si="10"/>
        <v>0</v>
      </c>
    </row>
    <row r="85" spans="1:8" ht="12.75" customHeight="1" x14ac:dyDescent="0.2">
      <c r="A85" s="727"/>
      <c r="B85" s="189">
        <v>53201010100000</v>
      </c>
      <c r="C85" s="274" t="s">
        <v>172</v>
      </c>
      <c r="D85" s="271">
        <v>0</v>
      </c>
      <c r="E85" s="272">
        <v>2181</v>
      </c>
      <c r="F85" s="273">
        <v>100</v>
      </c>
      <c r="G85" s="268">
        <f t="shared" si="9"/>
        <v>218100</v>
      </c>
      <c r="H85" s="270">
        <f t="shared" si="10"/>
        <v>218100</v>
      </c>
    </row>
    <row r="86" spans="1:8" ht="12.75" customHeight="1" x14ac:dyDescent="0.2">
      <c r="A86" s="727"/>
      <c r="B86" s="189">
        <v>53202010100000</v>
      </c>
      <c r="C86" s="248" t="s">
        <v>173</v>
      </c>
      <c r="D86" s="268">
        <f>O14</f>
        <v>180000</v>
      </c>
      <c r="E86" s="268">
        <v>0</v>
      </c>
      <c r="F86" s="276">
        <v>0</v>
      </c>
      <c r="G86" s="268">
        <f t="shared" si="9"/>
        <v>0</v>
      </c>
      <c r="H86" s="270">
        <f t="shared" si="10"/>
        <v>180000</v>
      </c>
    </row>
    <row r="87" spans="1:8" ht="12.75" customHeight="1" x14ac:dyDescent="0.2">
      <c r="A87" s="727"/>
      <c r="B87" s="189">
        <v>53203010100000</v>
      </c>
      <c r="C87" s="248" t="s">
        <v>19</v>
      </c>
      <c r="D87" s="268">
        <f t="shared" ref="D87:D102" si="11">O15</f>
        <v>10000</v>
      </c>
      <c r="E87" s="268">
        <v>0</v>
      </c>
      <c r="F87" s="276">
        <v>0</v>
      </c>
      <c r="G87" s="268">
        <f t="shared" si="9"/>
        <v>0</v>
      </c>
      <c r="H87" s="270">
        <f t="shared" si="10"/>
        <v>10000</v>
      </c>
    </row>
    <row r="88" spans="1:8" ht="12.75" customHeight="1" x14ac:dyDescent="0.2">
      <c r="A88" s="727"/>
      <c r="B88" s="189">
        <v>53203030000000</v>
      </c>
      <c r="C88" s="248" t="s">
        <v>174</v>
      </c>
      <c r="D88" s="268">
        <f t="shared" si="11"/>
        <v>0</v>
      </c>
      <c r="E88" s="268">
        <v>0</v>
      </c>
      <c r="F88" s="276">
        <v>0</v>
      </c>
      <c r="G88" s="268">
        <f t="shared" si="9"/>
        <v>0</v>
      </c>
      <c r="H88" s="270">
        <f t="shared" si="10"/>
        <v>0</v>
      </c>
    </row>
    <row r="89" spans="1:8" ht="12.75" customHeight="1" x14ac:dyDescent="0.2">
      <c r="A89" s="727"/>
      <c r="B89" s="189">
        <v>53204030000000</v>
      </c>
      <c r="C89" s="248" t="s">
        <v>209</v>
      </c>
      <c r="D89" s="268">
        <f t="shared" si="11"/>
        <v>56000</v>
      </c>
      <c r="E89" s="268">
        <v>0</v>
      </c>
      <c r="F89" s="276">
        <v>0</v>
      </c>
      <c r="G89" s="268">
        <f t="shared" si="9"/>
        <v>0</v>
      </c>
      <c r="H89" s="270">
        <f>D89+G89</f>
        <v>56000</v>
      </c>
    </row>
    <row r="90" spans="1:8" ht="12.75" customHeight="1" x14ac:dyDescent="0.2">
      <c r="A90" s="727"/>
      <c r="B90" s="189">
        <v>53204100100001</v>
      </c>
      <c r="C90" s="248" t="s">
        <v>22</v>
      </c>
      <c r="D90" s="268">
        <f t="shared" si="11"/>
        <v>200000</v>
      </c>
      <c r="E90" s="268">
        <v>0</v>
      </c>
      <c r="F90" s="276">
        <v>0</v>
      </c>
      <c r="G90" s="268">
        <f t="shared" si="9"/>
        <v>0</v>
      </c>
      <c r="H90" s="270">
        <f t="shared" ref="H90:H102" si="12">D90+G90</f>
        <v>200000</v>
      </c>
    </row>
    <row r="91" spans="1:8" ht="12.75" customHeight="1" x14ac:dyDescent="0.2">
      <c r="A91" s="727"/>
      <c r="B91" s="189">
        <v>53204130100000</v>
      </c>
      <c r="C91" s="248" t="s">
        <v>176</v>
      </c>
      <c r="D91" s="268">
        <f t="shared" si="11"/>
        <v>16000</v>
      </c>
      <c r="E91" s="268">
        <v>0</v>
      </c>
      <c r="F91" s="276">
        <v>0</v>
      </c>
      <c r="G91" s="268">
        <f t="shared" si="9"/>
        <v>0</v>
      </c>
      <c r="H91" s="270">
        <f t="shared" si="12"/>
        <v>16000</v>
      </c>
    </row>
    <row r="92" spans="1:8" ht="12.75" customHeight="1" x14ac:dyDescent="0.2">
      <c r="A92" s="727"/>
      <c r="B92" s="189">
        <v>53205010100000</v>
      </c>
      <c r="C92" s="248" t="s">
        <v>24</v>
      </c>
      <c r="D92" s="268">
        <f t="shared" si="11"/>
        <v>260000</v>
      </c>
      <c r="E92" s="268">
        <v>0</v>
      </c>
      <c r="F92" s="276">
        <v>0</v>
      </c>
      <c r="G92" s="268">
        <f t="shared" si="9"/>
        <v>0</v>
      </c>
      <c r="H92" s="270">
        <f t="shared" si="12"/>
        <v>260000</v>
      </c>
    </row>
    <row r="93" spans="1:8" ht="12.75" customHeight="1" x14ac:dyDescent="0.2">
      <c r="A93" s="727"/>
      <c r="B93" s="189">
        <v>53205020100000</v>
      </c>
      <c r="C93" s="248" t="s">
        <v>25</v>
      </c>
      <c r="D93" s="268">
        <f t="shared" si="11"/>
        <v>180000</v>
      </c>
      <c r="E93" s="268">
        <v>0</v>
      </c>
      <c r="F93" s="276">
        <v>0</v>
      </c>
      <c r="G93" s="268">
        <f t="shared" si="9"/>
        <v>0</v>
      </c>
      <c r="H93" s="270">
        <f t="shared" si="12"/>
        <v>180000</v>
      </c>
    </row>
    <row r="94" spans="1:8" ht="12.75" customHeight="1" x14ac:dyDescent="0.2">
      <c r="A94" s="727"/>
      <c r="B94" s="189">
        <v>53205030100000</v>
      </c>
      <c r="C94" s="248" t="s">
        <v>26</v>
      </c>
      <c r="D94" s="268">
        <f t="shared" si="11"/>
        <v>451000</v>
      </c>
      <c r="E94" s="268">
        <v>0</v>
      </c>
      <c r="F94" s="276">
        <v>0</v>
      </c>
      <c r="G94" s="268">
        <f t="shared" si="9"/>
        <v>0</v>
      </c>
      <c r="H94" s="270">
        <f t="shared" si="12"/>
        <v>451000</v>
      </c>
    </row>
    <row r="95" spans="1:8" ht="12.75" customHeight="1" x14ac:dyDescent="0.2">
      <c r="A95" s="727"/>
      <c r="B95" s="189">
        <v>53205050100000</v>
      </c>
      <c r="C95" s="248" t="s">
        <v>27</v>
      </c>
      <c r="D95" s="268">
        <f t="shared" si="11"/>
        <v>0</v>
      </c>
      <c r="E95" s="268">
        <v>0</v>
      </c>
      <c r="F95" s="276">
        <v>0</v>
      </c>
      <c r="G95" s="268">
        <f t="shared" si="9"/>
        <v>0</v>
      </c>
      <c r="H95" s="270">
        <f t="shared" si="12"/>
        <v>0</v>
      </c>
    </row>
    <row r="96" spans="1:8" ht="12.75" customHeight="1" x14ac:dyDescent="0.2">
      <c r="A96" s="727"/>
      <c r="B96" s="189">
        <v>53205070100000</v>
      </c>
      <c r="C96" s="248" t="s">
        <v>29</v>
      </c>
      <c r="D96" s="268">
        <f t="shared" si="11"/>
        <v>0</v>
      </c>
      <c r="E96" s="268">
        <v>0</v>
      </c>
      <c r="F96" s="276">
        <v>0</v>
      </c>
      <c r="G96" s="268">
        <f t="shared" si="9"/>
        <v>0</v>
      </c>
      <c r="H96" s="270">
        <f t="shared" si="12"/>
        <v>0</v>
      </c>
    </row>
    <row r="97" spans="1:8" ht="12.75" customHeight="1" x14ac:dyDescent="0.2">
      <c r="A97" s="727"/>
      <c r="B97" s="189">
        <v>53208010100000</v>
      </c>
      <c r="C97" s="248" t="s">
        <v>30</v>
      </c>
      <c r="D97" s="268">
        <f t="shared" si="11"/>
        <v>0</v>
      </c>
      <c r="E97" s="268">
        <v>0</v>
      </c>
      <c r="F97" s="276">
        <v>0</v>
      </c>
      <c r="G97" s="268">
        <f t="shared" si="9"/>
        <v>0</v>
      </c>
      <c r="H97" s="270">
        <f t="shared" si="12"/>
        <v>0</v>
      </c>
    </row>
    <row r="98" spans="1:8" ht="12.75" customHeight="1" x14ac:dyDescent="0.2">
      <c r="A98" s="727"/>
      <c r="B98" s="189">
        <v>53208070100001</v>
      </c>
      <c r="C98" s="248" t="s">
        <v>31</v>
      </c>
      <c r="D98" s="268">
        <f t="shared" si="11"/>
        <v>0</v>
      </c>
      <c r="E98" s="268">
        <v>0</v>
      </c>
      <c r="F98" s="276">
        <v>0</v>
      </c>
      <c r="G98" s="268">
        <f t="shared" si="9"/>
        <v>0</v>
      </c>
      <c r="H98" s="270">
        <f t="shared" si="12"/>
        <v>0</v>
      </c>
    </row>
    <row r="99" spans="1:8" ht="12.75" customHeight="1" x14ac:dyDescent="0.2">
      <c r="A99" s="727"/>
      <c r="B99" s="189">
        <v>53208100100001</v>
      </c>
      <c r="C99" s="248" t="s">
        <v>177</v>
      </c>
      <c r="D99" s="268">
        <f t="shared" si="11"/>
        <v>0</v>
      </c>
      <c r="E99" s="268">
        <v>0</v>
      </c>
      <c r="F99" s="276">
        <v>0</v>
      </c>
      <c r="G99" s="268">
        <f t="shared" si="9"/>
        <v>0</v>
      </c>
      <c r="H99" s="270">
        <f t="shared" si="12"/>
        <v>0</v>
      </c>
    </row>
    <row r="100" spans="1:8" ht="12.75" customHeight="1" x14ac:dyDescent="0.2">
      <c r="A100" s="727"/>
      <c r="B100" s="189">
        <v>53211030000000</v>
      </c>
      <c r="C100" s="248" t="s">
        <v>32</v>
      </c>
      <c r="D100" s="268">
        <f t="shared" si="11"/>
        <v>0</v>
      </c>
      <c r="E100" s="268">
        <v>0</v>
      </c>
      <c r="F100" s="276">
        <v>0</v>
      </c>
      <c r="G100" s="268">
        <f t="shared" si="9"/>
        <v>0</v>
      </c>
      <c r="H100" s="270">
        <f t="shared" si="12"/>
        <v>0</v>
      </c>
    </row>
    <row r="101" spans="1:8" ht="12.75" customHeight="1" x14ac:dyDescent="0.2">
      <c r="A101" s="727"/>
      <c r="B101" s="189">
        <v>53212020100000</v>
      </c>
      <c r="C101" s="248" t="s">
        <v>178</v>
      </c>
      <c r="D101" s="268">
        <f t="shared" si="11"/>
        <v>330000</v>
      </c>
      <c r="E101" s="268">
        <v>0</v>
      </c>
      <c r="F101" s="276">
        <v>0</v>
      </c>
      <c r="G101" s="268">
        <f t="shared" si="9"/>
        <v>0</v>
      </c>
      <c r="H101" s="270">
        <f t="shared" si="12"/>
        <v>330000</v>
      </c>
    </row>
    <row r="102" spans="1:8" ht="12.75" customHeight="1" x14ac:dyDescent="0.2">
      <c r="A102" s="727"/>
      <c r="B102" s="189">
        <v>53214020000000</v>
      </c>
      <c r="C102" s="248" t="s">
        <v>179</v>
      </c>
      <c r="D102" s="268">
        <f t="shared" si="11"/>
        <v>0</v>
      </c>
      <c r="E102" s="268">
        <v>0</v>
      </c>
      <c r="F102" s="276">
        <v>0</v>
      </c>
      <c r="G102" s="268">
        <f t="shared" si="9"/>
        <v>0</v>
      </c>
      <c r="H102" s="270">
        <f t="shared" si="12"/>
        <v>0</v>
      </c>
    </row>
    <row r="103" spans="1:8" ht="15.75" customHeight="1" x14ac:dyDescent="0.2">
      <c r="A103" s="727"/>
      <c r="B103" s="204"/>
      <c r="C103" s="251" t="s">
        <v>34</v>
      </c>
      <c r="D103" s="192">
        <f>+D104+D109+D111+D120+D129+D137</f>
        <v>1778132.36</v>
      </c>
      <c r="E103" s="277"/>
      <c r="F103" s="277"/>
      <c r="G103" s="192">
        <f>+G104+G109+G111+G120+G129+G137</f>
        <v>386934</v>
      </c>
      <c r="H103" s="192">
        <f>+H104+H109+H111+H120+H129+H137</f>
        <v>2165066.3600000003</v>
      </c>
    </row>
    <row r="104" spans="1:8" ht="12.75" customHeight="1" x14ac:dyDescent="0.2">
      <c r="A104" s="727"/>
      <c r="B104" s="187"/>
      <c r="C104" s="254" t="s">
        <v>35</v>
      </c>
      <c r="D104" s="264">
        <f>SUM(D105:D108)</f>
        <v>34586.560000000005</v>
      </c>
      <c r="E104" s="265"/>
      <c r="F104" s="265"/>
      <c r="G104" s="264">
        <f>SUM(G105:G108)</f>
        <v>180000</v>
      </c>
      <c r="H104" s="264">
        <f>SUM(H105:H108)</f>
        <v>214586.56</v>
      </c>
    </row>
    <row r="105" spans="1:8" ht="12.75" customHeight="1" x14ac:dyDescent="0.2">
      <c r="A105" s="727"/>
      <c r="B105" s="189">
        <v>53202020100000</v>
      </c>
      <c r="C105" s="248" t="s">
        <v>180</v>
      </c>
      <c r="D105" s="271">
        <v>0</v>
      </c>
      <c r="E105" s="272">
        <v>30000</v>
      </c>
      <c r="F105" s="348">
        <v>5</v>
      </c>
      <c r="G105" s="268">
        <f>E105*F105</f>
        <v>150000</v>
      </c>
      <c r="H105" s="270">
        <f t="shared" ref="H105:H108" si="13">D105+G105</f>
        <v>150000</v>
      </c>
    </row>
    <row r="106" spans="1:8" ht="12.75" customHeight="1" x14ac:dyDescent="0.2">
      <c r="A106" s="727"/>
      <c r="B106" s="189">
        <v>53202030000000</v>
      </c>
      <c r="C106" s="248" t="s">
        <v>181</v>
      </c>
      <c r="D106" s="271">
        <v>0</v>
      </c>
      <c r="E106" s="272">
        <v>30000</v>
      </c>
      <c r="F106" s="348">
        <v>1</v>
      </c>
      <c r="G106" s="268">
        <f t="shared" ref="G106:G108" si="14">E106*F106</f>
        <v>30000</v>
      </c>
      <c r="H106" s="270">
        <f t="shared" si="13"/>
        <v>30000</v>
      </c>
    </row>
    <row r="107" spans="1:8" ht="12.75" customHeight="1" x14ac:dyDescent="0.2">
      <c r="A107" s="727"/>
      <c r="B107" s="189">
        <v>53211020000000</v>
      </c>
      <c r="C107" s="248" t="s">
        <v>41</v>
      </c>
      <c r="D107" s="278">
        <f>O33</f>
        <v>0</v>
      </c>
      <c r="E107" s="278">
        <v>0</v>
      </c>
      <c r="F107" s="279">
        <v>0</v>
      </c>
      <c r="G107" s="268">
        <f t="shared" si="14"/>
        <v>0</v>
      </c>
      <c r="H107" s="270">
        <f t="shared" si="13"/>
        <v>0</v>
      </c>
    </row>
    <row r="108" spans="1:8" ht="12.75" customHeight="1" x14ac:dyDescent="0.2">
      <c r="A108" s="727"/>
      <c r="B108" s="189">
        <v>53101040600000</v>
      </c>
      <c r="C108" s="248" t="s">
        <v>182</v>
      </c>
      <c r="D108" s="278">
        <f>O34</f>
        <v>34586.560000000005</v>
      </c>
      <c r="E108" s="278">
        <v>0</v>
      </c>
      <c r="F108" s="279">
        <v>0</v>
      </c>
      <c r="G108" s="268">
        <f t="shared" si="14"/>
        <v>0</v>
      </c>
      <c r="H108" s="270">
        <f t="shared" si="13"/>
        <v>34586.560000000005</v>
      </c>
    </row>
    <row r="109" spans="1:8" ht="12.75" customHeight="1" x14ac:dyDescent="0.2">
      <c r="A109" s="727"/>
      <c r="B109" s="187"/>
      <c r="C109" s="254" t="s">
        <v>42</v>
      </c>
      <c r="D109" s="264">
        <f>SUM(D110:D110)</f>
        <v>0</v>
      </c>
      <c r="E109" s="265"/>
      <c r="F109" s="265"/>
      <c r="G109" s="280">
        <f>SUM(G110:G110)</f>
        <v>0</v>
      </c>
      <c r="H109" s="281">
        <f>SUM(H110:H110)</f>
        <v>0</v>
      </c>
    </row>
    <row r="110" spans="1:8" ht="12.75" customHeight="1" x14ac:dyDescent="0.2">
      <c r="A110" s="727"/>
      <c r="B110" s="193">
        <v>53205990000000</v>
      </c>
      <c r="C110" s="248" t="s">
        <v>44</v>
      </c>
      <c r="D110" s="278">
        <f>+O36</f>
        <v>0</v>
      </c>
      <c r="E110" s="278">
        <v>0</v>
      </c>
      <c r="F110" s="279">
        <v>0</v>
      </c>
      <c r="G110" s="268">
        <f t="shared" ref="G110" si="15">E110*F110</f>
        <v>0</v>
      </c>
      <c r="H110" s="270">
        <f t="shared" ref="H110" si="16">D110+G110</f>
        <v>0</v>
      </c>
    </row>
    <row r="111" spans="1:8" ht="12.75" customHeight="1" x14ac:dyDescent="0.2">
      <c r="A111" s="727"/>
      <c r="B111" s="187"/>
      <c r="C111" s="254" t="s">
        <v>45</v>
      </c>
      <c r="D111" s="264">
        <f>SUM(D112:D119)</f>
        <v>406000</v>
      </c>
      <c r="E111" s="265"/>
      <c r="F111" s="265"/>
      <c r="G111" s="264">
        <f>SUM(G112:G119)</f>
        <v>0</v>
      </c>
      <c r="H111" s="188">
        <f>SUM(H112:H119)</f>
        <v>406000</v>
      </c>
    </row>
    <row r="112" spans="1:8" ht="12.75" customHeight="1" x14ac:dyDescent="0.2">
      <c r="A112" s="727"/>
      <c r="B112" s="189">
        <v>53204010000000</v>
      </c>
      <c r="C112" s="248" t="s">
        <v>47</v>
      </c>
      <c r="D112" s="278">
        <f>+O38</f>
        <v>20000</v>
      </c>
      <c r="E112" s="278">
        <v>0</v>
      </c>
      <c r="F112" s="279">
        <v>0</v>
      </c>
      <c r="G112" s="278">
        <f t="shared" ref="G112:G119" si="17">E112*F112</f>
        <v>0</v>
      </c>
      <c r="H112" s="270">
        <f t="shared" ref="H112:H119" si="18">D112+G112</f>
        <v>20000</v>
      </c>
    </row>
    <row r="113" spans="1:8" ht="12.75" customHeight="1" x14ac:dyDescent="0.2">
      <c r="A113" s="727"/>
      <c r="B113" s="193">
        <v>53204040200000</v>
      </c>
      <c r="C113" s="248" t="s">
        <v>210</v>
      </c>
      <c r="D113" s="278">
        <f t="shared" ref="D113:D119" si="19">+O39</f>
        <v>10000</v>
      </c>
      <c r="E113" s="278">
        <v>0</v>
      </c>
      <c r="F113" s="279">
        <v>0</v>
      </c>
      <c r="G113" s="278">
        <f t="shared" si="17"/>
        <v>0</v>
      </c>
      <c r="H113" s="270">
        <f t="shared" si="18"/>
        <v>10000</v>
      </c>
    </row>
    <row r="114" spans="1:8" ht="12.75" customHeight="1" x14ac:dyDescent="0.2">
      <c r="A114" s="727"/>
      <c r="B114" s="189">
        <v>53204060000000</v>
      </c>
      <c r="C114" s="248" t="s">
        <v>49</v>
      </c>
      <c r="D114" s="278">
        <f t="shared" si="19"/>
        <v>0</v>
      </c>
      <c r="E114" s="278">
        <v>0</v>
      </c>
      <c r="F114" s="279">
        <v>0</v>
      </c>
      <c r="G114" s="278">
        <f t="shared" si="17"/>
        <v>0</v>
      </c>
      <c r="H114" s="270">
        <f t="shared" si="18"/>
        <v>0</v>
      </c>
    </row>
    <row r="115" spans="1:8" ht="12.75" customHeight="1" x14ac:dyDescent="0.2">
      <c r="A115" s="727"/>
      <c r="B115" s="189">
        <v>53204070000000</v>
      </c>
      <c r="C115" s="248" t="s">
        <v>50</v>
      </c>
      <c r="D115" s="278">
        <f t="shared" si="19"/>
        <v>336000</v>
      </c>
      <c r="E115" s="278">
        <v>0</v>
      </c>
      <c r="F115" s="279">
        <v>0</v>
      </c>
      <c r="G115" s="278">
        <f t="shared" si="17"/>
        <v>0</v>
      </c>
      <c r="H115" s="270">
        <f t="shared" si="18"/>
        <v>336000</v>
      </c>
    </row>
    <row r="116" spans="1:8" ht="12.75" customHeight="1" x14ac:dyDescent="0.2">
      <c r="A116" s="727"/>
      <c r="B116" s="189">
        <v>53204080000000</v>
      </c>
      <c r="C116" s="248" t="s">
        <v>51</v>
      </c>
      <c r="D116" s="278">
        <f t="shared" si="19"/>
        <v>0</v>
      </c>
      <c r="E116" s="278">
        <v>0</v>
      </c>
      <c r="F116" s="279">
        <v>0</v>
      </c>
      <c r="G116" s="278">
        <f t="shared" si="17"/>
        <v>0</v>
      </c>
      <c r="H116" s="270">
        <f t="shared" si="18"/>
        <v>0</v>
      </c>
    </row>
    <row r="117" spans="1:8" ht="12.75" customHeight="1" x14ac:dyDescent="0.2">
      <c r="A117" s="727"/>
      <c r="B117" s="189">
        <v>53214010000000</v>
      </c>
      <c r="C117" s="248" t="s">
        <v>52</v>
      </c>
      <c r="D117" s="278">
        <f t="shared" si="19"/>
        <v>0</v>
      </c>
      <c r="E117" s="282">
        <v>0</v>
      </c>
      <c r="F117" s="279">
        <v>0</v>
      </c>
      <c r="G117" s="278">
        <f t="shared" si="17"/>
        <v>0</v>
      </c>
      <c r="H117" s="270">
        <f t="shared" si="18"/>
        <v>0</v>
      </c>
    </row>
    <row r="118" spans="1:8" ht="12.75" customHeight="1" x14ac:dyDescent="0.2">
      <c r="A118" s="727"/>
      <c r="B118" s="189">
        <v>53214040000000</v>
      </c>
      <c r="C118" s="248" t="s">
        <v>183</v>
      </c>
      <c r="D118" s="278">
        <f t="shared" si="19"/>
        <v>40000</v>
      </c>
      <c r="E118" s="282">
        <v>0</v>
      </c>
      <c r="F118" s="279">
        <v>0</v>
      </c>
      <c r="G118" s="278">
        <f t="shared" si="17"/>
        <v>0</v>
      </c>
      <c r="H118" s="270">
        <f t="shared" si="18"/>
        <v>40000</v>
      </c>
    </row>
    <row r="119" spans="1:8" ht="12.75" customHeight="1" x14ac:dyDescent="0.2">
      <c r="A119" s="727"/>
      <c r="B119" s="209">
        <v>53204020100000</v>
      </c>
      <c r="C119" s="248" t="s">
        <v>175</v>
      </c>
      <c r="D119" s="278">
        <f t="shared" si="19"/>
        <v>0</v>
      </c>
      <c r="E119" s="278">
        <v>0</v>
      </c>
      <c r="F119" s="279">
        <v>0</v>
      </c>
      <c r="G119" s="278">
        <f t="shared" si="17"/>
        <v>0</v>
      </c>
      <c r="H119" s="270">
        <f t="shared" si="18"/>
        <v>0</v>
      </c>
    </row>
    <row r="120" spans="1:8" ht="12.75" customHeight="1" x14ac:dyDescent="0.2">
      <c r="A120" s="727"/>
      <c r="B120" s="187"/>
      <c r="C120" s="254" t="s">
        <v>55</v>
      </c>
      <c r="D120" s="264">
        <f>SUM(D121:D128)</f>
        <v>677545.8</v>
      </c>
      <c r="E120" s="265"/>
      <c r="F120" s="265"/>
      <c r="G120" s="264">
        <f>SUM(G121:G128)</f>
        <v>56934</v>
      </c>
      <c r="H120" s="188">
        <f>SUM(H121:H128)</f>
        <v>734479.8</v>
      </c>
    </row>
    <row r="121" spans="1:8" ht="12.75" customHeight="1" x14ac:dyDescent="0.2">
      <c r="A121" s="727"/>
      <c r="B121" s="189">
        <v>53207010000000</v>
      </c>
      <c r="C121" s="248" t="s">
        <v>56</v>
      </c>
      <c r="D121" s="278">
        <f>+O47</f>
        <v>0</v>
      </c>
      <c r="E121" s="278">
        <v>0</v>
      </c>
      <c r="F121" s="279">
        <v>0</v>
      </c>
      <c r="G121" s="278">
        <f t="shared" ref="G121:G128" si="20">E121*F121</f>
        <v>0</v>
      </c>
      <c r="H121" s="270">
        <f t="shared" ref="H121:H128" si="21">D121+G121</f>
        <v>0</v>
      </c>
    </row>
    <row r="122" spans="1:8" ht="12.75" customHeight="1" x14ac:dyDescent="0.2">
      <c r="A122" s="727"/>
      <c r="B122" s="189">
        <v>53207020000000</v>
      </c>
      <c r="C122" s="248" t="s">
        <v>57</v>
      </c>
      <c r="D122" s="278">
        <f t="shared" ref="D122:D124" si="22">+O48</f>
        <v>30000</v>
      </c>
      <c r="E122" s="278">
        <v>0</v>
      </c>
      <c r="F122" s="279">
        <v>0</v>
      </c>
      <c r="G122" s="278">
        <f t="shared" si="20"/>
        <v>0</v>
      </c>
      <c r="H122" s="270">
        <f t="shared" si="21"/>
        <v>30000</v>
      </c>
    </row>
    <row r="123" spans="1:8" ht="12.75" customHeight="1" x14ac:dyDescent="0.2">
      <c r="A123" s="727"/>
      <c r="B123" s="189">
        <v>53208020000000</v>
      </c>
      <c r="C123" s="248" t="s">
        <v>166</v>
      </c>
      <c r="D123" s="278">
        <f t="shared" si="22"/>
        <v>0</v>
      </c>
      <c r="E123" s="278">
        <v>0</v>
      </c>
      <c r="F123" s="279">
        <v>0</v>
      </c>
      <c r="G123" s="278">
        <f t="shared" si="20"/>
        <v>0</v>
      </c>
      <c r="H123" s="270">
        <f t="shared" si="21"/>
        <v>0</v>
      </c>
    </row>
    <row r="124" spans="1:8" ht="12.75" customHeight="1" x14ac:dyDescent="0.2">
      <c r="A124" s="727"/>
      <c r="B124" s="189">
        <v>53208990000000</v>
      </c>
      <c r="C124" s="248" t="s">
        <v>184</v>
      </c>
      <c r="D124" s="278">
        <f t="shared" si="22"/>
        <v>70000</v>
      </c>
      <c r="E124" s="278">
        <v>0</v>
      </c>
      <c r="F124" s="279">
        <v>0</v>
      </c>
      <c r="G124" s="278">
        <f t="shared" si="20"/>
        <v>0</v>
      </c>
      <c r="H124" s="270">
        <f t="shared" si="21"/>
        <v>70000</v>
      </c>
    </row>
    <row r="125" spans="1:8" ht="12.75" customHeight="1" x14ac:dyDescent="0.2">
      <c r="A125" s="727"/>
      <c r="B125" s="209">
        <v>53210020300000</v>
      </c>
      <c r="C125" s="248" t="s">
        <v>186</v>
      </c>
      <c r="D125" s="512">
        <v>0</v>
      </c>
      <c r="E125" s="522">
        <v>6326</v>
      </c>
      <c r="F125" s="520">
        <f>+'B) Reajuste Tarifas y Ocupación'!I28</f>
        <v>9</v>
      </c>
      <c r="G125" s="268">
        <f t="shared" si="20"/>
        <v>56934</v>
      </c>
      <c r="H125" s="270">
        <f t="shared" si="21"/>
        <v>56934</v>
      </c>
    </row>
    <row r="126" spans="1:8" ht="12.75" customHeight="1" x14ac:dyDescent="0.2">
      <c r="A126" s="727"/>
      <c r="B126" s="189">
        <v>53208990000000</v>
      </c>
      <c r="C126" s="248" t="s">
        <v>187</v>
      </c>
      <c r="D126" s="268">
        <f>+O51</f>
        <v>0</v>
      </c>
      <c r="E126" s="268">
        <v>0</v>
      </c>
      <c r="F126" s="276">
        <v>0</v>
      </c>
      <c r="G126" s="268">
        <f t="shared" si="20"/>
        <v>0</v>
      </c>
      <c r="H126" s="270">
        <f t="shared" si="21"/>
        <v>0</v>
      </c>
    </row>
    <row r="127" spans="1:8" ht="12.75" customHeight="1" x14ac:dyDescent="0.2">
      <c r="A127" s="727"/>
      <c r="B127" s="189">
        <v>53209990000000</v>
      </c>
      <c r="C127" s="248" t="s">
        <v>185</v>
      </c>
      <c r="D127" s="268">
        <f t="shared" ref="D127:D128" si="23">+O52</f>
        <v>120000</v>
      </c>
      <c r="E127" s="268">
        <v>0</v>
      </c>
      <c r="F127" s="276">
        <v>0</v>
      </c>
      <c r="G127" s="268">
        <f t="shared" si="20"/>
        <v>0</v>
      </c>
      <c r="H127" s="270">
        <f t="shared" si="21"/>
        <v>120000</v>
      </c>
    </row>
    <row r="128" spans="1:8" ht="12.75" customHeight="1" x14ac:dyDescent="0.2">
      <c r="A128" s="727"/>
      <c r="B128" s="189">
        <v>53210020100000</v>
      </c>
      <c r="C128" s="248" t="s">
        <v>64</v>
      </c>
      <c r="D128" s="268">
        <f t="shared" si="23"/>
        <v>457545.80000000005</v>
      </c>
      <c r="E128" s="268">
        <v>0</v>
      </c>
      <c r="F128" s="276">
        <v>0</v>
      </c>
      <c r="G128" s="268">
        <f t="shared" si="20"/>
        <v>0</v>
      </c>
      <c r="H128" s="270">
        <f t="shared" si="21"/>
        <v>457545.80000000005</v>
      </c>
    </row>
    <row r="129" spans="1:10" ht="12.75" customHeight="1" x14ac:dyDescent="0.2">
      <c r="A129" s="727"/>
      <c r="B129" s="187"/>
      <c r="C129" s="254" t="s">
        <v>65</v>
      </c>
      <c r="D129" s="264">
        <f>SUM(D130:D136)</f>
        <v>660000</v>
      </c>
      <c r="E129" s="265"/>
      <c r="F129" s="265"/>
      <c r="G129" s="264">
        <f>SUM(G130:G136)</f>
        <v>0</v>
      </c>
      <c r="H129" s="188">
        <f>SUM(H130:H136)</f>
        <v>660000</v>
      </c>
    </row>
    <row r="130" spans="1:10" ht="12.75" customHeight="1" x14ac:dyDescent="0.2">
      <c r="A130" s="727"/>
      <c r="B130" s="189">
        <v>53206030000000</v>
      </c>
      <c r="C130" s="248" t="s">
        <v>98</v>
      </c>
      <c r="D130" s="278">
        <f>+O55</f>
        <v>120000</v>
      </c>
      <c r="E130" s="278">
        <v>0</v>
      </c>
      <c r="F130" s="279">
        <v>0</v>
      </c>
      <c r="G130" s="268">
        <f t="shared" ref="G130:G136" si="24">E130*F130</f>
        <v>0</v>
      </c>
      <c r="H130" s="270">
        <f t="shared" ref="H130:H135" si="25">D130+G130</f>
        <v>120000</v>
      </c>
    </row>
    <row r="131" spans="1:10" ht="12.75" customHeight="1" x14ac:dyDescent="0.2">
      <c r="A131" s="727"/>
      <c r="B131" s="189">
        <v>53206040000000</v>
      </c>
      <c r="C131" s="248" t="s">
        <v>99</v>
      </c>
      <c r="D131" s="278">
        <f t="shared" ref="D131:D136" si="26">+O56</f>
        <v>0</v>
      </c>
      <c r="E131" s="278">
        <v>0</v>
      </c>
      <c r="F131" s="279">
        <v>0</v>
      </c>
      <c r="G131" s="268">
        <f t="shared" si="24"/>
        <v>0</v>
      </c>
      <c r="H131" s="270">
        <f t="shared" si="25"/>
        <v>0</v>
      </c>
    </row>
    <row r="132" spans="1:10" ht="12.75" customHeight="1" x14ac:dyDescent="0.2">
      <c r="A132" s="727"/>
      <c r="B132" s="189">
        <v>53206060000000</v>
      </c>
      <c r="C132" s="248" t="s">
        <v>188</v>
      </c>
      <c r="D132" s="278">
        <f t="shared" si="26"/>
        <v>300000</v>
      </c>
      <c r="E132" s="278">
        <v>0</v>
      </c>
      <c r="F132" s="279">
        <v>0</v>
      </c>
      <c r="G132" s="268">
        <f t="shared" si="24"/>
        <v>0</v>
      </c>
      <c r="H132" s="270">
        <f t="shared" si="25"/>
        <v>300000</v>
      </c>
    </row>
    <row r="133" spans="1:10" ht="12.75" customHeight="1" x14ac:dyDescent="0.2">
      <c r="A133" s="727"/>
      <c r="B133" s="189">
        <v>53206070000000</v>
      </c>
      <c r="C133" s="248" t="s">
        <v>101</v>
      </c>
      <c r="D133" s="278">
        <f t="shared" si="26"/>
        <v>0</v>
      </c>
      <c r="E133" s="278">
        <v>0</v>
      </c>
      <c r="F133" s="279">
        <v>0</v>
      </c>
      <c r="G133" s="268">
        <f t="shared" si="24"/>
        <v>0</v>
      </c>
      <c r="H133" s="270">
        <f t="shared" si="25"/>
        <v>0</v>
      </c>
    </row>
    <row r="134" spans="1:10" ht="12.75" customHeight="1" x14ac:dyDescent="0.2">
      <c r="A134" s="727"/>
      <c r="B134" s="189">
        <v>53206990000000</v>
      </c>
      <c r="C134" s="248" t="s">
        <v>189</v>
      </c>
      <c r="D134" s="278">
        <f t="shared" si="26"/>
        <v>120000</v>
      </c>
      <c r="E134" s="278">
        <v>0</v>
      </c>
      <c r="F134" s="279">
        <v>0</v>
      </c>
      <c r="G134" s="268">
        <f t="shared" si="24"/>
        <v>0</v>
      </c>
      <c r="H134" s="270">
        <f t="shared" si="25"/>
        <v>120000</v>
      </c>
    </row>
    <row r="135" spans="1:10" ht="12.75" customHeight="1" x14ac:dyDescent="0.2">
      <c r="A135" s="727"/>
      <c r="B135" s="189">
        <v>53208030000000</v>
      </c>
      <c r="C135" s="248" t="s">
        <v>103</v>
      </c>
      <c r="D135" s="278">
        <f t="shared" si="26"/>
        <v>120000</v>
      </c>
      <c r="E135" s="278">
        <v>0</v>
      </c>
      <c r="F135" s="279">
        <v>0</v>
      </c>
      <c r="G135" s="268">
        <f t="shared" si="24"/>
        <v>0</v>
      </c>
      <c r="H135" s="270">
        <f t="shared" si="25"/>
        <v>120000</v>
      </c>
    </row>
    <row r="136" spans="1:10" ht="12.75" customHeight="1" x14ac:dyDescent="0.2">
      <c r="A136" s="727"/>
      <c r="B136" s="189">
        <v>53206990000000</v>
      </c>
      <c r="C136" s="248" t="s">
        <v>211</v>
      </c>
      <c r="D136" s="278">
        <f t="shared" si="26"/>
        <v>0</v>
      </c>
      <c r="E136" s="278">
        <v>0</v>
      </c>
      <c r="F136" s="279">
        <v>0</v>
      </c>
      <c r="G136" s="268">
        <f t="shared" si="24"/>
        <v>0</v>
      </c>
      <c r="H136" s="270">
        <f>D136+G136</f>
        <v>0</v>
      </c>
    </row>
    <row r="137" spans="1:10" ht="12.75" customHeight="1" x14ac:dyDescent="0.2">
      <c r="A137" s="727"/>
      <c r="B137" s="187"/>
      <c r="C137" s="254" t="s">
        <v>66</v>
      </c>
      <c r="D137" s="264">
        <f>SUM(D138:D138)</f>
        <v>0</v>
      </c>
      <c r="E137" s="265"/>
      <c r="F137" s="265"/>
      <c r="G137" s="264">
        <f>SUM(G138:G138)</f>
        <v>150000</v>
      </c>
      <c r="H137" s="188">
        <f>SUM(H138:H138)</f>
        <v>150000</v>
      </c>
    </row>
    <row r="138" spans="1:10" ht="12.75" customHeight="1" x14ac:dyDescent="0.2">
      <c r="A138" s="727"/>
      <c r="B138" s="283"/>
      <c r="C138" s="284" t="s">
        <v>212</v>
      </c>
      <c r="D138" s="271">
        <v>0</v>
      </c>
      <c r="E138" s="271">
        <v>15000</v>
      </c>
      <c r="F138" s="348">
        <v>10</v>
      </c>
      <c r="G138" s="268">
        <f t="shared" ref="G138" si="27">E138*F138</f>
        <v>150000</v>
      </c>
      <c r="H138" s="285">
        <f t="shared" ref="H138" si="28">D138+G138</f>
        <v>150000</v>
      </c>
      <c r="I138" s="286" t="s">
        <v>213</v>
      </c>
      <c r="J138" s="287">
        <f>+H136+H135+H134+H133+H132+H131+H130+H128+H127+H126+H125+H124+H123+H122+H121+H119+H116+H115+H114+H113+H112+H110+H108+H107+H101+H100+H99+H97+H96+H95+H94+H93+H92+H91+H90+H89+H88+H87</f>
        <v>3298066.3600000003</v>
      </c>
    </row>
    <row r="139" spans="1:10" ht="12.75" customHeight="1" collapsed="1" thickBot="1" x14ac:dyDescent="0.25">
      <c r="A139" s="728"/>
      <c r="B139" s="288"/>
      <c r="C139" s="289" t="s">
        <v>104</v>
      </c>
      <c r="D139" s="290">
        <f>SUM(D76,D103)</f>
        <v>29837004.400000002</v>
      </c>
      <c r="E139" s="291"/>
      <c r="F139" s="291"/>
      <c r="G139" s="290">
        <f>SUM(G76,G103)</f>
        <v>605034</v>
      </c>
      <c r="H139" s="292">
        <f>SUM(H76,H103)</f>
        <v>30442038.400000002</v>
      </c>
      <c r="I139" s="293" t="s">
        <v>214</v>
      </c>
      <c r="J139" s="294">
        <f>+H139-J138</f>
        <v>27143972.040000003</v>
      </c>
    </row>
    <row r="140" spans="1:10" ht="31.5" customHeight="1" x14ac:dyDescent="0.2">
      <c r="A140" s="790" t="s">
        <v>223</v>
      </c>
      <c r="B140" s="295"/>
      <c r="C140" s="296" t="s">
        <v>11</v>
      </c>
      <c r="D140" s="297">
        <f>SUM(D141,D146)</f>
        <v>0</v>
      </c>
      <c r="E140" s="298"/>
      <c r="F140" s="298"/>
      <c r="G140" s="299">
        <f>SUM(G141,G146)</f>
        <v>0</v>
      </c>
      <c r="H140" s="300">
        <f>SUM(H141,H146)</f>
        <v>0</v>
      </c>
      <c r="I140" s="301"/>
      <c r="J140" s="301"/>
    </row>
    <row r="141" spans="1:10" ht="15.75" customHeight="1" x14ac:dyDescent="0.2">
      <c r="A141" s="791"/>
      <c r="B141" s="302"/>
      <c r="C141" s="303" t="s">
        <v>12</v>
      </c>
      <c r="D141" s="304">
        <f>SUM(D142:D145)</f>
        <v>0</v>
      </c>
      <c r="E141" s="305"/>
      <c r="F141" s="305"/>
      <c r="G141" s="306">
        <f>SUM(G142:G145)</f>
        <v>0</v>
      </c>
      <c r="H141" s="307">
        <f>SUM(H142:H145)</f>
        <v>0</v>
      </c>
      <c r="I141" s="301"/>
      <c r="J141" s="301"/>
    </row>
    <row r="142" spans="1:10" ht="15.75" customHeight="1" x14ac:dyDescent="0.2">
      <c r="A142" s="791"/>
      <c r="B142" s="308">
        <v>53103040100000</v>
      </c>
      <c r="C142" s="309" t="s">
        <v>94</v>
      </c>
      <c r="D142" s="310">
        <f>'F) Remuneraciones'!L31</f>
        <v>0</v>
      </c>
      <c r="E142" s="311">
        <v>0</v>
      </c>
      <c r="F142" s="312">
        <v>0</v>
      </c>
      <c r="G142" s="313">
        <f>E142*F142</f>
        <v>0</v>
      </c>
      <c r="H142" s="314">
        <f>D142+G142</f>
        <v>0</v>
      </c>
      <c r="I142" s="301"/>
      <c r="J142" s="301"/>
    </row>
    <row r="143" spans="1:10" ht="15.75" customHeight="1" x14ac:dyDescent="0.2">
      <c r="A143" s="791"/>
      <c r="B143" s="308">
        <v>53103050000000</v>
      </c>
      <c r="C143" s="309" t="s">
        <v>167</v>
      </c>
      <c r="D143" s="315">
        <v>0</v>
      </c>
      <c r="E143" s="316">
        <v>0</v>
      </c>
      <c r="F143" s="317">
        <v>0</v>
      </c>
      <c r="G143" s="313">
        <f>E143*F143</f>
        <v>0</v>
      </c>
      <c r="H143" s="314">
        <f>D143+G143</f>
        <v>0</v>
      </c>
      <c r="I143" s="301"/>
      <c r="J143" s="301"/>
    </row>
    <row r="144" spans="1:10" ht="15.75" customHeight="1" x14ac:dyDescent="0.2">
      <c r="A144" s="791"/>
      <c r="B144" s="318">
        <v>53103040400000</v>
      </c>
      <c r="C144" s="319" t="s">
        <v>168</v>
      </c>
      <c r="D144" s="315">
        <v>0</v>
      </c>
      <c r="E144" s="316">
        <v>0</v>
      </c>
      <c r="F144" s="317">
        <v>0</v>
      </c>
      <c r="G144" s="313">
        <f>E144*F144</f>
        <v>0</v>
      </c>
      <c r="H144" s="314">
        <f>D144+G144</f>
        <v>0</v>
      </c>
      <c r="I144" s="301"/>
      <c r="J144" s="301"/>
    </row>
    <row r="145" spans="1:10" ht="15.75" customHeight="1" x14ac:dyDescent="0.2">
      <c r="A145" s="791"/>
      <c r="B145" s="308">
        <v>53103080010000</v>
      </c>
      <c r="C145" s="309" t="s">
        <v>169</v>
      </c>
      <c r="D145" s="315">
        <v>0</v>
      </c>
      <c r="E145" s="316">
        <v>0</v>
      </c>
      <c r="F145" s="317">
        <v>0</v>
      </c>
      <c r="G145" s="313">
        <f>E145*F145</f>
        <v>0</v>
      </c>
      <c r="H145" s="314">
        <f>D145+G145</f>
        <v>0</v>
      </c>
      <c r="I145" s="301"/>
      <c r="J145" s="301"/>
    </row>
    <row r="146" spans="1:10" ht="15.75" customHeight="1" x14ac:dyDescent="0.2">
      <c r="A146" s="791"/>
      <c r="B146" s="302"/>
      <c r="C146" s="303" t="s">
        <v>16</v>
      </c>
      <c r="D146" s="304">
        <f>SUM(D147:D166)</f>
        <v>0</v>
      </c>
      <c r="E146" s="305"/>
      <c r="F146" s="305"/>
      <c r="G146" s="304">
        <f>SUM(G147:G166)</f>
        <v>0</v>
      </c>
      <c r="H146" s="307">
        <f>SUM(H147:H166)</f>
        <v>0</v>
      </c>
      <c r="I146" s="301"/>
      <c r="J146" s="301"/>
    </row>
    <row r="147" spans="1:10" ht="15.75" customHeight="1" x14ac:dyDescent="0.2">
      <c r="A147" s="791"/>
      <c r="B147" s="308">
        <v>53201010100000</v>
      </c>
      <c r="C147" s="320" t="s">
        <v>170</v>
      </c>
      <c r="D147" s="315">
        <v>0</v>
      </c>
      <c r="E147" s="316">
        <v>0</v>
      </c>
      <c r="F147" s="317">
        <v>0</v>
      </c>
      <c r="G147" s="313">
        <f t="shared" ref="G147:G166" si="29">E147*F147</f>
        <v>0</v>
      </c>
      <c r="H147" s="314">
        <f t="shared" ref="H147:H166" si="30">D147+G147</f>
        <v>0</v>
      </c>
      <c r="I147" s="301"/>
      <c r="J147" s="301"/>
    </row>
    <row r="148" spans="1:10" ht="15.75" customHeight="1" x14ac:dyDescent="0.2">
      <c r="A148" s="791"/>
      <c r="B148" s="308">
        <v>53201010100000</v>
      </c>
      <c r="C148" s="320" t="s">
        <v>171</v>
      </c>
      <c r="D148" s="315">
        <v>0</v>
      </c>
      <c r="E148" s="316">
        <v>0</v>
      </c>
      <c r="F148" s="317">
        <v>0</v>
      </c>
      <c r="G148" s="313">
        <f t="shared" si="29"/>
        <v>0</v>
      </c>
      <c r="H148" s="314">
        <f t="shared" si="30"/>
        <v>0</v>
      </c>
      <c r="I148" s="301"/>
      <c r="J148" s="301"/>
    </row>
    <row r="149" spans="1:10" ht="15.75" customHeight="1" x14ac:dyDescent="0.2">
      <c r="A149" s="791"/>
      <c r="B149" s="308">
        <v>53201010100000</v>
      </c>
      <c r="C149" s="320" t="s">
        <v>172</v>
      </c>
      <c r="D149" s="315">
        <v>0</v>
      </c>
      <c r="E149" s="316">
        <v>0</v>
      </c>
      <c r="F149" s="317">
        <v>0</v>
      </c>
      <c r="G149" s="313">
        <f t="shared" si="29"/>
        <v>0</v>
      </c>
      <c r="H149" s="314">
        <f t="shared" si="30"/>
        <v>0</v>
      </c>
      <c r="I149" s="301"/>
      <c r="J149" s="301"/>
    </row>
    <row r="150" spans="1:10" ht="15.75" customHeight="1" x14ac:dyDescent="0.2">
      <c r="A150" s="791"/>
      <c r="B150" s="308">
        <v>53202010100000</v>
      </c>
      <c r="C150" s="309" t="s">
        <v>173</v>
      </c>
      <c r="D150" s="315">
        <v>0</v>
      </c>
      <c r="E150" s="316">
        <v>0</v>
      </c>
      <c r="F150" s="317">
        <v>0</v>
      </c>
      <c r="G150" s="313">
        <f t="shared" si="29"/>
        <v>0</v>
      </c>
      <c r="H150" s="314">
        <f t="shared" si="30"/>
        <v>0</v>
      </c>
      <c r="I150" s="301"/>
      <c r="J150" s="301"/>
    </row>
    <row r="151" spans="1:10" ht="15.75" customHeight="1" x14ac:dyDescent="0.2">
      <c r="A151" s="791"/>
      <c r="B151" s="308">
        <v>53203010100000</v>
      </c>
      <c r="C151" s="309" t="s">
        <v>19</v>
      </c>
      <c r="D151" s="321">
        <v>0</v>
      </c>
      <c r="E151" s="322">
        <v>0</v>
      </c>
      <c r="F151" s="323">
        <v>0</v>
      </c>
      <c r="G151" s="313">
        <f t="shared" si="29"/>
        <v>0</v>
      </c>
      <c r="H151" s="314">
        <f t="shared" si="30"/>
        <v>0</v>
      </c>
      <c r="I151" s="301"/>
      <c r="J151" s="301"/>
    </row>
    <row r="152" spans="1:10" ht="15.75" customHeight="1" x14ac:dyDescent="0.2">
      <c r="A152" s="791"/>
      <c r="B152" s="308">
        <v>53203030000000</v>
      </c>
      <c r="C152" s="309" t="s">
        <v>174</v>
      </c>
      <c r="D152" s="321">
        <v>0</v>
      </c>
      <c r="E152" s="322">
        <v>0</v>
      </c>
      <c r="F152" s="323">
        <v>0</v>
      </c>
      <c r="G152" s="313">
        <f t="shared" si="29"/>
        <v>0</v>
      </c>
      <c r="H152" s="314">
        <f t="shared" si="30"/>
        <v>0</v>
      </c>
      <c r="I152" s="301"/>
      <c r="J152" s="301"/>
    </row>
    <row r="153" spans="1:10" ht="15.75" customHeight="1" x14ac:dyDescent="0.2">
      <c r="A153" s="791"/>
      <c r="B153" s="308">
        <v>53204030000000</v>
      </c>
      <c r="C153" s="309" t="s">
        <v>209</v>
      </c>
      <c r="D153" s="321">
        <v>0</v>
      </c>
      <c r="E153" s="322">
        <v>0</v>
      </c>
      <c r="F153" s="323">
        <v>0</v>
      </c>
      <c r="G153" s="313">
        <f t="shared" si="29"/>
        <v>0</v>
      </c>
      <c r="H153" s="314">
        <f>D153+G153</f>
        <v>0</v>
      </c>
      <c r="I153" s="301"/>
      <c r="J153" s="301"/>
    </row>
    <row r="154" spans="1:10" ht="15.75" customHeight="1" x14ac:dyDescent="0.2">
      <c r="A154" s="791"/>
      <c r="B154" s="308">
        <v>53204100100001</v>
      </c>
      <c r="C154" s="309" t="s">
        <v>22</v>
      </c>
      <c r="D154" s="321">
        <v>0</v>
      </c>
      <c r="E154" s="322">
        <v>0</v>
      </c>
      <c r="F154" s="323">
        <v>0</v>
      </c>
      <c r="G154" s="313">
        <f t="shared" si="29"/>
        <v>0</v>
      </c>
      <c r="H154" s="314">
        <f t="shared" si="30"/>
        <v>0</v>
      </c>
      <c r="I154" s="301"/>
      <c r="J154" s="301"/>
    </row>
    <row r="155" spans="1:10" ht="15.75" customHeight="1" x14ac:dyDescent="0.2">
      <c r="A155" s="791"/>
      <c r="B155" s="308">
        <v>53204130100000</v>
      </c>
      <c r="C155" s="309" t="s">
        <v>176</v>
      </c>
      <c r="D155" s="321">
        <v>0</v>
      </c>
      <c r="E155" s="322">
        <v>0</v>
      </c>
      <c r="F155" s="323">
        <v>0</v>
      </c>
      <c r="G155" s="313">
        <f t="shared" si="29"/>
        <v>0</v>
      </c>
      <c r="H155" s="314">
        <f t="shared" si="30"/>
        <v>0</v>
      </c>
      <c r="I155" s="301"/>
      <c r="J155" s="301"/>
    </row>
    <row r="156" spans="1:10" ht="15.75" customHeight="1" x14ac:dyDescent="0.2">
      <c r="A156" s="791"/>
      <c r="B156" s="308">
        <v>53205010100000</v>
      </c>
      <c r="C156" s="309" t="s">
        <v>24</v>
      </c>
      <c r="D156" s="321">
        <v>0</v>
      </c>
      <c r="E156" s="322">
        <v>0</v>
      </c>
      <c r="F156" s="323">
        <v>0</v>
      </c>
      <c r="G156" s="313">
        <f t="shared" si="29"/>
        <v>0</v>
      </c>
      <c r="H156" s="314">
        <f t="shared" si="30"/>
        <v>0</v>
      </c>
      <c r="I156" s="301"/>
      <c r="J156" s="301"/>
    </row>
    <row r="157" spans="1:10" ht="15.75" customHeight="1" x14ac:dyDescent="0.2">
      <c r="A157" s="791"/>
      <c r="B157" s="308">
        <v>53205020100000</v>
      </c>
      <c r="C157" s="309" t="s">
        <v>25</v>
      </c>
      <c r="D157" s="321">
        <v>0</v>
      </c>
      <c r="E157" s="322">
        <v>0</v>
      </c>
      <c r="F157" s="323">
        <v>0</v>
      </c>
      <c r="G157" s="313">
        <f t="shared" si="29"/>
        <v>0</v>
      </c>
      <c r="H157" s="314">
        <f t="shared" si="30"/>
        <v>0</v>
      </c>
      <c r="I157" s="301"/>
      <c r="J157" s="301"/>
    </row>
    <row r="158" spans="1:10" ht="15.75" customHeight="1" x14ac:dyDescent="0.2">
      <c r="A158" s="791"/>
      <c r="B158" s="308">
        <v>53205030100000</v>
      </c>
      <c r="C158" s="309" t="s">
        <v>26</v>
      </c>
      <c r="D158" s="321">
        <v>0</v>
      </c>
      <c r="E158" s="322">
        <v>0</v>
      </c>
      <c r="F158" s="323">
        <v>0</v>
      </c>
      <c r="G158" s="313">
        <f t="shared" si="29"/>
        <v>0</v>
      </c>
      <c r="H158" s="314">
        <f t="shared" si="30"/>
        <v>0</v>
      </c>
      <c r="I158" s="301"/>
      <c r="J158" s="301"/>
    </row>
    <row r="159" spans="1:10" ht="15.75" customHeight="1" x14ac:dyDescent="0.2">
      <c r="A159" s="791"/>
      <c r="B159" s="308">
        <v>53205050100000</v>
      </c>
      <c r="C159" s="309" t="s">
        <v>27</v>
      </c>
      <c r="D159" s="321">
        <v>0</v>
      </c>
      <c r="E159" s="322">
        <v>0</v>
      </c>
      <c r="F159" s="323">
        <v>0</v>
      </c>
      <c r="G159" s="313">
        <f t="shared" si="29"/>
        <v>0</v>
      </c>
      <c r="H159" s="314">
        <f t="shared" si="30"/>
        <v>0</v>
      </c>
      <c r="I159" s="301"/>
      <c r="J159" s="301"/>
    </row>
    <row r="160" spans="1:10" ht="15.75" customHeight="1" x14ac:dyDescent="0.2">
      <c r="A160" s="791"/>
      <c r="B160" s="308">
        <v>53205070100000</v>
      </c>
      <c r="C160" s="309" t="s">
        <v>29</v>
      </c>
      <c r="D160" s="321">
        <v>0</v>
      </c>
      <c r="E160" s="322">
        <v>0</v>
      </c>
      <c r="F160" s="323">
        <v>0</v>
      </c>
      <c r="G160" s="313">
        <f t="shared" si="29"/>
        <v>0</v>
      </c>
      <c r="H160" s="314">
        <f t="shared" si="30"/>
        <v>0</v>
      </c>
      <c r="I160" s="301"/>
      <c r="J160" s="301"/>
    </row>
    <row r="161" spans="1:10" ht="15.75" customHeight="1" x14ac:dyDescent="0.2">
      <c r="A161" s="791"/>
      <c r="B161" s="308">
        <v>53208010100000</v>
      </c>
      <c r="C161" s="309" t="s">
        <v>30</v>
      </c>
      <c r="D161" s="321">
        <v>0</v>
      </c>
      <c r="E161" s="322">
        <v>0</v>
      </c>
      <c r="F161" s="323">
        <v>0</v>
      </c>
      <c r="G161" s="313">
        <f t="shared" si="29"/>
        <v>0</v>
      </c>
      <c r="H161" s="314">
        <f t="shared" si="30"/>
        <v>0</v>
      </c>
      <c r="I161" s="301"/>
      <c r="J161" s="301"/>
    </row>
    <row r="162" spans="1:10" ht="15.75" customHeight="1" x14ac:dyDescent="0.2">
      <c r="A162" s="791"/>
      <c r="B162" s="308">
        <v>53208070100001</v>
      </c>
      <c r="C162" s="309" t="s">
        <v>31</v>
      </c>
      <c r="D162" s="315">
        <v>0</v>
      </c>
      <c r="E162" s="316">
        <v>0</v>
      </c>
      <c r="F162" s="317">
        <v>0</v>
      </c>
      <c r="G162" s="313">
        <f t="shared" si="29"/>
        <v>0</v>
      </c>
      <c r="H162" s="314">
        <f t="shared" si="30"/>
        <v>0</v>
      </c>
      <c r="I162" s="301"/>
      <c r="J162" s="301"/>
    </row>
    <row r="163" spans="1:10" ht="15.75" customHeight="1" x14ac:dyDescent="0.2">
      <c r="A163" s="791"/>
      <c r="B163" s="308">
        <v>53208100100001</v>
      </c>
      <c r="C163" s="309" t="s">
        <v>177</v>
      </c>
      <c r="D163" s="321">
        <v>0</v>
      </c>
      <c r="E163" s="322">
        <v>0</v>
      </c>
      <c r="F163" s="323">
        <v>0</v>
      </c>
      <c r="G163" s="313">
        <f t="shared" si="29"/>
        <v>0</v>
      </c>
      <c r="H163" s="314">
        <f t="shared" si="30"/>
        <v>0</v>
      </c>
      <c r="I163" s="301"/>
      <c r="J163" s="301"/>
    </row>
    <row r="164" spans="1:10" ht="15.75" customHeight="1" x14ac:dyDescent="0.2">
      <c r="A164" s="791"/>
      <c r="B164" s="308">
        <v>53211030000000</v>
      </c>
      <c r="C164" s="309" t="s">
        <v>32</v>
      </c>
      <c r="D164" s="321">
        <v>0</v>
      </c>
      <c r="E164" s="322">
        <v>0</v>
      </c>
      <c r="F164" s="323">
        <v>0</v>
      </c>
      <c r="G164" s="313">
        <f t="shared" si="29"/>
        <v>0</v>
      </c>
      <c r="H164" s="314">
        <f t="shared" si="30"/>
        <v>0</v>
      </c>
      <c r="I164" s="301"/>
      <c r="J164" s="301"/>
    </row>
    <row r="165" spans="1:10" ht="15.75" customHeight="1" x14ac:dyDescent="0.2">
      <c r="A165" s="791"/>
      <c r="B165" s="308">
        <v>53212020100000</v>
      </c>
      <c r="C165" s="309" t="s">
        <v>178</v>
      </c>
      <c r="D165" s="321">
        <v>0</v>
      </c>
      <c r="E165" s="322">
        <v>0</v>
      </c>
      <c r="F165" s="323">
        <v>0</v>
      </c>
      <c r="G165" s="313">
        <f t="shared" si="29"/>
        <v>0</v>
      </c>
      <c r="H165" s="314">
        <f t="shared" si="30"/>
        <v>0</v>
      </c>
      <c r="I165" s="301"/>
      <c r="J165" s="301"/>
    </row>
    <row r="166" spans="1:10" ht="15.75" customHeight="1" x14ac:dyDescent="0.2">
      <c r="A166" s="791"/>
      <c r="B166" s="308">
        <v>53214020000000</v>
      </c>
      <c r="C166" s="309" t="s">
        <v>179</v>
      </c>
      <c r="D166" s="315">
        <v>0</v>
      </c>
      <c r="E166" s="316">
        <v>0</v>
      </c>
      <c r="F166" s="317">
        <v>0</v>
      </c>
      <c r="G166" s="313">
        <f t="shared" si="29"/>
        <v>0</v>
      </c>
      <c r="H166" s="314">
        <f t="shared" si="30"/>
        <v>0</v>
      </c>
      <c r="I166" s="301"/>
      <c r="J166" s="301"/>
    </row>
    <row r="167" spans="1:10" ht="15.75" customHeight="1" x14ac:dyDescent="0.2">
      <c r="A167" s="791"/>
      <c r="B167" s="295"/>
      <c r="C167" s="296" t="s">
        <v>34</v>
      </c>
      <c r="D167" s="297">
        <v>0</v>
      </c>
      <c r="E167" s="298"/>
      <c r="F167" s="298"/>
      <c r="G167" s="297">
        <f>SUM(G168,G173,G175,G184,G193,G201)</f>
        <v>0</v>
      </c>
      <c r="H167" s="324">
        <f>SUM(H168,H173,H175,H184,H193,H201)</f>
        <v>0</v>
      </c>
      <c r="I167" s="301"/>
      <c r="J167" s="301"/>
    </row>
    <row r="168" spans="1:10" ht="15.75" customHeight="1" x14ac:dyDescent="0.2">
      <c r="A168" s="791"/>
      <c r="B168" s="302"/>
      <c r="C168" s="303" t="s">
        <v>35</v>
      </c>
      <c r="D168" s="304">
        <f>SUM(D169:D172)</f>
        <v>0</v>
      </c>
      <c r="E168" s="305"/>
      <c r="F168" s="305"/>
      <c r="G168" s="325">
        <f>SUM(G169:G172)</f>
        <v>0</v>
      </c>
      <c r="H168" s="326">
        <f>SUM(H169:H172)</f>
        <v>0</v>
      </c>
      <c r="I168" s="301"/>
      <c r="J168" s="301"/>
    </row>
    <row r="169" spans="1:10" ht="15.75" customHeight="1" x14ac:dyDescent="0.2">
      <c r="A169" s="791"/>
      <c r="B169" s="308">
        <v>53202020100000</v>
      </c>
      <c r="C169" s="309" t="s">
        <v>180</v>
      </c>
      <c r="D169" s="315">
        <v>0</v>
      </c>
      <c r="E169" s="316">
        <v>0</v>
      </c>
      <c r="F169" s="317">
        <v>0</v>
      </c>
      <c r="G169" s="313">
        <f>E169*F169</f>
        <v>0</v>
      </c>
      <c r="H169" s="314">
        <f t="shared" ref="H169:H202" si="31">D169+G169</f>
        <v>0</v>
      </c>
      <c r="I169" s="301"/>
      <c r="J169" s="301"/>
    </row>
    <row r="170" spans="1:10" ht="15.75" customHeight="1" x14ac:dyDescent="0.2">
      <c r="A170" s="791"/>
      <c r="B170" s="308">
        <v>53202030000000</v>
      </c>
      <c r="C170" s="309" t="s">
        <v>181</v>
      </c>
      <c r="D170" s="315">
        <v>0</v>
      </c>
      <c r="E170" s="316">
        <v>0</v>
      </c>
      <c r="F170" s="317">
        <v>0</v>
      </c>
      <c r="G170" s="313">
        <f t="shared" ref="G170:G202" si="32">E170*F170</f>
        <v>0</v>
      </c>
      <c r="H170" s="314">
        <f t="shared" si="31"/>
        <v>0</v>
      </c>
      <c r="I170" s="301"/>
      <c r="J170" s="301"/>
    </row>
    <row r="171" spans="1:10" ht="15.75" customHeight="1" x14ac:dyDescent="0.2">
      <c r="A171" s="791"/>
      <c r="B171" s="308">
        <v>53211020000000</v>
      </c>
      <c r="C171" s="309" t="s">
        <v>41</v>
      </c>
      <c r="D171" s="322">
        <f>O111</f>
        <v>0</v>
      </c>
      <c r="E171" s="322">
        <v>0</v>
      </c>
      <c r="F171" s="322">
        <v>0</v>
      </c>
      <c r="G171" s="313">
        <f t="shared" si="32"/>
        <v>0</v>
      </c>
      <c r="H171" s="314">
        <f t="shared" si="31"/>
        <v>0</v>
      </c>
      <c r="I171" s="301"/>
      <c r="J171" s="301"/>
    </row>
    <row r="172" spans="1:10" ht="15.75" customHeight="1" x14ac:dyDescent="0.2">
      <c r="A172" s="791"/>
      <c r="B172" s="308">
        <v>53101040600000</v>
      </c>
      <c r="C172" s="309" t="s">
        <v>182</v>
      </c>
      <c r="D172" s="322">
        <f>O112</f>
        <v>0</v>
      </c>
      <c r="E172" s="322">
        <v>0</v>
      </c>
      <c r="F172" s="322">
        <v>0</v>
      </c>
      <c r="G172" s="313">
        <f t="shared" si="32"/>
        <v>0</v>
      </c>
      <c r="H172" s="314">
        <f t="shared" si="31"/>
        <v>0</v>
      </c>
      <c r="I172" s="301"/>
      <c r="J172" s="301"/>
    </row>
    <row r="173" spans="1:10" ht="15.75" customHeight="1" x14ac:dyDescent="0.2">
      <c r="A173" s="791"/>
      <c r="B173" s="302"/>
      <c r="C173" s="303" t="s">
        <v>42</v>
      </c>
      <c r="D173" s="304">
        <f>SUM(D174:D174)</f>
        <v>0</v>
      </c>
      <c r="E173" s="305"/>
      <c r="F173" s="305"/>
      <c r="G173" s="325">
        <f>SUM(G174:G174)</f>
        <v>0</v>
      </c>
      <c r="H173" s="326">
        <f>SUM(H174:H174)</f>
        <v>0</v>
      </c>
      <c r="I173" s="301"/>
      <c r="J173" s="301"/>
    </row>
    <row r="174" spans="1:10" ht="15.75" customHeight="1" x14ac:dyDescent="0.2">
      <c r="A174" s="791"/>
      <c r="B174" s="327">
        <v>53205990000000</v>
      </c>
      <c r="C174" s="309" t="s">
        <v>44</v>
      </c>
      <c r="D174" s="322">
        <v>0</v>
      </c>
      <c r="E174" s="322">
        <v>0</v>
      </c>
      <c r="F174" s="322">
        <v>0</v>
      </c>
      <c r="G174" s="313">
        <f t="shared" si="32"/>
        <v>0</v>
      </c>
      <c r="H174" s="314">
        <f t="shared" si="31"/>
        <v>0</v>
      </c>
      <c r="I174" s="301"/>
      <c r="J174" s="301"/>
    </row>
    <row r="175" spans="1:10" ht="15.75" customHeight="1" x14ac:dyDescent="0.2">
      <c r="A175" s="791"/>
      <c r="B175" s="302"/>
      <c r="C175" s="303" t="s">
        <v>45</v>
      </c>
      <c r="D175" s="304">
        <f>SUM(D176:D183)</f>
        <v>0</v>
      </c>
      <c r="E175" s="305"/>
      <c r="F175" s="305"/>
      <c r="G175" s="304">
        <f>SUM(G176:G183)</f>
        <v>0</v>
      </c>
      <c r="H175" s="307">
        <f>SUM(H176:H183)</f>
        <v>0</v>
      </c>
      <c r="I175" s="301"/>
      <c r="J175" s="301"/>
    </row>
    <row r="176" spans="1:10" ht="15.75" customHeight="1" x14ac:dyDescent="0.2">
      <c r="A176" s="791"/>
      <c r="B176" s="308">
        <v>53204010000000</v>
      </c>
      <c r="C176" s="309" t="s">
        <v>47</v>
      </c>
      <c r="D176" s="322">
        <v>0</v>
      </c>
      <c r="E176" s="322">
        <v>0</v>
      </c>
      <c r="F176" s="322">
        <v>0</v>
      </c>
      <c r="G176" s="313">
        <f t="shared" si="32"/>
        <v>0</v>
      </c>
      <c r="H176" s="314">
        <f t="shared" si="31"/>
        <v>0</v>
      </c>
      <c r="I176" s="301"/>
      <c r="J176" s="301"/>
    </row>
    <row r="177" spans="1:10" ht="15.75" customHeight="1" x14ac:dyDescent="0.2">
      <c r="A177" s="791"/>
      <c r="B177" s="327">
        <v>53204040200000</v>
      </c>
      <c r="C177" s="309" t="s">
        <v>210</v>
      </c>
      <c r="D177" s="322">
        <v>0</v>
      </c>
      <c r="E177" s="322">
        <v>0</v>
      </c>
      <c r="F177" s="322">
        <v>0</v>
      </c>
      <c r="G177" s="313">
        <f t="shared" si="32"/>
        <v>0</v>
      </c>
      <c r="H177" s="314">
        <f t="shared" si="31"/>
        <v>0</v>
      </c>
      <c r="I177" s="301"/>
      <c r="J177" s="301"/>
    </row>
    <row r="178" spans="1:10" ht="15.75" customHeight="1" x14ac:dyDescent="0.2">
      <c r="A178" s="791"/>
      <c r="B178" s="308">
        <v>53204060000000</v>
      </c>
      <c r="C178" s="309" t="s">
        <v>49</v>
      </c>
      <c r="D178" s="322">
        <v>0</v>
      </c>
      <c r="E178" s="322">
        <v>0</v>
      </c>
      <c r="F178" s="322">
        <v>0</v>
      </c>
      <c r="G178" s="313">
        <f t="shared" si="32"/>
        <v>0</v>
      </c>
      <c r="H178" s="314">
        <f t="shared" si="31"/>
        <v>0</v>
      </c>
      <c r="I178" s="301"/>
      <c r="J178" s="301"/>
    </row>
    <row r="179" spans="1:10" ht="15.75" customHeight="1" x14ac:dyDescent="0.2">
      <c r="A179" s="791"/>
      <c r="B179" s="308">
        <v>53204070000000</v>
      </c>
      <c r="C179" s="309" t="s">
        <v>50</v>
      </c>
      <c r="D179" s="322">
        <v>0</v>
      </c>
      <c r="E179" s="322">
        <v>0</v>
      </c>
      <c r="F179" s="322">
        <v>0</v>
      </c>
      <c r="G179" s="313">
        <f t="shared" si="32"/>
        <v>0</v>
      </c>
      <c r="H179" s="314">
        <f t="shared" si="31"/>
        <v>0</v>
      </c>
      <c r="I179" s="301"/>
      <c r="J179" s="301"/>
    </row>
    <row r="180" spans="1:10" ht="15.75" customHeight="1" x14ac:dyDescent="0.2">
      <c r="A180" s="791"/>
      <c r="B180" s="308">
        <v>53204080000000</v>
      </c>
      <c r="C180" s="309" t="s">
        <v>51</v>
      </c>
      <c r="D180" s="322">
        <v>0</v>
      </c>
      <c r="E180" s="322">
        <v>0</v>
      </c>
      <c r="F180" s="322">
        <v>0</v>
      </c>
      <c r="G180" s="313">
        <f t="shared" si="32"/>
        <v>0</v>
      </c>
      <c r="H180" s="314">
        <f t="shared" si="31"/>
        <v>0</v>
      </c>
      <c r="I180" s="301"/>
      <c r="J180" s="301"/>
    </row>
    <row r="181" spans="1:10" ht="15.75" customHeight="1" x14ac:dyDescent="0.2">
      <c r="A181" s="791"/>
      <c r="B181" s="308">
        <v>53214010000000</v>
      </c>
      <c r="C181" s="309" t="s">
        <v>52</v>
      </c>
      <c r="D181" s="328">
        <v>0</v>
      </c>
      <c r="E181" s="328">
        <v>0</v>
      </c>
      <c r="F181" s="328">
        <v>0</v>
      </c>
      <c r="G181" s="313">
        <f t="shared" si="32"/>
        <v>0</v>
      </c>
      <c r="H181" s="314">
        <f t="shared" si="31"/>
        <v>0</v>
      </c>
      <c r="I181" s="301"/>
      <c r="J181" s="301"/>
    </row>
    <row r="182" spans="1:10" ht="15.75" customHeight="1" x14ac:dyDescent="0.2">
      <c r="A182" s="791"/>
      <c r="B182" s="308">
        <v>53214040000000</v>
      </c>
      <c r="C182" s="309" t="s">
        <v>183</v>
      </c>
      <c r="D182" s="328">
        <v>0</v>
      </c>
      <c r="E182" s="328">
        <v>0</v>
      </c>
      <c r="F182" s="328">
        <v>0</v>
      </c>
      <c r="G182" s="313">
        <f t="shared" si="32"/>
        <v>0</v>
      </c>
      <c r="H182" s="314">
        <f t="shared" si="31"/>
        <v>0</v>
      </c>
      <c r="I182" s="301"/>
      <c r="J182" s="301"/>
    </row>
    <row r="183" spans="1:10" ht="15.75" customHeight="1" x14ac:dyDescent="0.2">
      <c r="A183" s="791"/>
      <c r="B183" s="318">
        <v>53204020100000</v>
      </c>
      <c r="C183" s="309" t="s">
        <v>175</v>
      </c>
      <c r="D183" s="322">
        <v>0</v>
      </c>
      <c r="E183" s="322">
        <v>0</v>
      </c>
      <c r="F183" s="322">
        <v>0</v>
      </c>
      <c r="G183" s="313">
        <f t="shared" si="32"/>
        <v>0</v>
      </c>
      <c r="H183" s="314">
        <f t="shared" si="31"/>
        <v>0</v>
      </c>
      <c r="I183" s="301"/>
      <c r="J183" s="301"/>
    </row>
    <row r="184" spans="1:10" ht="15.75" customHeight="1" x14ac:dyDescent="0.2">
      <c r="A184" s="791"/>
      <c r="B184" s="302"/>
      <c r="C184" s="303" t="s">
        <v>55</v>
      </c>
      <c r="D184" s="304">
        <f>SUM(D185:D192)</f>
        <v>0</v>
      </c>
      <c r="E184" s="305"/>
      <c r="F184" s="305"/>
      <c r="G184" s="304">
        <f>SUM(G185:G192)</f>
        <v>0</v>
      </c>
      <c r="H184" s="307">
        <f>SUM(H185:H192)</f>
        <v>0</v>
      </c>
      <c r="I184" s="301"/>
      <c r="J184" s="301"/>
    </row>
    <row r="185" spans="1:10" ht="15.75" customHeight="1" x14ac:dyDescent="0.2">
      <c r="A185" s="791"/>
      <c r="B185" s="308">
        <v>53207010000000</v>
      </c>
      <c r="C185" s="309" t="s">
        <v>56</v>
      </c>
      <c r="D185" s="322">
        <v>0</v>
      </c>
      <c r="E185" s="322">
        <v>0</v>
      </c>
      <c r="F185" s="322">
        <v>0</v>
      </c>
      <c r="G185" s="313">
        <f t="shared" si="32"/>
        <v>0</v>
      </c>
      <c r="H185" s="314">
        <f t="shared" si="31"/>
        <v>0</v>
      </c>
      <c r="I185" s="301"/>
      <c r="J185" s="301"/>
    </row>
    <row r="186" spans="1:10" ht="15.75" customHeight="1" x14ac:dyDescent="0.2">
      <c r="A186" s="791"/>
      <c r="B186" s="308">
        <v>53207020000000</v>
      </c>
      <c r="C186" s="309" t="s">
        <v>57</v>
      </c>
      <c r="D186" s="322">
        <v>0</v>
      </c>
      <c r="E186" s="322">
        <v>0</v>
      </c>
      <c r="F186" s="322">
        <v>0</v>
      </c>
      <c r="G186" s="313">
        <f t="shared" si="32"/>
        <v>0</v>
      </c>
      <c r="H186" s="314">
        <f t="shared" si="31"/>
        <v>0</v>
      </c>
      <c r="I186" s="301"/>
      <c r="J186" s="301"/>
    </row>
    <row r="187" spans="1:10" ht="15.75" customHeight="1" x14ac:dyDescent="0.2">
      <c r="A187" s="791"/>
      <c r="B187" s="308">
        <v>53208020000000</v>
      </c>
      <c r="C187" s="309" t="s">
        <v>166</v>
      </c>
      <c r="D187" s="322">
        <v>0</v>
      </c>
      <c r="E187" s="322">
        <v>0</v>
      </c>
      <c r="F187" s="322">
        <v>0</v>
      </c>
      <c r="G187" s="313">
        <f t="shared" si="32"/>
        <v>0</v>
      </c>
      <c r="H187" s="314">
        <f t="shared" si="31"/>
        <v>0</v>
      </c>
      <c r="I187" s="301"/>
      <c r="J187" s="301"/>
    </row>
    <row r="188" spans="1:10" ht="15.75" customHeight="1" x14ac:dyDescent="0.2">
      <c r="A188" s="791"/>
      <c r="B188" s="308">
        <v>53208990000000</v>
      </c>
      <c r="C188" s="309" t="s">
        <v>184</v>
      </c>
      <c r="D188" s="322">
        <v>0</v>
      </c>
      <c r="E188" s="322">
        <v>0</v>
      </c>
      <c r="F188" s="322">
        <v>0</v>
      </c>
      <c r="G188" s="313">
        <f t="shared" si="32"/>
        <v>0</v>
      </c>
      <c r="H188" s="314">
        <f t="shared" si="31"/>
        <v>0</v>
      </c>
      <c r="I188" s="301"/>
      <c r="J188" s="301"/>
    </row>
    <row r="189" spans="1:10" ht="15.75" customHeight="1" x14ac:dyDescent="0.2">
      <c r="A189" s="791"/>
      <c r="B189" s="318">
        <v>53210020300000</v>
      </c>
      <c r="C189" s="309" t="s">
        <v>186</v>
      </c>
      <c r="D189" s="321">
        <v>0</v>
      </c>
      <c r="E189" s="321">
        <v>0</v>
      </c>
      <c r="F189" s="323">
        <v>0</v>
      </c>
      <c r="G189" s="313">
        <f t="shared" si="32"/>
        <v>0</v>
      </c>
      <c r="H189" s="314">
        <f t="shared" si="31"/>
        <v>0</v>
      </c>
      <c r="I189" s="301"/>
      <c r="J189" s="301"/>
    </row>
    <row r="190" spans="1:10" ht="15.75" customHeight="1" x14ac:dyDescent="0.2">
      <c r="A190" s="791"/>
      <c r="B190" s="308">
        <v>53208990000000</v>
      </c>
      <c r="C190" s="309" t="s">
        <v>187</v>
      </c>
      <c r="D190" s="322">
        <v>0</v>
      </c>
      <c r="E190" s="322">
        <v>0</v>
      </c>
      <c r="F190" s="322">
        <v>0</v>
      </c>
      <c r="G190" s="313">
        <f t="shared" si="32"/>
        <v>0</v>
      </c>
      <c r="H190" s="314">
        <f t="shared" si="31"/>
        <v>0</v>
      </c>
      <c r="I190" s="301"/>
      <c r="J190" s="301"/>
    </row>
    <row r="191" spans="1:10" ht="15.75" customHeight="1" x14ac:dyDescent="0.2">
      <c r="A191" s="791"/>
      <c r="B191" s="308">
        <v>53209990000000</v>
      </c>
      <c r="C191" s="309" t="s">
        <v>185</v>
      </c>
      <c r="D191" s="322">
        <v>0</v>
      </c>
      <c r="E191" s="322">
        <v>0</v>
      </c>
      <c r="F191" s="322">
        <v>0</v>
      </c>
      <c r="G191" s="313">
        <f t="shared" si="32"/>
        <v>0</v>
      </c>
      <c r="H191" s="314">
        <f t="shared" si="31"/>
        <v>0</v>
      </c>
      <c r="I191" s="301"/>
      <c r="J191" s="301"/>
    </row>
    <row r="192" spans="1:10" ht="15.75" customHeight="1" x14ac:dyDescent="0.2">
      <c r="A192" s="791"/>
      <c r="B192" s="308">
        <v>53210020100000</v>
      </c>
      <c r="C192" s="309" t="s">
        <v>64</v>
      </c>
      <c r="D192" s="322">
        <v>0</v>
      </c>
      <c r="E192" s="322">
        <v>0</v>
      </c>
      <c r="F192" s="322">
        <v>0</v>
      </c>
      <c r="G192" s="313">
        <f t="shared" si="32"/>
        <v>0</v>
      </c>
      <c r="H192" s="314">
        <f t="shared" si="31"/>
        <v>0</v>
      </c>
      <c r="I192" s="301"/>
      <c r="J192" s="301"/>
    </row>
    <row r="193" spans="1:10" ht="15.75" customHeight="1" x14ac:dyDescent="0.2">
      <c r="A193" s="791"/>
      <c r="B193" s="302"/>
      <c r="C193" s="303" t="s">
        <v>65</v>
      </c>
      <c r="D193" s="304">
        <f>SUM(D194:D200)</f>
        <v>0</v>
      </c>
      <c r="E193" s="305"/>
      <c r="F193" s="305"/>
      <c r="G193" s="304">
        <f>SUM(G194:G200)</f>
        <v>0</v>
      </c>
      <c r="H193" s="307">
        <f>SUM(H194:H200)</f>
        <v>0</v>
      </c>
      <c r="I193" s="301"/>
      <c r="J193" s="301"/>
    </row>
    <row r="194" spans="1:10" ht="15.75" customHeight="1" x14ac:dyDescent="0.2">
      <c r="A194" s="791"/>
      <c r="B194" s="308">
        <v>53206030000000</v>
      </c>
      <c r="C194" s="309" t="s">
        <v>98</v>
      </c>
      <c r="D194" s="322">
        <v>0</v>
      </c>
      <c r="E194" s="322">
        <v>0</v>
      </c>
      <c r="F194" s="322">
        <v>0</v>
      </c>
      <c r="G194" s="313">
        <f t="shared" si="32"/>
        <v>0</v>
      </c>
      <c r="H194" s="314">
        <f t="shared" si="31"/>
        <v>0</v>
      </c>
      <c r="I194" s="301"/>
      <c r="J194" s="301"/>
    </row>
    <row r="195" spans="1:10" ht="15.75" customHeight="1" x14ac:dyDescent="0.2">
      <c r="A195" s="791"/>
      <c r="B195" s="308">
        <v>53206040000000</v>
      </c>
      <c r="C195" s="309" t="s">
        <v>99</v>
      </c>
      <c r="D195" s="322">
        <v>0</v>
      </c>
      <c r="E195" s="322">
        <v>0</v>
      </c>
      <c r="F195" s="322">
        <v>0</v>
      </c>
      <c r="G195" s="313">
        <f t="shared" si="32"/>
        <v>0</v>
      </c>
      <c r="H195" s="314">
        <f t="shared" si="31"/>
        <v>0</v>
      </c>
      <c r="I195" s="301"/>
      <c r="J195" s="301"/>
    </row>
    <row r="196" spans="1:10" ht="15.75" customHeight="1" x14ac:dyDescent="0.2">
      <c r="A196" s="791"/>
      <c r="B196" s="308">
        <v>53206060000000</v>
      </c>
      <c r="C196" s="309" t="s">
        <v>188</v>
      </c>
      <c r="D196" s="322">
        <v>0</v>
      </c>
      <c r="E196" s="322">
        <v>0</v>
      </c>
      <c r="F196" s="322">
        <v>0</v>
      </c>
      <c r="G196" s="313">
        <f t="shared" si="32"/>
        <v>0</v>
      </c>
      <c r="H196" s="314">
        <f t="shared" si="31"/>
        <v>0</v>
      </c>
      <c r="I196" s="301"/>
      <c r="J196" s="301"/>
    </row>
    <row r="197" spans="1:10" ht="15.75" customHeight="1" x14ac:dyDescent="0.2">
      <c r="A197" s="791"/>
      <c r="B197" s="308">
        <v>53206070000000</v>
      </c>
      <c r="C197" s="309" t="s">
        <v>101</v>
      </c>
      <c r="D197" s="322">
        <v>0</v>
      </c>
      <c r="E197" s="322">
        <v>0</v>
      </c>
      <c r="F197" s="322">
        <v>0</v>
      </c>
      <c r="G197" s="313">
        <f t="shared" si="32"/>
        <v>0</v>
      </c>
      <c r="H197" s="314">
        <f t="shared" si="31"/>
        <v>0</v>
      </c>
      <c r="I197" s="301"/>
      <c r="J197" s="301"/>
    </row>
    <row r="198" spans="1:10" ht="15.75" customHeight="1" x14ac:dyDescent="0.2">
      <c r="A198" s="791"/>
      <c r="B198" s="308">
        <v>53206990000000</v>
      </c>
      <c r="C198" s="309" t="s">
        <v>189</v>
      </c>
      <c r="D198" s="322">
        <v>0</v>
      </c>
      <c r="E198" s="322">
        <v>0</v>
      </c>
      <c r="F198" s="322">
        <v>0</v>
      </c>
      <c r="G198" s="313">
        <f t="shared" si="32"/>
        <v>0</v>
      </c>
      <c r="H198" s="314">
        <f t="shared" si="31"/>
        <v>0</v>
      </c>
      <c r="I198" s="301"/>
      <c r="J198" s="301"/>
    </row>
    <row r="199" spans="1:10" ht="15.75" customHeight="1" x14ac:dyDescent="0.2">
      <c r="A199" s="791"/>
      <c r="B199" s="308">
        <v>53208030000000</v>
      </c>
      <c r="C199" s="309" t="s">
        <v>103</v>
      </c>
      <c r="D199" s="322">
        <v>0</v>
      </c>
      <c r="E199" s="322">
        <v>0</v>
      </c>
      <c r="F199" s="322">
        <v>0</v>
      </c>
      <c r="G199" s="313">
        <f t="shared" si="32"/>
        <v>0</v>
      </c>
      <c r="H199" s="314">
        <f t="shared" si="31"/>
        <v>0</v>
      </c>
      <c r="I199" s="301"/>
      <c r="J199" s="301"/>
    </row>
    <row r="200" spans="1:10" ht="15.75" customHeight="1" x14ac:dyDescent="0.2">
      <c r="A200" s="791"/>
      <c r="B200" s="308">
        <v>53206990000000</v>
      </c>
      <c r="C200" s="309" t="s">
        <v>211</v>
      </c>
      <c r="D200" s="322">
        <v>0</v>
      </c>
      <c r="E200" s="322">
        <v>0</v>
      </c>
      <c r="F200" s="322">
        <v>0</v>
      </c>
      <c r="G200" s="313">
        <f t="shared" si="32"/>
        <v>0</v>
      </c>
      <c r="H200" s="314">
        <f t="shared" si="31"/>
        <v>0</v>
      </c>
      <c r="I200" s="301"/>
      <c r="J200" s="301"/>
    </row>
    <row r="201" spans="1:10" ht="15.75" customHeight="1" x14ac:dyDescent="0.2">
      <c r="A201" s="791"/>
      <c r="B201" s="302"/>
      <c r="C201" s="303" t="s">
        <v>66</v>
      </c>
      <c r="D201" s="304">
        <f>SUM(D202:D202)</f>
        <v>0</v>
      </c>
      <c r="E201" s="305"/>
      <c r="F201" s="305"/>
      <c r="G201" s="304">
        <f>SUM(G202:G202)</f>
        <v>0</v>
      </c>
      <c r="H201" s="307">
        <f>SUM(H202:H202)</f>
        <v>0</v>
      </c>
      <c r="I201" s="301"/>
      <c r="J201" s="301"/>
    </row>
    <row r="202" spans="1:10" ht="15.75" customHeight="1" x14ac:dyDescent="0.2">
      <c r="A202" s="791"/>
      <c r="B202" s="329"/>
      <c r="C202" s="330" t="s">
        <v>212</v>
      </c>
      <c r="D202" s="315">
        <v>0</v>
      </c>
      <c r="E202" s="315">
        <v>0</v>
      </c>
      <c r="F202" s="317">
        <v>0</v>
      </c>
      <c r="G202" s="313">
        <f t="shared" si="32"/>
        <v>0</v>
      </c>
      <c r="H202" s="331">
        <f t="shared" si="31"/>
        <v>0</v>
      </c>
      <c r="I202" s="332" t="s">
        <v>213</v>
      </c>
      <c r="J202" s="385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5.75" customHeight="1" thickBot="1" x14ac:dyDescent="0.25">
      <c r="A203" s="792"/>
      <c r="B203" s="333"/>
      <c r="C203" s="334" t="s">
        <v>104</v>
      </c>
      <c r="D203" s="335">
        <f>SUM(D140,D167)</f>
        <v>0</v>
      </c>
      <c r="E203" s="336"/>
      <c r="F203" s="336"/>
      <c r="G203" s="335">
        <f>SUM(G140,G167)</f>
        <v>0</v>
      </c>
      <c r="H203" s="337">
        <f>SUM(H140,H167)</f>
        <v>0</v>
      </c>
      <c r="I203" s="338" t="s">
        <v>214</v>
      </c>
      <c r="J203" s="386">
        <f>+H203-J202</f>
        <v>0</v>
      </c>
    </row>
    <row r="204" spans="1:10" x14ac:dyDescent="0.2">
      <c r="B204" s="184"/>
      <c r="C204" s="185" t="s">
        <v>104</v>
      </c>
      <c r="D204" s="186">
        <f>SUM(D203+D75)</f>
        <v>47230106</v>
      </c>
      <c r="E204" s="186">
        <f>SUM(E203+E75)</f>
        <v>0</v>
      </c>
      <c r="F204" s="186">
        <f>SUM(F203+F75)</f>
        <v>0</v>
      </c>
      <c r="G204" s="186">
        <f>SUM(G203+G75)</f>
        <v>27419852</v>
      </c>
      <c r="H204" s="186">
        <f>SUM(H203+H75+H139)</f>
        <v>105091996.40000001</v>
      </c>
    </row>
    <row r="206" spans="1:10" x14ac:dyDescent="0.2">
      <c r="I206" s="194" t="s">
        <v>215</v>
      </c>
      <c r="J206" s="195">
        <f>SUM(J202+J74+J138)</f>
        <v>16654807.800000001</v>
      </c>
    </row>
    <row r="207" spans="1:10" x14ac:dyDescent="0.2">
      <c r="I207" s="196" t="s">
        <v>216</v>
      </c>
      <c r="J207" s="197">
        <f>SUM(J203+J75+J139)</f>
        <v>88437188.600000009</v>
      </c>
    </row>
  </sheetData>
  <mergeCells count="15">
    <mergeCell ref="A8:C8"/>
    <mergeCell ref="A10:A11"/>
    <mergeCell ref="C10:C11"/>
    <mergeCell ref="B10:B11"/>
    <mergeCell ref="A140:A203"/>
    <mergeCell ref="A76:A139"/>
    <mergeCell ref="A12:A75"/>
    <mergeCell ref="L10:L11"/>
    <mergeCell ref="M10:M11"/>
    <mergeCell ref="N10:N11"/>
    <mergeCell ref="O10:O11"/>
    <mergeCell ref="D4:E4"/>
    <mergeCell ref="E10:G10"/>
    <mergeCell ref="D10:D11"/>
    <mergeCell ref="H10:H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AA4" zoomScale="80" zoomScaleNormal="80" workbookViewId="0">
      <selection activeCell="AP37" sqref="AP37"/>
    </sheetView>
  </sheetViews>
  <sheetFormatPr baseColWidth="10" defaultColWidth="11.42578125" defaultRowHeight="12.75" x14ac:dyDescent="0.2"/>
  <cols>
    <col min="1" max="1" width="11.5703125" style="566" customWidth="1"/>
    <col min="2" max="2" width="28" style="566" customWidth="1"/>
    <col min="3" max="3" width="28.7109375" style="566" customWidth="1"/>
    <col min="4" max="4" width="24.140625" style="566" customWidth="1"/>
    <col min="5" max="5" width="25.140625" style="566" customWidth="1"/>
    <col min="6" max="6" width="22.140625" style="566" customWidth="1"/>
    <col min="7" max="7" width="14.85546875" style="566" customWidth="1"/>
    <col min="8" max="8" width="15" style="566" customWidth="1"/>
    <col min="9" max="9" width="15.140625" style="566" customWidth="1"/>
    <col min="10" max="10" width="17.42578125" style="566" customWidth="1"/>
    <col min="11" max="11" width="19.140625" style="566" customWidth="1"/>
    <col min="12" max="12" width="4.85546875" style="566" customWidth="1"/>
    <col min="13" max="13" width="19.140625" style="566" customWidth="1"/>
    <col min="14" max="14" width="16.140625" style="566" customWidth="1"/>
    <col min="15" max="15" width="17.140625" style="566" customWidth="1"/>
    <col min="16" max="16" width="14.85546875" style="566" customWidth="1"/>
    <col min="17" max="17" width="17.7109375" style="566" customWidth="1"/>
    <col min="18" max="18" width="17.140625" style="566" customWidth="1"/>
    <col min="19" max="19" width="17.42578125" style="566" customWidth="1"/>
    <col min="20" max="20" width="5" style="566" customWidth="1"/>
    <col min="21" max="21" width="19.85546875" style="566" bestFit="1" customWidth="1"/>
    <col min="22" max="22" width="52.140625" style="566" bestFit="1" customWidth="1"/>
    <col min="23" max="23" width="18.28515625" style="566" customWidth="1"/>
    <col min="24" max="24" width="5.7109375" style="566" customWidth="1"/>
    <col min="25" max="25" width="11.42578125" style="566" customWidth="1"/>
    <col min="26" max="31" width="14.28515625" style="566" customWidth="1"/>
    <col min="32" max="32" width="11.28515625" style="566" customWidth="1"/>
    <col min="33" max="38" width="14.28515625" style="566" customWidth="1"/>
    <col min="39" max="39" width="11.42578125" style="566"/>
    <col min="40" max="45" width="14.28515625" style="566" customWidth="1"/>
    <col min="46" max="16384" width="11.42578125" style="566"/>
  </cols>
  <sheetData>
    <row r="1" spans="1:242" s="556" customFormat="1" x14ac:dyDescent="0.2">
      <c r="E1" s="557" t="s">
        <v>200</v>
      </c>
      <c r="F1" s="557"/>
      <c r="G1" s="557"/>
      <c r="H1" s="557"/>
      <c r="I1" s="557"/>
      <c r="IG1" s="558"/>
      <c r="IH1" s="558"/>
    </row>
    <row r="2" spans="1:242" s="556" customFormat="1" x14ac:dyDescent="0.2">
      <c r="E2" s="557" t="s">
        <v>192</v>
      </c>
      <c r="F2" s="557"/>
      <c r="G2" s="557"/>
      <c r="H2" s="557"/>
      <c r="I2" s="557"/>
      <c r="IG2" s="558"/>
      <c r="IH2" s="558"/>
    </row>
    <row r="3" spans="1:242" s="556" customFormat="1" x14ac:dyDescent="0.2">
      <c r="B3" s="559"/>
      <c r="HX3" s="558"/>
      <c r="HY3" s="558"/>
      <c r="HZ3" s="558"/>
      <c r="IA3" s="558"/>
      <c r="IB3" s="558"/>
      <c r="IC3" s="558"/>
    </row>
    <row r="4" spans="1:242" s="556" customFormat="1" ht="18.75" customHeight="1" x14ac:dyDescent="0.2">
      <c r="B4" s="559"/>
      <c r="D4" s="560" t="s">
        <v>0</v>
      </c>
      <c r="E4" s="561" t="str">
        <f>+'B) Reajuste Tarifas y Ocupación'!F5</f>
        <v>(DEPTO./DELEG.)</v>
      </c>
      <c r="F4" s="562"/>
      <c r="G4" s="563"/>
      <c r="H4" s="563"/>
      <c r="I4" s="563"/>
      <c r="J4" s="563"/>
      <c r="O4" s="564"/>
      <c r="HX4" s="558"/>
      <c r="HY4" s="558"/>
      <c r="HZ4" s="558"/>
      <c r="IA4" s="558"/>
      <c r="IB4" s="558"/>
      <c r="IC4" s="558"/>
    </row>
    <row r="5" spans="1:242" s="556" customFormat="1" x14ac:dyDescent="0.2">
      <c r="B5" s="559"/>
      <c r="D5" s="565"/>
      <c r="E5" s="557"/>
      <c r="F5" s="557"/>
      <c r="G5" s="557"/>
      <c r="H5" s="557"/>
      <c r="I5" s="557"/>
      <c r="J5" s="557"/>
      <c r="O5" s="564"/>
      <c r="HX5" s="558"/>
      <c r="HY5" s="558"/>
      <c r="HZ5" s="558"/>
      <c r="IA5" s="558"/>
      <c r="IB5" s="558"/>
      <c r="IC5" s="558"/>
    </row>
    <row r="6" spans="1:242" s="556" customFormat="1" ht="13.5" thickBot="1" x14ac:dyDescent="0.25">
      <c r="B6" s="559"/>
      <c r="D6" s="565"/>
      <c r="E6" s="557"/>
      <c r="F6" s="557"/>
      <c r="G6" s="557"/>
      <c r="H6" s="557"/>
      <c r="I6" s="557"/>
      <c r="J6" s="557"/>
      <c r="O6" s="564"/>
      <c r="HX6" s="558"/>
      <c r="HY6" s="558"/>
      <c r="HZ6" s="558"/>
      <c r="IA6" s="558"/>
      <c r="IB6" s="558"/>
      <c r="IC6" s="558"/>
    </row>
    <row r="7" spans="1:242" x14ac:dyDescent="0.2">
      <c r="B7" s="567"/>
      <c r="C7" s="567"/>
      <c r="D7" s="567"/>
      <c r="E7" s="567"/>
      <c r="F7" s="567"/>
      <c r="G7" s="567"/>
      <c r="H7" s="567"/>
      <c r="I7" s="567"/>
      <c r="J7" s="568"/>
      <c r="K7" s="568"/>
      <c r="L7" s="568"/>
      <c r="M7" s="568"/>
      <c r="N7" s="568"/>
      <c r="O7" s="568"/>
      <c r="P7" s="568"/>
      <c r="Q7" s="568"/>
      <c r="R7" s="568"/>
      <c r="Y7" s="569"/>
      <c r="Z7" s="570"/>
      <c r="AA7" s="570"/>
      <c r="AB7" s="570"/>
      <c r="AC7" s="570"/>
      <c r="AD7" s="570"/>
      <c r="AE7" s="570"/>
      <c r="AF7" s="570"/>
      <c r="AG7" s="570"/>
      <c r="AH7" s="570"/>
      <c r="AI7" s="570"/>
      <c r="AJ7" s="570"/>
      <c r="AK7" s="570"/>
      <c r="AL7" s="570"/>
      <c r="AM7" s="570"/>
      <c r="AN7" s="570"/>
      <c r="AO7" s="570"/>
      <c r="AP7" s="570"/>
      <c r="AQ7" s="570"/>
      <c r="AR7" s="570"/>
      <c r="AS7" s="570"/>
      <c r="AT7" s="571"/>
    </row>
    <row r="8" spans="1:242" x14ac:dyDescent="0.2">
      <c r="B8" s="567"/>
      <c r="C8" s="567"/>
      <c r="D8" s="567"/>
      <c r="E8" s="567"/>
      <c r="F8" s="567"/>
      <c r="G8" s="567"/>
      <c r="H8" s="567"/>
      <c r="I8" s="567"/>
      <c r="J8" s="568"/>
      <c r="K8" s="568"/>
      <c r="L8" s="568"/>
      <c r="M8" s="568"/>
      <c r="N8" s="568"/>
      <c r="O8" s="568"/>
      <c r="P8" s="568"/>
      <c r="Q8" s="568"/>
      <c r="R8" s="568"/>
      <c r="Y8" s="572"/>
      <c r="AT8" s="573"/>
    </row>
    <row r="9" spans="1:242" ht="15.75" customHeight="1" x14ac:dyDescent="0.2">
      <c r="A9" s="794" t="s">
        <v>149</v>
      </c>
      <c r="B9" s="794"/>
      <c r="C9" s="794"/>
      <c r="D9" s="794"/>
      <c r="E9" s="794"/>
      <c r="F9" s="794"/>
      <c r="G9" s="794"/>
      <c r="H9" s="794"/>
      <c r="I9" s="574"/>
      <c r="J9" s="574"/>
      <c r="K9" s="574"/>
      <c r="L9" s="574"/>
      <c r="M9" s="795" t="s">
        <v>150</v>
      </c>
      <c r="N9" s="795"/>
      <c r="O9" s="795"/>
      <c r="P9" s="795"/>
      <c r="Q9" s="795"/>
      <c r="R9" s="795"/>
      <c r="S9" s="795"/>
      <c r="U9" s="795" t="s">
        <v>151</v>
      </c>
      <c r="V9" s="795"/>
      <c r="W9" s="795"/>
      <c r="X9" s="575"/>
      <c r="Y9" s="576"/>
      <c r="Z9" s="795" t="s">
        <v>206</v>
      </c>
      <c r="AA9" s="795"/>
      <c r="AB9" s="795"/>
      <c r="AC9" s="795"/>
      <c r="AD9" s="795"/>
      <c r="AE9" s="795"/>
      <c r="AF9" s="575"/>
      <c r="AG9" s="795" t="s">
        <v>153</v>
      </c>
      <c r="AH9" s="795"/>
      <c r="AI9" s="795"/>
      <c r="AJ9" s="795"/>
      <c r="AK9" s="795"/>
      <c r="AL9" s="795"/>
      <c r="AN9" s="795" t="s">
        <v>154</v>
      </c>
      <c r="AO9" s="795"/>
      <c r="AP9" s="795"/>
      <c r="AQ9" s="795"/>
      <c r="AR9" s="795"/>
      <c r="AS9" s="795"/>
      <c r="AT9" s="573"/>
    </row>
    <row r="10" spans="1:242" ht="13.5" customHeight="1" x14ac:dyDescent="0.2">
      <c r="B10" s="559"/>
      <c r="C10" s="565"/>
      <c r="D10" s="565"/>
      <c r="E10" s="557"/>
      <c r="F10" s="557"/>
      <c r="G10" s="557"/>
      <c r="H10" s="557"/>
      <c r="I10" s="557"/>
      <c r="J10" s="557"/>
      <c r="M10" s="795"/>
      <c r="N10" s="795"/>
      <c r="O10" s="795"/>
      <c r="P10" s="795"/>
      <c r="Q10" s="795"/>
      <c r="R10" s="795"/>
      <c r="S10" s="795"/>
      <c r="U10" s="795"/>
      <c r="V10" s="795"/>
      <c r="W10" s="795"/>
      <c r="Y10" s="572"/>
      <c r="Z10" s="795"/>
      <c r="AA10" s="795"/>
      <c r="AB10" s="795"/>
      <c r="AC10" s="795"/>
      <c r="AD10" s="795"/>
      <c r="AE10" s="795"/>
      <c r="AG10" s="795"/>
      <c r="AH10" s="795"/>
      <c r="AI10" s="795"/>
      <c r="AJ10" s="795"/>
      <c r="AK10" s="795"/>
      <c r="AL10" s="795"/>
      <c r="AN10" s="795"/>
      <c r="AO10" s="795"/>
      <c r="AP10" s="795"/>
      <c r="AQ10" s="795"/>
      <c r="AR10" s="795"/>
      <c r="AS10" s="795"/>
      <c r="AT10" s="573"/>
    </row>
    <row r="11" spans="1:242" x14ac:dyDescent="0.2">
      <c r="J11" s="577" t="s">
        <v>4</v>
      </c>
      <c r="K11" s="578">
        <v>0.11</v>
      </c>
      <c r="Y11" s="572"/>
      <c r="AT11" s="573"/>
    </row>
    <row r="12" spans="1:242" ht="12.75" customHeight="1" thickBot="1" x14ac:dyDescent="0.25">
      <c r="M12" s="819"/>
      <c r="N12" s="819"/>
      <c r="O12" s="819"/>
      <c r="P12" s="819"/>
      <c r="Q12" s="819"/>
      <c r="R12" s="819"/>
      <c r="Y12" s="572"/>
      <c r="AT12" s="573"/>
    </row>
    <row r="13" spans="1:242" ht="21.75" customHeight="1" x14ac:dyDescent="0.2">
      <c r="A13" s="808" t="s">
        <v>116</v>
      </c>
      <c r="B13" s="809"/>
      <c r="C13" s="812" t="s">
        <v>73</v>
      </c>
      <c r="D13" s="812" t="s">
        <v>74</v>
      </c>
      <c r="E13" s="814" t="s">
        <v>3</v>
      </c>
      <c r="F13" s="814" t="s">
        <v>81</v>
      </c>
      <c r="G13" s="816" t="s">
        <v>260</v>
      </c>
      <c r="H13" s="817"/>
      <c r="I13" s="817"/>
      <c r="J13" s="818"/>
      <c r="K13" s="802" t="s">
        <v>262</v>
      </c>
      <c r="L13" s="568"/>
      <c r="M13" s="800" t="s">
        <v>69</v>
      </c>
      <c r="N13" s="804"/>
      <c r="O13" s="805" t="s">
        <v>70</v>
      </c>
      <c r="P13" s="806"/>
      <c r="Q13" s="807" t="s">
        <v>71</v>
      </c>
      <c r="R13" s="807"/>
      <c r="S13" s="839" t="s">
        <v>140</v>
      </c>
      <c r="U13" s="796" t="s">
        <v>75</v>
      </c>
      <c r="V13" s="798" t="s">
        <v>76</v>
      </c>
      <c r="W13" s="841" t="s">
        <v>263</v>
      </c>
      <c r="Y13" s="572"/>
      <c r="Z13" s="846" t="s">
        <v>69</v>
      </c>
      <c r="AA13" s="847"/>
      <c r="AB13" s="848" t="s">
        <v>70</v>
      </c>
      <c r="AC13" s="849"/>
      <c r="AD13" s="850" t="s">
        <v>71</v>
      </c>
      <c r="AE13" s="851"/>
      <c r="AG13" s="800" t="s">
        <v>69</v>
      </c>
      <c r="AH13" s="801"/>
      <c r="AI13" s="805" t="s">
        <v>70</v>
      </c>
      <c r="AJ13" s="806"/>
      <c r="AK13" s="842" t="s">
        <v>71</v>
      </c>
      <c r="AL13" s="843"/>
      <c r="AN13" s="800" t="s">
        <v>69</v>
      </c>
      <c r="AO13" s="801"/>
      <c r="AP13" s="805" t="s">
        <v>70</v>
      </c>
      <c r="AQ13" s="806"/>
      <c r="AR13" s="842" t="s">
        <v>71</v>
      </c>
      <c r="AS13" s="843"/>
      <c r="AT13" s="573"/>
    </row>
    <row r="14" spans="1:242" ht="39" thickBot="1" x14ac:dyDescent="0.25">
      <c r="A14" s="810"/>
      <c r="B14" s="811"/>
      <c r="C14" s="813"/>
      <c r="D14" s="813"/>
      <c r="E14" s="815"/>
      <c r="F14" s="815"/>
      <c r="G14" s="579" t="s">
        <v>217</v>
      </c>
      <c r="H14" s="580" t="s">
        <v>114</v>
      </c>
      <c r="I14" s="579" t="s">
        <v>115</v>
      </c>
      <c r="J14" s="581" t="s">
        <v>261</v>
      </c>
      <c r="K14" s="803"/>
      <c r="L14" s="568"/>
      <c r="M14" s="582" t="s">
        <v>36</v>
      </c>
      <c r="N14" s="583" t="s">
        <v>37</v>
      </c>
      <c r="O14" s="584" t="s">
        <v>36</v>
      </c>
      <c r="P14" s="585" t="s">
        <v>37</v>
      </c>
      <c r="Q14" s="586" t="s">
        <v>36</v>
      </c>
      <c r="R14" s="587" t="s">
        <v>37</v>
      </c>
      <c r="S14" s="840"/>
      <c r="U14" s="797"/>
      <c r="V14" s="799"/>
      <c r="W14" s="841"/>
      <c r="Y14" s="572"/>
      <c r="Z14" s="582" t="s">
        <v>36</v>
      </c>
      <c r="AA14" s="583" t="s">
        <v>37</v>
      </c>
      <c r="AB14" s="584" t="s">
        <v>36</v>
      </c>
      <c r="AC14" s="585" t="s">
        <v>37</v>
      </c>
      <c r="AD14" s="586" t="s">
        <v>36</v>
      </c>
      <c r="AE14" s="588" t="s">
        <v>37</v>
      </c>
      <c r="AG14" s="589" t="s">
        <v>36</v>
      </c>
      <c r="AH14" s="590" t="s">
        <v>37</v>
      </c>
      <c r="AI14" s="591" t="s">
        <v>36</v>
      </c>
      <c r="AJ14" s="592" t="s">
        <v>37</v>
      </c>
      <c r="AK14" s="593" t="s">
        <v>36</v>
      </c>
      <c r="AL14" s="594" t="s">
        <v>37</v>
      </c>
      <c r="AN14" s="844" t="s">
        <v>141</v>
      </c>
      <c r="AO14" s="845"/>
      <c r="AP14" s="853" t="s">
        <v>141</v>
      </c>
      <c r="AQ14" s="854"/>
      <c r="AR14" s="835" t="s">
        <v>142</v>
      </c>
      <c r="AS14" s="836"/>
      <c r="AT14" s="573"/>
    </row>
    <row r="15" spans="1:242" ht="12.75" customHeight="1" thickBot="1" x14ac:dyDescent="0.25">
      <c r="A15" s="826" t="s">
        <v>136</v>
      </c>
      <c r="B15" s="829" t="s">
        <v>92</v>
      </c>
      <c r="C15" s="595" t="s">
        <v>280</v>
      </c>
      <c r="D15" s="596" t="s">
        <v>281</v>
      </c>
      <c r="E15" s="597" t="s">
        <v>282</v>
      </c>
      <c r="F15" s="598" t="s">
        <v>117</v>
      </c>
      <c r="G15" s="599">
        <f>2592053*12</f>
        <v>31104636</v>
      </c>
      <c r="H15" s="600">
        <v>165270</v>
      </c>
      <c r="I15" s="601">
        <v>159406</v>
      </c>
      <c r="J15" s="602">
        <f>SUM(G15:I15)</f>
        <v>31429312</v>
      </c>
      <c r="K15" s="603">
        <f t="shared" ref="K15:K69" si="0">+J15*(1+$K$11)</f>
        <v>34886536.32</v>
      </c>
      <c r="L15" s="568"/>
      <c r="M15" s="604">
        <v>0.55000000000000004</v>
      </c>
      <c r="N15" s="605">
        <f t="shared" ref="N15:N61" si="1">+$K15*M15</f>
        <v>19187594.976000004</v>
      </c>
      <c r="O15" s="604">
        <v>0.35</v>
      </c>
      <c r="P15" s="606">
        <f t="shared" ref="P15:P61" si="2">+$K15*O15</f>
        <v>12210287.711999999</v>
      </c>
      <c r="Q15" s="607">
        <v>0.1</v>
      </c>
      <c r="R15" s="605">
        <f t="shared" ref="R15:R61" si="3">+$K15*Q15</f>
        <v>3488653.6320000002</v>
      </c>
      <c r="S15" s="608">
        <f>+M15+O15+Q15</f>
        <v>1</v>
      </c>
      <c r="U15" s="609"/>
      <c r="V15" s="610" t="s">
        <v>11</v>
      </c>
      <c r="W15" s="611">
        <f>SUM(W16,W20)</f>
        <v>9810754</v>
      </c>
      <c r="Y15" s="572"/>
      <c r="Z15" s="612">
        <f t="shared" ref="Z15:AE15" si="4">+M62</f>
        <v>0.46886224620542782</v>
      </c>
      <c r="AA15" s="613">
        <f t="shared" si="4"/>
        <v>28005620.346000005</v>
      </c>
      <c r="AB15" s="612">
        <f t="shared" si="4"/>
        <v>0.29836688394890853</v>
      </c>
      <c r="AC15" s="614">
        <f t="shared" si="4"/>
        <v>17821758.401999999</v>
      </c>
      <c r="AD15" s="615">
        <f t="shared" si="4"/>
        <v>0.23277086984566378</v>
      </c>
      <c r="AE15" s="614">
        <f t="shared" si="4"/>
        <v>13903641.552000001</v>
      </c>
      <c r="AG15" s="616">
        <f>+Z15</f>
        <v>0.46886224620542782</v>
      </c>
      <c r="AH15" s="617">
        <f>+AG15*W80</f>
        <v>6284889.297821952</v>
      </c>
      <c r="AI15" s="618">
        <f>+AB15</f>
        <v>0.29836688394890853</v>
      </c>
      <c r="AJ15" s="617">
        <f>+AI15*W80</f>
        <v>3999475.0077048778</v>
      </c>
      <c r="AK15" s="619">
        <f>+AD15</f>
        <v>0.23277086984566378</v>
      </c>
      <c r="AL15" s="620">
        <f>+AK15*W80</f>
        <v>3120189.6944731716</v>
      </c>
      <c r="AN15" s="837">
        <f>+AH15+AA15+K70</f>
        <v>34290509.643821955</v>
      </c>
      <c r="AO15" s="852"/>
      <c r="AP15" s="837">
        <f>+AJ15+AC15+K78</f>
        <v>21821233.409704875</v>
      </c>
      <c r="AQ15" s="852"/>
      <c r="AR15" s="837">
        <f>+AL15+AE15+K85</f>
        <v>17023831.246473171</v>
      </c>
      <c r="AS15" s="838"/>
      <c r="AT15" s="573"/>
    </row>
    <row r="16" spans="1:242" x14ac:dyDescent="0.2">
      <c r="A16" s="827"/>
      <c r="B16" s="830"/>
      <c r="C16" s="621"/>
      <c r="D16" s="622"/>
      <c r="E16" s="623"/>
      <c r="F16" s="624"/>
      <c r="G16" s="599"/>
      <c r="H16" s="625"/>
      <c r="I16" s="625"/>
      <c r="J16" s="626">
        <f t="shared" ref="J16:J69" si="5">SUM(G16:I16)</f>
        <v>0</v>
      </c>
      <c r="K16" s="627">
        <f t="shared" si="0"/>
        <v>0</v>
      </c>
      <c r="L16" s="568"/>
      <c r="M16" s="628">
        <v>0</v>
      </c>
      <c r="N16" s="629">
        <v>0</v>
      </c>
      <c r="O16" s="628">
        <v>0</v>
      </c>
      <c r="P16" s="630">
        <v>0</v>
      </c>
      <c r="Q16" s="631">
        <v>0</v>
      </c>
      <c r="R16" s="629">
        <f t="shared" si="3"/>
        <v>0</v>
      </c>
      <c r="S16" s="632">
        <f t="shared" ref="S16:S61" si="6">+M16+O16+Q16</f>
        <v>0</v>
      </c>
      <c r="U16" s="633"/>
      <c r="V16" s="634" t="s">
        <v>12</v>
      </c>
      <c r="W16" s="635">
        <f>SUM(W17:W19)</f>
        <v>0</v>
      </c>
      <c r="Y16" s="572"/>
      <c r="AT16" s="573"/>
    </row>
    <row r="17" spans="1:46" ht="12.75" customHeight="1" x14ac:dyDescent="0.2">
      <c r="A17" s="827"/>
      <c r="B17" s="830"/>
      <c r="C17" s="621" t="s">
        <v>283</v>
      </c>
      <c r="D17" s="622" t="s">
        <v>284</v>
      </c>
      <c r="E17" s="623" t="s">
        <v>285</v>
      </c>
      <c r="F17" s="624" t="s">
        <v>117</v>
      </c>
      <c r="G17" s="599">
        <f>1176041*12</f>
        <v>14112492</v>
      </c>
      <c r="H17" s="625">
        <v>165270</v>
      </c>
      <c r="I17" s="625">
        <v>166178</v>
      </c>
      <c r="J17" s="626">
        <f t="shared" si="5"/>
        <v>14443940</v>
      </c>
      <c r="K17" s="627">
        <f t="shared" si="0"/>
        <v>16032773.400000002</v>
      </c>
      <c r="L17" s="568"/>
      <c r="M17" s="628">
        <v>0.55000000000000004</v>
      </c>
      <c r="N17" s="629">
        <f t="shared" si="1"/>
        <v>8818025.370000001</v>
      </c>
      <c r="O17" s="628">
        <v>0.35</v>
      </c>
      <c r="P17" s="630">
        <f t="shared" si="2"/>
        <v>5611470.6900000004</v>
      </c>
      <c r="Q17" s="631">
        <v>0.1</v>
      </c>
      <c r="R17" s="629">
        <f t="shared" si="3"/>
        <v>1603277.3400000003</v>
      </c>
      <c r="S17" s="632">
        <f t="shared" si="6"/>
        <v>1</v>
      </c>
      <c r="U17" s="636">
        <v>53103050000000</v>
      </c>
      <c r="V17" s="637" t="s">
        <v>13</v>
      </c>
      <c r="W17" s="638">
        <v>0</v>
      </c>
      <c r="Y17" s="572"/>
      <c r="AT17" s="573"/>
    </row>
    <row r="18" spans="1:46" ht="13.5" customHeight="1" thickBot="1" x14ac:dyDescent="0.25">
      <c r="A18" s="827"/>
      <c r="B18" s="830"/>
      <c r="C18" s="621"/>
      <c r="D18" s="622"/>
      <c r="E18" s="623"/>
      <c r="F18" s="624" t="s">
        <v>117</v>
      </c>
      <c r="G18" s="599">
        <v>0</v>
      </c>
      <c r="H18" s="599">
        <v>0</v>
      </c>
      <c r="I18" s="625">
        <v>0</v>
      </c>
      <c r="J18" s="626">
        <f t="shared" si="5"/>
        <v>0</v>
      </c>
      <c r="K18" s="627">
        <f t="shared" si="0"/>
        <v>0</v>
      </c>
      <c r="L18" s="568"/>
      <c r="M18" s="628">
        <v>0</v>
      </c>
      <c r="N18" s="629">
        <f t="shared" si="1"/>
        <v>0</v>
      </c>
      <c r="O18" s="628">
        <v>0</v>
      </c>
      <c r="P18" s="630">
        <f t="shared" si="2"/>
        <v>0</v>
      </c>
      <c r="Q18" s="631">
        <v>0</v>
      </c>
      <c r="R18" s="629">
        <f t="shared" si="3"/>
        <v>0</v>
      </c>
      <c r="S18" s="632">
        <f t="shared" si="6"/>
        <v>0</v>
      </c>
      <c r="U18" s="636">
        <v>53103060000000</v>
      </c>
      <c r="V18" s="637" t="s">
        <v>14</v>
      </c>
      <c r="W18" s="638">
        <v>0</v>
      </c>
      <c r="Y18" s="639"/>
      <c r="Z18" s="640"/>
      <c r="AA18" s="640"/>
      <c r="AB18" s="640"/>
      <c r="AC18" s="640"/>
      <c r="AD18" s="640"/>
      <c r="AE18" s="640"/>
      <c r="AF18" s="640"/>
      <c r="AG18" s="640"/>
      <c r="AH18" s="640"/>
      <c r="AI18" s="640"/>
      <c r="AJ18" s="640"/>
      <c r="AK18" s="640"/>
      <c r="AL18" s="640"/>
      <c r="AM18" s="640"/>
      <c r="AN18" s="640"/>
      <c r="AO18" s="640"/>
      <c r="AP18" s="640"/>
      <c r="AQ18" s="640"/>
      <c r="AR18" s="640"/>
      <c r="AS18" s="640"/>
      <c r="AT18" s="641"/>
    </row>
    <row r="19" spans="1:46" x14ac:dyDescent="0.2">
      <c r="A19" s="827"/>
      <c r="B19" s="830"/>
      <c r="C19" s="621"/>
      <c r="D19" s="622"/>
      <c r="E19" s="623"/>
      <c r="F19" s="624" t="s">
        <v>117</v>
      </c>
      <c r="G19" s="599">
        <v>0</v>
      </c>
      <c r="H19" s="599">
        <v>0</v>
      </c>
      <c r="I19" s="625">
        <v>0</v>
      </c>
      <c r="J19" s="626">
        <f t="shared" si="5"/>
        <v>0</v>
      </c>
      <c r="K19" s="627">
        <f t="shared" si="0"/>
        <v>0</v>
      </c>
      <c r="L19" s="568"/>
      <c r="M19" s="628">
        <v>0</v>
      </c>
      <c r="N19" s="629">
        <f t="shared" si="1"/>
        <v>0</v>
      </c>
      <c r="O19" s="628">
        <v>0</v>
      </c>
      <c r="P19" s="630">
        <f t="shared" si="2"/>
        <v>0</v>
      </c>
      <c r="Q19" s="631">
        <v>0</v>
      </c>
      <c r="R19" s="629">
        <f t="shared" si="3"/>
        <v>0</v>
      </c>
      <c r="S19" s="632">
        <f t="shared" si="6"/>
        <v>0</v>
      </c>
      <c r="U19" s="636">
        <v>53103080010000</v>
      </c>
      <c r="V19" s="637" t="s">
        <v>15</v>
      </c>
      <c r="W19" s="638">
        <v>0</v>
      </c>
    </row>
    <row r="20" spans="1:46" x14ac:dyDescent="0.2">
      <c r="A20" s="827"/>
      <c r="B20" s="830"/>
      <c r="C20" s="621"/>
      <c r="D20" s="622"/>
      <c r="E20" s="623"/>
      <c r="F20" s="624" t="s">
        <v>117</v>
      </c>
      <c r="G20" s="599">
        <v>0</v>
      </c>
      <c r="H20" s="599">
        <v>0</v>
      </c>
      <c r="I20" s="625">
        <v>0</v>
      </c>
      <c r="J20" s="626">
        <f t="shared" si="5"/>
        <v>0</v>
      </c>
      <c r="K20" s="627">
        <f t="shared" si="0"/>
        <v>0</v>
      </c>
      <c r="L20" s="568"/>
      <c r="M20" s="628">
        <v>0</v>
      </c>
      <c r="N20" s="629">
        <f t="shared" si="1"/>
        <v>0</v>
      </c>
      <c r="O20" s="628">
        <v>0</v>
      </c>
      <c r="P20" s="630">
        <f t="shared" si="2"/>
        <v>0</v>
      </c>
      <c r="Q20" s="631">
        <v>0</v>
      </c>
      <c r="R20" s="629">
        <f t="shared" si="3"/>
        <v>0</v>
      </c>
      <c r="S20" s="632">
        <f t="shared" si="6"/>
        <v>0</v>
      </c>
      <c r="U20" s="633"/>
      <c r="V20" s="634" t="s">
        <v>16</v>
      </c>
      <c r="W20" s="642">
        <f>SUM(W21:W39)</f>
        <v>9810754</v>
      </c>
    </row>
    <row r="21" spans="1:46" x14ac:dyDescent="0.2">
      <c r="A21" s="827"/>
      <c r="B21" s="830"/>
      <c r="C21" s="621"/>
      <c r="D21" s="622"/>
      <c r="E21" s="623"/>
      <c r="F21" s="624" t="s">
        <v>117</v>
      </c>
      <c r="G21" s="599">
        <v>0</v>
      </c>
      <c r="H21" s="599">
        <v>0</v>
      </c>
      <c r="I21" s="625">
        <v>0</v>
      </c>
      <c r="J21" s="626">
        <f t="shared" si="5"/>
        <v>0</v>
      </c>
      <c r="K21" s="627">
        <f t="shared" si="0"/>
        <v>0</v>
      </c>
      <c r="L21" s="568"/>
      <c r="M21" s="628">
        <v>0</v>
      </c>
      <c r="N21" s="629">
        <f t="shared" si="1"/>
        <v>0</v>
      </c>
      <c r="O21" s="628">
        <v>0</v>
      </c>
      <c r="P21" s="630">
        <f t="shared" si="2"/>
        <v>0</v>
      </c>
      <c r="Q21" s="631">
        <v>0</v>
      </c>
      <c r="R21" s="629">
        <f t="shared" si="3"/>
        <v>0</v>
      </c>
      <c r="S21" s="632">
        <f t="shared" si="6"/>
        <v>0</v>
      </c>
      <c r="U21" s="636">
        <v>53201010100000</v>
      </c>
      <c r="V21" s="637" t="s">
        <v>17</v>
      </c>
      <c r="W21" s="638">
        <v>4397864</v>
      </c>
    </row>
    <row r="22" spans="1:46" x14ac:dyDescent="0.2">
      <c r="A22" s="827"/>
      <c r="B22" s="830"/>
      <c r="C22" s="621"/>
      <c r="D22" s="622"/>
      <c r="E22" s="623"/>
      <c r="F22" s="624" t="s">
        <v>117</v>
      </c>
      <c r="G22" s="599">
        <v>0</v>
      </c>
      <c r="H22" s="599">
        <v>0</v>
      </c>
      <c r="I22" s="625">
        <v>0</v>
      </c>
      <c r="J22" s="626">
        <f t="shared" si="5"/>
        <v>0</v>
      </c>
      <c r="K22" s="627">
        <f t="shared" si="0"/>
        <v>0</v>
      </c>
      <c r="L22" s="568"/>
      <c r="M22" s="628">
        <v>0</v>
      </c>
      <c r="N22" s="629">
        <f t="shared" si="1"/>
        <v>0</v>
      </c>
      <c r="O22" s="628">
        <v>0</v>
      </c>
      <c r="P22" s="630">
        <f t="shared" si="2"/>
        <v>0</v>
      </c>
      <c r="Q22" s="631">
        <v>0</v>
      </c>
      <c r="R22" s="629">
        <f t="shared" si="3"/>
        <v>0</v>
      </c>
      <c r="S22" s="632">
        <f t="shared" si="6"/>
        <v>0</v>
      </c>
      <c r="U22" s="636">
        <v>53202010100000</v>
      </c>
      <c r="V22" s="637" t="s">
        <v>18</v>
      </c>
      <c r="W22" s="638">
        <v>0</v>
      </c>
    </row>
    <row r="23" spans="1:46" x14ac:dyDescent="0.2">
      <c r="A23" s="827"/>
      <c r="B23" s="830"/>
      <c r="C23" s="621"/>
      <c r="D23" s="622"/>
      <c r="E23" s="623"/>
      <c r="F23" s="624" t="s">
        <v>117</v>
      </c>
      <c r="G23" s="599">
        <v>0</v>
      </c>
      <c r="H23" s="599">
        <v>0</v>
      </c>
      <c r="I23" s="625">
        <v>0</v>
      </c>
      <c r="J23" s="626">
        <f t="shared" si="5"/>
        <v>0</v>
      </c>
      <c r="K23" s="627">
        <f t="shared" si="0"/>
        <v>0</v>
      </c>
      <c r="L23" s="568"/>
      <c r="M23" s="628">
        <v>0</v>
      </c>
      <c r="N23" s="629">
        <f t="shared" si="1"/>
        <v>0</v>
      </c>
      <c r="O23" s="628">
        <v>0</v>
      </c>
      <c r="P23" s="630">
        <f t="shared" si="2"/>
        <v>0</v>
      </c>
      <c r="Q23" s="631">
        <v>0</v>
      </c>
      <c r="R23" s="629">
        <f t="shared" si="3"/>
        <v>0</v>
      </c>
      <c r="S23" s="632">
        <f t="shared" si="6"/>
        <v>0</v>
      </c>
      <c r="U23" s="636">
        <v>53203010100000</v>
      </c>
      <c r="V23" s="637" t="s">
        <v>19</v>
      </c>
      <c r="W23" s="638">
        <v>0</v>
      </c>
    </row>
    <row r="24" spans="1:46" ht="13.5" thickBot="1" x14ac:dyDescent="0.25">
      <c r="A24" s="827"/>
      <c r="B24" s="831"/>
      <c r="C24" s="643"/>
      <c r="D24" s="644"/>
      <c r="E24" s="645"/>
      <c r="F24" s="646" t="s">
        <v>117</v>
      </c>
      <c r="G24" s="647">
        <v>0</v>
      </c>
      <c r="H24" s="647">
        <v>0</v>
      </c>
      <c r="I24" s="648">
        <v>0</v>
      </c>
      <c r="J24" s="649">
        <f t="shared" si="5"/>
        <v>0</v>
      </c>
      <c r="K24" s="650">
        <f t="shared" si="0"/>
        <v>0</v>
      </c>
      <c r="L24" s="568"/>
      <c r="M24" s="651">
        <v>0</v>
      </c>
      <c r="N24" s="652">
        <f t="shared" si="1"/>
        <v>0</v>
      </c>
      <c r="O24" s="651">
        <v>0</v>
      </c>
      <c r="P24" s="653">
        <f t="shared" si="2"/>
        <v>0</v>
      </c>
      <c r="Q24" s="654">
        <v>0</v>
      </c>
      <c r="R24" s="652">
        <f t="shared" si="3"/>
        <v>0</v>
      </c>
      <c r="S24" s="655">
        <f t="shared" si="6"/>
        <v>0</v>
      </c>
      <c r="U24" s="636">
        <v>53203030000000</v>
      </c>
      <c r="V24" s="637" t="s">
        <v>20</v>
      </c>
      <c r="W24" s="638">
        <v>0</v>
      </c>
    </row>
    <row r="25" spans="1:46" ht="12.75" customHeight="1" x14ac:dyDescent="0.2">
      <c r="A25" s="827"/>
      <c r="B25" s="829" t="s">
        <v>91</v>
      </c>
      <c r="C25" s="595"/>
      <c r="D25" s="596"/>
      <c r="E25" s="597"/>
      <c r="F25" s="598" t="s">
        <v>117</v>
      </c>
      <c r="G25" s="600">
        <v>0</v>
      </c>
      <c r="H25" s="600">
        <v>0</v>
      </c>
      <c r="I25" s="601">
        <v>0</v>
      </c>
      <c r="J25" s="602">
        <f t="shared" si="5"/>
        <v>0</v>
      </c>
      <c r="K25" s="603">
        <f t="shared" si="0"/>
        <v>0</v>
      </c>
      <c r="L25" s="568"/>
      <c r="M25" s="604">
        <v>0</v>
      </c>
      <c r="N25" s="605">
        <f t="shared" si="1"/>
        <v>0</v>
      </c>
      <c r="O25" s="604">
        <v>0</v>
      </c>
      <c r="P25" s="606">
        <f t="shared" si="2"/>
        <v>0</v>
      </c>
      <c r="Q25" s="607">
        <v>0</v>
      </c>
      <c r="R25" s="605">
        <f t="shared" si="3"/>
        <v>0</v>
      </c>
      <c r="S25" s="608">
        <f t="shared" si="6"/>
        <v>0</v>
      </c>
      <c r="U25" s="636">
        <v>53204030000000</v>
      </c>
      <c r="V25" s="637" t="s">
        <v>21</v>
      </c>
      <c r="W25" s="638">
        <v>0</v>
      </c>
    </row>
    <row r="26" spans="1:46" ht="12.75" customHeight="1" x14ac:dyDescent="0.2">
      <c r="A26" s="827"/>
      <c r="B26" s="830"/>
      <c r="C26" s="621"/>
      <c r="D26" s="622"/>
      <c r="E26" s="623"/>
      <c r="F26" s="624" t="s">
        <v>117</v>
      </c>
      <c r="G26" s="599">
        <v>0</v>
      </c>
      <c r="H26" s="599">
        <v>0</v>
      </c>
      <c r="I26" s="625">
        <v>0</v>
      </c>
      <c r="J26" s="626">
        <f t="shared" si="5"/>
        <v>0</v>
      </c>
      <c r="K26" s="627">
        <f t="shared" si="0"/>
        <v>0</v>
      </c>
      <c r="L26" s="568"/>
      <c r="M26" s="628">
        <v>0</v>
      </c>
      <c r="N26" s="629">
        <f t="shared" si="1"/>
        <v>0</v>
      </c>
      <c r="O26" s="628">
        <v>0</v>
      </c>
      <c r="P26" s="630">
        <f t="shared" si="2"/>
        <v>0</v>
      </c>
      <c r="Q26" s="631">
        <v>0</v>
      </c>
      <c r="R26" s="629">
        <f t="shared" si="3"/>
        <v>0</v>
      </c>
      <c r="S26" s="632">
        <f t="shared" si="6"/>
        <v>0</v>
      </c>
      <c r="U26" s="636">
        <v>53204100100001</v>
      </c>
      <c r="V26" s="637" t="s">
        <v>22</v>
      </c>
      <c r="W26" s="638">
        <v>0</v>
      </c>
    </row>
    <row r="27" spans="1:46" ht="12.75" customHeight="1" x14ac:dyDescent="0.2">
      <c r="A27" s="827"/>
      <c r="B27" s="830"/>
      <c r="C27" s="621"/>
      <c r="D27" s="622"/>
      <c r="E27" s="623"/>
      <c r="F27" s="624" t="s">
        <v>117</v>
      </c>
      <c r="G27" s="599">
        <v>0</v>
      </c>
      <c r="H27" s="599">
        <v>0</v>
      </c>
      <c r="I27" s="625">
        <v>0</v>
      </c>
      <c r="J27" s="626">
        <f t="shared" si="5"/>
        <v>0</v>
      </c>
      <c r="K27" s="627">
        <f t="shared" si="0"/>
        <v>0</v>
      </c>
      <c r="L27" s="568"/>
      <c r="M27" s="628">
        <v>0</v>
      </c>
      <c r="N27" s="629">
        <f t="shared" si="1"/>
        <v>0</v>
      </c>
      <c r="O27" s="628">
        <v>0</v>
      </c>
      <c r="P27" s="630">
        <f t="shared" si="2"/>
        <v>0</v>
      </c>
      <c r="Q27" s="631">
        <v>0</v>
      </c>
      <c r="R27" s="629">
        <f t="shared" si="3"/>
        <v>0</v>
      </c>
      <c r="S27" s="632">
        <f t="shared" si="6"/>
        <v>0</v>
      </c>
      <c r="U27" s="636">
        <v>53204130100000</v>
      </c>
      <c r="V27" s="637" t="s">
        <v>23</v>
      </c>
      <c r="W27" s="638">
        <v>0</v>
      </c>
    </row>
    <row r="28" spans="1:46" ht="12.75" customHeight="1" x14ac:dyDescent="0.2">
      <c r="A28" s="827"/>
      <c r="B28" s="830"/>
      <c r="C28" s="621"/>
      <c r="D28" s="622"/>
      <c r="E28" s="623"/>
      <c r="F28" s="624" t="s">
        <v>117</v>
      </c>
      <c r="G28" s="599">
        <v>0</v>
      </c>
      <c r="H28" s="599">
        <v>0</v>
      </c>
      <c r="I28" s="625">
        <v>0</v>
      </c>
      <c r="J28" s="626">
        <f t="shared" si="5"/>
        <v>0</v>
      </c>
      <c r="K28" s="627">
        <f t="shared" si="0"/>
        <v>0</v>
      </c>
      <c r="L28" s="568"/>
      <c r="M28" s="628">
        <v>0</v>
      </c>
      <c r="N28" s="629">
        <f t="shared" si="1"/>
        <v>0</v>
      </c>
      <c r="O28" s="628">
        <v>0</v>
      </c>
      <c r="P28" s="630">
        <f t="shared" si="2"/>
        <v>0</v>
      </c>
      <c r="Q28" s="631">
        <v>0</v>
      </c>
      <c r="R28" s="629">
        <f t="shared" si="3"/>
        <v>0</v>
      </c>
      <c r="S28" s="632">
        <f t="shared" si="6"/>
        <v>0</v>
      </c>
      <c r="U28" s="636">
        <v>53205010100000</v>
      </c>
      <c r="V28" s="637" t="s">
        <v>24</v>
      </c>
      <c r="W28" s="638">
        <v>1602720</v>
      </c>
    </row>
    <row r="29" spans="1:46" ht="12.75" customHeight="1" x14ac:dyDescent="0.2">
      <c r="A29" s="827"/>
      <c r="B29" s="830"/>
      <c r="C29" s="621"/>
      <c r="D29" s="622"/>
      <c r="E29" s="623"/>
      <c r="F29" s="624" t="s">
        <v>117</v>
      </c>
      <c r="G29" s="599">
        <v>0</v>
      </c>
      <c r="H29" s="599">
        <v>0</v>
      </c>
      <c r="I29" s="625">
        <v>0</v>
      </c>
      <c r="J29" s="626">
        <f t="shared" si="5"/>
        <v>0</v>
      </c>
      <c r="K29" s="627">
        <f t="shared" si="0"/>
        <v>0</v>
      </c>
      <c r="L29" s="568"/>
      <c r="M29" s="628">
        <v>0</v>
      </c>
      <c r="N29" s="629">
        <f t="shared" si="1"/>
        <v>0</v>
      </c>
      <c r="O29" s="628">
        <v>0</v>
      </c>
      <c r="P29" s="630">
        <f t="shared" si="2"/>
        <v>0</v>
      </c>
      <c r="Q29" s="631">
        <v>0</v>
      </c>
      <c r="R29" s="629">
        <f t="shared" si="3"/>
        <v>0</v>
      </c>
      <c r="S29" s="632">
        <f t="shared" si="6"/>
        <v>0</v>
      </c>
      <c r="U29" s="636">
        <v>53205020100000</v>
      </c>
      <c r="V29" s="637" t="s">
        <v>25</v>
      </c>
      <c r="W29" s="638">
        <v>1001700</v>
      </c>
    </row>
    <row r="30" spans="1:46" ht="12.75" customHeight="1" x14ac:dyDescent="0.2">
      <c r="A30" s="827"/>
      <c r="B30" s="830"/>
      <c r="C30" s="621"/>
      <c r="D30" s="622"/>
      <c r="E30" s="623"/>
      <c r="F30" s="624" t="s">
        <v>117</v>
      </c>
      <c r="G30" s="599">
        <v>0</v>
      </c>
      <c r="H30" s="599">
        <v>0</v>
      </c>
      <c r="I30" s="625">
        <v>0</v>
      </c>
      <c r="J30" s="626">
        <f t="shared" si="5"/>
        <v>0</v>
      </c>
      <c r="K30" s="627">
        <f t="shared" si="0"/>
        <v>0</v>
      </c>
      <c r="L30" s="568"/>
      <c r="M30" s="628">
        <v>0</v>
      </c>
      <c r="N30" s="629">
        <f t="shared" si="1"/>
        <v>0</v>
      </c>
      <c r="O30" s="628">
        <v>0</v>
      </c>
      <c r="P30" s="630">
        <f t="shared" si="2"/>
        <v>0</v>
      </c>
      <c r="Q30" s="631">
        <v>0</v>
      </c>
      <c r="R30" s="629">
        <f t="shared" si="3"/>
        <v>0</v>
      </c>
      <c r="S30" s="632">
        <f t="shared" si="6"/>
        <v>0</v>
      </c>
      <c r="U30" s="636">
        <v>53205030100000</v>
      </c>
      <c r="V30" s="637" t="s">
        <v>26</v>
      </c>
      <c r="W30" s="638">
        <v>0</v>
      </c>
    </row>
    <row r="31" spans="1:46" ht="12.75" customHeight="1" x14ac:dyDescent="0.2">
      <c r="A31" s="827"/>
      <c r="B31" s="830"/>
      <c r="C31" s="621"/>
      <c r="D31" s="622"/>
      <c r="E31" s="623"/>
      <c r="F31" s="624" t="s">
        <v>117</v>
      </c>
      <c r="G31" s="599">
        <v>0</v>
      </c>
      <c r="H31" s="599">
        <v>0</v>
      </c>
      <c r="I31" s="625">
        <v>0</v>
      </c>
      <c r="J31" s="626">
        <f t="shared" si="5"/>
        <v>0</v>
      </c>
      <c r="K31" s="627">
        <f t="shared" si="0"/>
        <v>0</v>
      </c>
      <c r="L31" s="568"/>
      <c r="M31" s="628">
        <v>0</v>
      </c>
      <c r="N31" s="629">
        <f t="shared" si="1"/>
        <v>0</v>
      </c>
      <c r="O31" s="628">
        <v>0</v>
      </c>
      <c r="P31" s="630">
        <f t="shared" si="2"/>
        <v>0</v>
      </c>
      <c r="Q31" s="631">
        <v>0</v>
      </c>
      <c r="R31" s="629">
        <f t="shared" si="3"/>
        <v>0</v>
      </c>
      <c r="S31" s="632">
        <f t="shared" si="6"/>
        <v>0</v>
      </c>
      <c r="U31" s="636">
        <v>53205050100000</v>
      </c>
      <c r="V31" s="637" t="s">
        <v>27</v>
      </c>
      <c r="W31" s="638">
        <v>667800</v>
      </c>
    </row>
    <row r="32" spans="1:46" ht="12.75" customHeight="1" x14ac:dyDescent="0.2">
      <c r="A32" s="827"/>
      <c r="B32" s="830"/>
      <c r="C32" s="621"/>
      <c r="D32" s="622"/>
      <c r="E32" s="623"/>
      <c r="F32" s="624" t="s">
        <v>117</v>
      </c>
      <c r="G32" s="599">
        <v>0</v>
      </c>
      <c r="H32" s="599">
        <v>0</v>
      </c>
      <c r="I32" s="625">
        <v>0</v>
      </c>
      <c r="J32" s="626">
        <f t="shared" si="5"/>
        <v>0</v>
      </c>
      <c r="K32" s="627">
        <f t="shared" si="0"/>
        <v>0</v>
      </c>
      <c r="L32" s="568"/>
      <c r="M32" s="628">
        <v>0</v>
      </c>
      <c r="N32" s="629">
        <f t="shared" si="1"/>
        <v>0</v>
      </c>
      <c r="O32" s="628">
        <v>0</v>
      </c>
      <c r="P32" s="630">
        <f t="shared" si="2"/>
        <v>0</v>
      </c>
      <c r="Q32" s="631">
        <v>0</v>
      </c>
      <c r="R32" s="629">
        <f t="shared" si="3"/>
        <v>0</v>
      </c>
      <c r="S32" s="632">
        <f t="shared" si="6"/>
        <v>0</v>
      </c>
      <c r="U32" s="636">
        <v>53205060100000</v>
      </c>
      <c r="V32" s="637" t="s">
        <v>28</v>
      </c>
      <c r="W32" s="638">
        <v>0</v>
      </c>
    </row>
    <row r="33" spans="1:23" ht="12.75" customHeight="1" x14ac:dyDescent="0.2">
      <c r="A33" s="827"/>
      <c r="B33" s="830"/>
      <c r="C33" s="621"/>
      <c r="D33" s="622"/>
      <c r="E33" s="623"/>
      <c r="F33" s="624" t="s">
        <v>117</v>
      </c>
      <c r="G33" s="599">
        <v>0</v>
      </c>
      <c r="H33" s="599">
        <v>0</v>
      </c>
      <c r="I33" s="625">
        <v>0</v>
      </c>
      <c r="J33" s="626">
        <f t="shared" si="5"/>
        <v>0</v>
      </c>
      <c r="K33" s="627">
        <f t="shared" si="0"/>
        <v>0</v>
      </c>
      <c r="L33" s="568"/>
      <c r="M33" s="628">
        <v>0</v>
      </c>
      <c r="N33" s="629">
        <f t="shared" si="1"/>
        <v>0</v>
      </c>
      <c r="O33" s="628">
        <v>0</v>
      </c>
      <c r="P33" s="630">
        <f t="shared" si="2"/>
        <v>0</v>
      </c>
      <c r="Q33" s="631">
        <v>0</v>
      </c>
      <c r="R33" s="629">
        <f t="shared" si="3"/>
        <v>0</v>
      </c>
      <c r="S33" s="632">
        <f t="shared" si="6"/>
        <v>0</v>
      </c>
      <c r="U33" s="636">
        <v>53205070100000</v>
      </c>
      <c r="V33" s="637" t="s">
        <v>29</v>
      </c>
      <c r="W33" s="638">
        <v>0</v>
      </c>
    </row>
    <row r="34" spans="1:23" ht="12.75" customHeight="1" thickBot="1" x14ac:dyDescent="0.25">
      <c r="A34" s="827"/>
      <c r="B34" s="831"/>
      <c r="C34" s="643"/>
      <c r="D34" s="644"/>
      <c r="E34" s="645"/>
      <c r="F34" s="646" t="s">
        <v>117</v>
      </c>
      <c r="G34" s="647">
        <v>0</v>
      </c>
      <c r="H34" s="647">
        <v>0</v>
      </c>
      <c r="I34" s="648">
        <v>0</v>
      </c>
      <c r="J34" s="649">
        <f t="shared" si="5"/>
        <v>0</v>
      </c>
      <c r="K34" s="650">
        <f t="shared" si="0"/>
        <v>0</v>
      </c>
      <c r="L34" s="568"/>
      <c r="M34" s="651">
        <v>0</v>
      </c>
      <c r="N34" s="652">
        <f t="shared" si="1"/>
        <v>0</v>
      </c>
      <c r="O34" s="651">
        <v>0</v>
      </c>
      <c r="P34" s="653">
        <f t="shared" si="2"/>
        <v>0</v>
      </c>
      <c r="Q34" s="654">
        <v>0</v>
      </c>
      <c r="R34" s="652">
        <f t="shared" si="3"/>
        <v>0</v>
      </c>
      <c r="S34" s="655">
        <f t="shared" si="6"/>
        <v>0</v>
      </c>
      <c r="U34" s="636">
        <v>53208010100000</v>
      </c>
      <c r="V34" s="637" t="s">
        <v>30</v>
      </c>
      <c r="W34" s="638">
        <v>0</v>
      </c>
    </row>
    <row r="35" spans="1:23" ht="12.75" customHeight="1" x14ac:dyDescent="0.2">
      <c r="A35" s="827"/>
      <c r="B35" s="829" t="s">
        <v>90</v>
      </c>
      <c r="C35" s="595"/>
      <c r="D35" s="596"/>
      <c r="E35" s="597"/>
      <c r="F35" s="598" t="s">
        <v>117</v>
      </c>
      <c r="G35" s="600">
        <v>0</v>
      </c>
      <c r="H35" s="600">
        <v>0</v>
      </c>
      <c r="I35" s="601">
        <v>0</v>
      </c>
      <c r="J35" s="602">
        <f t="shared" si="5"/>
        <v>0</v>
      </c>
      <c r="K35" s="603">
        <f t="shared" si="0"/>
        <v>0</v>
      </c>
      <c r="L35" s="568"/>
      <c r="M35" s="604">
        <v>0</v>
      </c>
      <c r="N35" s="605">
        <f t="shared" si="1"/>
        <v>0</v>
      </c>
      <c r="O35" s="604">
        <v>0</v>
      </c>
      <c r="P35" s="606">
        <f t="shared" si="2"/>
        <v>0</v>
      </c>
      <c r="Q35" s="607">
        <v>0</v>
      </c>
      <c r="R35" s="605">
        <f t="shared" si="3"/>
        <v>0</v>
      </c>
      <c r="S35" s="608">
        <f t="shared" si="6"/>
        <v>0</v>
      </c>
      <c r="U35" s="636">
        <v>53208070100001</v>
      </c>
      <c r="V35" s="637" t="s">
        <v>31</v>
      </c>
      <c r="W35" s="638">
        <v>656670</v>
      </c>
    </row>
    <row r="36" spans="1:23" ht="12.75" customHeight="1" x14ac:dyDescent="0.2">
      <c r="A36" s="827"/>
      <c r="B36" s="830"/>
      <c r="C36" s="621"/>
      <c r="D36" s="622"/>
      <c r="E36" s="623"/>
      <c r="F36" s="624" t="s">
        <v>117</v>
      </c>
      <c r="G36" s="599">
        <v>0</v>
      </c>
      <c r="H36" s="599">
        <v>0</v>
      </c>
      <c r="I36" s="625">
        <v>0</v>
      </c>
      <c r="J36" s="626">
        <f t="shared" si="5"/>
        <v>0</v>
      </c>
      <c r="K36" s="627">
        <f t="shared" si="0"/>
        <v>0</v>
      </c>
      <c r="L36" s="568"/>
      <c r="M36" s="628">
        <v>0</v>
      </c>
      <c r="N36" s="629">
        <f t="shared" si="1"/>
        <v>0</v>
      </c>
      <c r="O36" s="628">
        <v>0</v>
      </c>
      <c r="P36" s="630">
        <f t="shared" si="2"/>
        <v>0</v>
      </c>
      <c r="Q36" s="631">
        <v>0</v>
      </c>
      <c r="R36" s="629">
        <f t="shared" si="3"/>
        <v>0</v>
      </c>
      <c r="S36" s="632">
        <f t="shared" si="6"/>
        <v>0</v>
      </c>
      <c r="U36" s="636">
        <v>53208100100001</v>
      </c>
      <c r="V36" s="637" t="s">
        <v>129</v>
      </c>
      <c r="W36" s="638">
        <v>0</v>
      </c>
    </row>
    <row r="37" spans="1:23" ht="12.75" customHeight="1" x14ac:dyDescent="0.2">
      <c r="A37" s="827"/>
      <c r="B37" s="830"/>
      <c r="C37" s="621"/>
      <c r="D37" s="622"/>
      <c r="E37" s="623"/>
      <c r="F37" s="624" t="s">
        <v>117</v>
      </c>
      <c r="G37" s="599">
        <v>0</v>
      </c>
      <c r="H37" s="599">
        <v>0</v>
      </c>
      <c r="I37" s="625">
        <v>0</v>
      </c>
      <c r="J37" s="626">
        <f t="shared" si="5"/>
        <v>0</v>
      </c>
      <c r="K37" s="627">
        <f t="shared" si="0"/>
        <v>0</v>
      </c>
      <c r="L37" s="568"/>
      <c r="M37" s="628">
        <v>0</v>
      </c>
      <c r="N37" s="629">
        <f t="shared" si="1"/>
        <v>0</v>
      </c>
      <c r="O37" s="628">
        <v>0</v>
      </c>
      <c r="P37" s="630">
        <f t="shared" si="2"/>
        <v>0</v>
      </c>
      <c r="Q37" s="631">
        <v>0</v>
      </c>
      <c r="R37" s="629">
        <f t="shared" si="3"/>
        <v>0</v>
      </c>
      <c r="S37" s="632">
        <f t="shared" si="6"/>
        <v>0</v>
      </c>
      <c r="U37" s="636">
        <v>53211030000000</v>
      </c>
      <c r="V37" s="637" t="s">
        <v>32</v>
      </c>
      <c r="W37" s="638">
        <v>0</v>
      </c>
    </row>
    <row r="38" spans="1:23" ht="12.75" customHeight="1" x14ac:dyDescent="0.2">
      <c r="A38" s="827"/>
      <c r="B38" s="830"/>
      <c r="C38" s="621"/>
      <c r="D38" s="622"/>
      <c r="E38" s="623"/>
      <c r="F38" s="624" t="s">
        <v>117</v>
      </c>
      <c r="G38" s="599">
        <v>0</v>
      </c>
      <c r="H38" s="599">
        <v>0</v>
      </c>
      <c r="I38" s="625">
        <v>0</v>
      </c>
      <c r="J38" s="626">
        <f t="shared" si="5"/>
        <v>0</v>
      </c>
      <c r="K38" s="627">
        <f t="shared" si="0"/>
        <v>0</v>
      </c>
      <c r="L38" s="568"/>
      <c r="M38" s="628">
        <v>0</v>
      </c>
      <c r="N38" s="629">
        <f t="shared" si="1"/>
        <v>0</v>
      </c>
      <c r="O38" s="628">
        <v>0</v>
      </c>
      <c r="P38" s="630">
        <f t="shared" si="2"/>
        <v>0</v>
      </c>
      <c r="Q38" s="631">
        <v>0</v>
      </c>
      <c r="R38" s="629">
        <f t="shared" si="3"/>
        <v>0</v>
      </c>
      <c r="S38" s="632">
        <f t="shared" si="6"/>
        <v>0</v>
      </c>
      <c r="U38" s="636">
        <v>53212020100000</v>
      </c>
      <c r="V38" s="637" t="s">
        <v>97</v>
      </c>
      <c r="W38" s="638">
        <v>1484000</v>
      </c>
    </row>
    <row r="39" spans="1:23" ht="12.75" customHeight="1" thickBot="1" x14ac:dyDescent="0.25">
      <c r="A39" s="827"/>
      <c r="B39" s="831"/>
      <c r="C39" s="643"/>
      <c r="D39" s="644"/>
      <c r="E39" s="645"/>
      <c r="F39" s="646" t="s">
        <v>117</v>
      </c>
      <c r="G39" s="647">
        <v>0</v>
      </c>
      <c r="H39" s="647">
        <v>0</v>
      </c>
      <c r="I39" s="648">
        <v>0</v>
      </c>
      <c r="J39" s="649">
        <f t="shared" si="5"/>
        <v>0</v>
      </c>
      <c r="K39" s="650">
        <f t="shared" si="0"/>
        <v>0</v>
      </c>
      <c r="L39" s="568"/>
      <c r="M39" s="651">
        <v>0</v>
      </c>
      <c r="N39" s="652">
        <f t="shared" si="1"/>
        <v>0</v>
      </c>
      <c r="O39" s="651">
        <v>0</v>
      </c>
      <c r="P39" s="653">
        <f t="shared" si="2"/>
        <v>0</v>
      </c>
      <c r="Q39" s="654">
        <v>0</v>
      </c>
      <c r="R39" s="652">
        <f t="shared" si="3"/>
        <v>0</v>
      </c>
      <c r="S39" s="655">
        <f t="shared" si="6"/>
        <v>0</v>
      </c>
      <c r="U39" s="636">
        <v>53214020000000</v>
      </c>
      <c r="V39" s="637" t="s">
        <v>33</v>
      </c>
      <c r="W39" s="638">
        <v>0</v>
      </c>
    </row>
    <row r="40" spans="1:23" ht="12.75" customHeight="1" x14ac:dyDescent="0.2">
      <c r="A40" s="827"/>
      <c r="B40" s="832" t="s">
        <v>118</v>
      </c>
      <c r="C40" s="656" t="s">
        <v>286</v>
      </c>
      <c r="D40" s="657" t="s">
        <v>287</v>
      </c>
      <c r="E40" s="658" t="s">
        <v>288</v>
      </c>
      <c r="F40" s="659" t="s">
        <v>117</v>
      </c>
      <c r="G40" s="600">
        <f>620150*12</f>
        <v>7441800</v>
      </c>
      <c r="H40" s="600">
        <v>330500</v>
      </c>
      <c r="I40" s="601">
        <v>166178</v>
      </c>
      <c r="J40" s="660">
        <f t="shared" ref="J40:J61" si="7">SUM(G40:I40)</f>
        <v>7938478</v>
      </c>
      <c r="K40" s="661">
        <f t="shared" si="0"/>
        <v>8811710.5800000001</v>
      </c>
      <c r="L40" s="568"/>
      <c r="M40" s="604">
        <v>0</v>
      </c>
      <c r="N40" s="605">
        <f t="shared" si="1"/>
        <v>0</v>
      </c>
      <c r="O40" s="604">
        <v>0</v>
      </c>
      <c r="P40" s="606">
        <f t="shared" si="2"/>
        <v>0</v>
      </c>
      <c r="Q40" s="607">
        <v>1</v>
      </c>
      <c r="R40" s="605">
        <f t="shared" si="3"/>
        <v>8811710.5800000001</v>
      </c>
      <c r="S40" s="608">
        <f t="shared" si="6"/>
        <v>1</v>
      </c>
      <c r="U40" s="609"/>
      <c r="V40" s="610" t="s">
        <v>34</v>
      </c>
      <c r="W40" s="611">
        <f>SUM(W41,W46,W49,W60,W70,W78)</f>
        <v>3593800</v>
      </c>
    </row>
    <row r="41" spans="1:23" ht="12.75" customHeight="1" x14ac:dyDescent="0.2">
      <c r="A41" s="827"/>
      <c r="B41" s="833"/>
      <c r="C41" s="662"/>
      <c r="D41" s="663"/>
      <c r="E41" s="664"/>
      <c r="F41" s="665" t="s">
        <v>117</v>
      </c>
      <c r="G41" s="599">
        <v>0</v>
      </c>
      <c r="H41" s="599">
        <v>0</v>
      </c>
      <c r="I41" s="625">
        <v>0</v>
      </c>
      <c r="J41" s="666">
        <f t="shared" si="7"/>
        <v>0</v>
      </c>
      <c r="K41" s="667">
        <f t="shared" si="0"/>
        <v>0</v>
      </c>
      <c r="L41" s="568"/>
      <c r="M41" s="628">
        <v>0</v>
      </c>
      <c r="N41" s="629">
        <f t="shared" si="1"/>
        <v>0</v>
      </c>
      <c r="O41" s="628">
        <v>0</v>
      </c>
      <c r="P41" s="630">
        <f t="shared" si="2"/>
        <v>0</v>
      </c>
      <c r="Q41" s="631">
        <v>0</v>
      </c>
      <c r="R41" s="629">
        <f t="shared" si="3"/>
        <v>0</v>
      </c>
      <c r="S41" s="632">
        <f t="shared" si="6"/>
        <v>0</v>
      </c>
      <c r="U41" s="633"/>
      <c r="V41" s="634" t="s">
        <v>35</v>
      </c>
      <c r="W41" s="635">
        <f>SUM(W42:W45)</f>
        <v>0</v>
      </c>
    </row>
    <row r="42" spans="1:23" ht="12.75" customHeight="1" x14ac:dyDescent="0.2">
      <c r="A42" s="827"/>
      <c r="B42" s="833"/>
      <c r="C42" s="662"/>
      <c r="D42" s="663"/>
      <c r="E42" s="664"/>
      <c r="F42" s="665" t="s">
        <v>117</v>
      </c>
      <c r="G42" s="599">
        <v>0</v>
      </c>
      <c r="H42" s="599">
        <v>0</v>
      </c>
      <c r="I42" s="625">
        <v>0</v>
      </c>
      <c r="J42" s="666">
        <f t="shared" si="7"/>
        <v>0</v>
      </c>
      <c r="K42" s="667">
        <f t="shared" si="0"/>
        <v>0</v>
      </c>
      <c r="L42" s="568"/>
      <c r="M42" s="628">
        <v>0</v>
      </c>
      <c r="N42" s="629">
        <f t="shared" si="1"/>
        <v>0</v>
      </c>
      <c r="O42" s="628">
        <v>0</v>
      </c>
      <c r="P42" s="630">
        <f t="shared" si="2"/>
        <v>0</v>
      </c>
      <c r="Q42" s="631">
        <v>0</v>
      </c>
      <c r="R42" s="629">
        <f t="shared" si="3"/>
        <v>0</v>
      </c>
      <c r="S42" s="632">
        <f t="shared" si="6"/>
        <v>0</v>
      </c>
      <c r="U42" s="636">
        <v>53202020100000</v>
      </c>
      <c r="V42" s="637" t="s">
        <v>39</v>
      </c>
      <c r="W42" s="638">
        <v>0</v>
      </c>
    </row>
    <row r="43" spans="1:23" ht="12.75" customHeight="1" x14ac:dyDescent="0.2">
      <c r="A43" s="827"/>
      <c r="B43" s="833"/>
      <c r="C43" s="662"/>
      <c r="D43" s="663"/>
      <c r="E43" s="664"/>
      <c r="F43" s="665" t="s">
        <v>117</v>
      </c>
      <c r="G43" s="599">
        <v>0</v>
      </c>
      <c r="H43" s="599">
        <v>0</v>
      </c>
      <c r="I43" s="625">
        <v>0</v>
      </c>
      <c r="J43" s="666">
        <f t="shared" si="7"/>
        <v>0</v>
      </c>
      <c r="K43" s="667">
        <f t="shared" si="0"/>
        <v>0</v>
      </c>
      <c r="L43" s="568"/>
      <c r="M43" s="628">
        <v>0</v>
      </c>
      <c r="N43" s="629">
        <f t="shared" si="1"/>
        <v>0</v>
      </c>
      <c r="O43" s="628">
        <v>0</v>
      </c>
      <c r="P43" s="630">
        <f t="shared" si="2"/>
        <v>0</v>
      </c>
      <c r="Q43" s="631">
        <v>0</v>
      </c>
      <c r="R43" s="629">
        <f t="shared" si="3"/>
        <v>0</v>
      </c>
      <c r="S43" s="632">
        <f t="shared" si="6"/>
        <v>0</v>
      </c>
      <c r="U43" s="636">
        <v>53202030000000</v>
      </c>
      <c r="V43" s="637" t="s">
        <v>40</v>
      </c>
      <c r="W43" s="638">
        <v>0</v>
      </c>
    </row>
    <row r="44" spans="1:23" ht="12.75" customHeight="1" x14ac:dyDescent="0.2">
      <c r="A44" s="827"/>
      <c r="B44" s="833"/>
      <c r="C44" s="662"/>
      <c r="D44" s="663"/>
      <c r="E44" s="664"/>
      <c r="F44" s="665" t="s">
        <v>117</v>
      </c>
      <c r="G44" s="599">
        <v>0</v>
      </c>
      <c r="H44" s="599">
        <v>0</v>
      </c>
      <c r="I44" s="625">
        <v>0</v>
      </c>
      <c r="J44" s="666">
        <f t="shared" si="7"/>
        <v>0</v>
      </c>
      <c r="K44" s="667">
        <f t="shared" si="0"/>
        <v>0</v>
      </c>
      <c r="L44" s="568"/>
      <c r="M44" s="628">
        <v>0</v>
      </c>
      <c r="N44" s="629">
        <f t="shared" si="1"/>
        <v>0</v>
      </c>
      <c r="O44" s="628">
        <v>0</v>
      </c>
      <c r="P44" s="630">
        <f t="shared" si="2"/>
        <v>0</v>
      </c>
      <c r="Q44" s="631">
        <v>0</v>
      </c>
      <c r="R44" s="629">
        <f t="shared" si="3"/>
        <v>0</v>
      </c>
      <c r="S44" s="632">
        <f t="shared" si="6"/>
        <v>0</v>
      </c>
      <c r="U44" s="636">
        <v>53211020000000</v>
      </c>
      <c r="V44" s="637" t="s">
        <v>41</v>
      </c>
      <c r="W44" s="638">
        <v>0</v>
      </c>
    </row>
    <row r="45" spans="1:23" ht="12.75" customHeight="1" x14ac:dyDescent="0.2">
      <c r="A45" s="827"/>
      <c r="B45" s="833"/>
      <c r="C45" s="662"/>
      <c r="D45" s="663"/>
      <c r="E45" s="664"/>
      <c r="F45" s="665" t="s">
        <v>117</v>
      </c>
      <c r="G45" s="599">
        <v>0</v>
      </c>
      <c r="H45" s="599">
        <v>0</v>
      </c>
      <c r="I45" s="625">
        <v>0</v>
      </c>
      <c r="J45" s="666">
        <f t="shared" si="7"/>
        <v>0</v>
      </c>
      <c r="K45" s="667">
        <f t="shared" si="0"/>
        <v>0</v>
      </c>
      <c r="L45" s="568"/>
      <c r="M45" s="628">
        <v>0</v>
      </c>
      <c r="N45" s="629">
        <f t="shared" si="1"/>
        <v>0</v>
      </c>
      <c r="O45" s="628">
        <v>0</v>
      </c>
      <c r="P45" s="630">
        <f t="shared" si="2"/>
        <v>0</v>
      </c>
      <c r="Q45" s="631">
        <v>0</v>
      </c>
      <c r="R45" s="629">
        <f t="shared" si="3"/>
        <v>0</v>
      </c>
      <c r="S45" s="632">
        <f t="shared" si="6"/>
        <v>0</v>
      </c>
      <c r="U45" s="636">
        <v>53101004030000</v>
      </c>
      <c r="V45" s="637" t="s">
        <v>38</v>
      </c>
      <c r="W45" s="638">
        <v>0</v>
      </c>
    </row>
    <row r="46" spans="1:23" ht="12.75" customHeight="1" x14ac:dyDescent="0.2">
      <c r="A46" s="827"/>
      <c r="B46" s="833"/>
      <c r="C46" s="662"/>
      <c r="D46" s="663"/>
      <c r="E46" s="664"/>
      <c r="F46" s="665" t="s">
        <v>117</v>
      </c>
      <c r="G46" s="599">
        <v>0</v>
      </c>
      <c r="H46" s="599">
        <v>0</v>
      </c>
      <c r="I46" s="625">
        <v>0</v>
      </c>
      <c r="J46" s="666">
        <f t="shared" si="7"/>
        <v>0</v>
      </c>
      <c r="K46" s="667">
        <f t="shared" si="0"/>
        <v>0</v>
      </c>
      <c r="L46" s="568"/>
      <c r="M46" s="628">
        <v>0</v>
      </c>
      <c r="N46" s="629">
        <f t="shared" si="1"/>
        <v>0</v>
      </c>
      <c r="O46" s="628">
        <v>0</v>
      </c>
      <c r="P46" s="630">
        <f t="shared" si="2"/>
        <v>0</v>
      </c>
      <c r="Q46" s="631">
        <v>0</v>
      </c>
      <c r="R46" s="629">
        <f t="shared" si="3"/>
        <v>0</v>
      </c>
      <c r="S46" s="632">
        <f t="shared" si="6"/>
        <v>0</v>
      </c>
      <c r="U46" s="633"/>
      <c r="V46" s="634" t="s">
        <v>42</v>
      </c>
      <c r="W46" s="635">
        <f>SUM(W47:W48)</f>
        <v>0</v>
      </c>
    </row>
    <row r="47" spans="1:23" ht="12.75" customHeight="1" x14ac:dyDescent="0.2">
      <c r="A47" s="827"/>
      <c r="B47" s="833"/>
      <c r="C47" s="662"/>
      <c r="D47" s="663"/>
      <c r="E47" s="664"/>
      <c r="F47" s="665" t="s">
        <v>117</v>
      </c>
      <c r="G47" s="599">
        <v>0</v>
      </c>
      <c r="H47" s="599">
        <v>0</v>
      </c>
      <c r="I47" s="625">
        <v>0</v>
      </c>
      <c r="J47" s="666">
        <f t="shared" si="7"/>
        <v>0</v>
      </c>
      <c r="K47" s="667">
        <f t="shared" si="0"/>
        <v>0</v>
      </c>
      <c r="L47" s="568"/>
      <c r="M47" s="628">
        <v>0</v>
      </c>
      <c r="N47" s="629">
        <f t="shared" si="1"/>
        <v>0</v>
      </c>
      <c r="O47" s="628">
        <v>0</v>
      </c>
      <c r="P47" s="630">
        <f t="shared" si="2"/>
        <v>0</v>
      </c>
      <c r="Q47" s="631">
        <v>0</v>
      </c>
      <c r="R47" s="629">
        <f t="shared" si="3"/>
        <v>0</v>
      </c>
      <c r="S47" s="632">
        <f t="shared" si="6"/>
        <v>0</v>
      </c>
      <c r="U47" s="636">
        <v>53205080000000</v>
      </c>
      <c r="V47" s="637" t="s">
        <v>43</v>
      </c>
      <c r="W47" s="638">
        <v>0</v>
      </c>
    </row>
    <row r="48" spans="1:23" ht="12.75" customHeight="1" x14ac:dyDescent="0.2">
      <c r="A48" s="827"/>
      <c r="B48" s="833"/>
      <c r="C48" s="662"/>
      <c r="D48" s="663"/>
      <c r="E48" s="664"/>
      <c r="F48" s="665" t="s">
        <v>117</v>
      </c>
      <c r="G48" s="599">
        <v>0</v>
      </c>
      <c r="H48" s="599">
        <v>0</v>
      </c>
      <c r="I48" s="625">
        <v>0</v>
      </c>
      <c r="J48" s="666">
        <f t="shared" si="7"/>
        <v>0</v>
      </c>
      <c r="K48" s="667">
        <f t="shared" si="0"/>
        <v>0</v>
      </c>
      <c r="L48" s="568"/>
      <c r="M48" s="628">
        <v>0</v>
      </c>
      <c r="N48" s="629">
        <f t="shared" si="1"/>
        <v>0</v>
      </c>
      <c r="O48" s="628">
        <v>0</v>
      </c>
      <c r="P48" s="630">
        <f t="shared" si="2"/>
        <v>0</v>
      </c>
      <c r="Q48" s="631">
        <v>0</v>
      </c>
      <c r="R48" s="629">
        <f t="shared" si="3"/>
        <v>0</v>
      </c>
      <c r="S48" s="632">
        <f t="shared" si="6"/>
        <v>0</v>
      </c>
      <c r="U48" s="636">
        <v>53205990000000</v>
      </c>
      <c r="V48" s="637" t="s">
        <v>44</v>
      </c>
      <c r="W48" s="638">
        <v>0</v>
      </c>
    </row>
    <row r="49" spans="1:23" ht="12.75" customHeight="1" x14ac:dyDescent="0.2">
      <c r="A49" s="827"/>
      <c r="B49" s="833"/>
      <c r="C49" s="662"/>
      <c r="D49" s="663"/>
      <c r="E49" s="664"/>
      <c r="F49" s="665" t="s">
        <v>117</v>
      </c>
      <c r="G49" s="599">
        <v>0</v>
      </c>
      <c r="H49" s="599">
        <v>0</v>
      </c>
      <c r="I49" s="625">
        <v>0</v>
      </c>
      <c r="J49" s="666">
        <f t="shared" si="7"/>
        <v>0</v>
      </c>
      <c r="K49" s="667">
        <f t="shared" si="0"/>
        <v>0</v>
      </c>
      <c r="L49" s="568"/>
      <c r="M49" s="628">
        <v>0</v>
      </c>
      <c r="N49" s="629">
        <f t="shared" si="1"/>
        <v>0</v>
      </c>
      <c r="O49" s="628">
        <v>0</v>
      </c>
      <c r="P49" s="630">
        <f t="shared" si="2"/>
        <v>0</v>
      </c>
      <c r="Q49" s="631">
        <v>0</v>
      </c>
      <c r="R49" s="629">
        <f t="shared" si="3"/>
        <v>0</v>
      </c>
      <c r="S49" s="632">
        <f t="shared" si="6"/>
        <v>0</v>
      </c>
      <c r="U49" s="633"/>
      <c r="V49" s="634" t="s">
        <v>45</v>
      </c>
      <c r="W49" s="635">
        <f>SUM(W50:W59)</f>
        <v>3593800</v>
      </c>
    </row>
    <row r="50" spans="1:23" ht="12.75" customHeight="1" x14ac:dyDescent="0.2">
      <c r="A50" s="827"/>
      <c r="B50" s="833"/>
      <c r="C50" s="662"/>
      <c r="D50" s="663"/>
      <c r="E50" s="664"/>
      <c r="F50" s="665" t="s">
        <v>117</v>
      </c>
      <c r="G50" s="599">
        <v>0</v>
      </c>
      <c r="H50" s="599">
        <v>0</v>
      </c>
      <c r="I50" s="625">
        <v>0</v>
      </c>
      <c r="J50" s="666">
        <f t="shared" si="7"/>
        <v>0</v>
      </c>
      <c r="K50" s="667">
        <f t="shared" si="0"/>
        <v>0</v>
      </c>
      <c r="L50" s="568"/>
      <c r="M50" s="628">
        <v>0</v>
      </c>
      <c r="N50" s="629">
        <f t="shared" si="1"/>
        <v>0</v>
      </c>
      <c r="O50" s="628">
        <v>0</v>
      </c>
      <c r="P50" s="630">
        <f t="shared" si="2"/>
        <v>0</v>
      </c>
      <c r="Q50" s="631">
        <v>0</v>
      </c>
      <c r="R50" s="629">
        <f t="shared" si="3"/>
        <v>0</v>
      </c>
      <c r="S50" s="632">
        <f t="shared" si="6"/>
        <v>0</v>
      </c>
      <c r="U50" s="636">
        <v>53203010200000</v>
      </c>
      <c r="V50" s="637" t="s">
        <v>46</v>
      </c>
      <c r="W50" s="638">
        <v>779100</v>
      </c>
    </row>
    <row r="51" spans="1:23" ht="12.75" customHeight="1" x14ac:dyDescent="0.2">
      <c r="A51" s="827"/>
      <c r="B51" s="833"/>
      <c r="C51" s="662"/>
      <c r="D51" s="663"/>
      <c r="E51" s="664"/>
      <c r="F51" s="665" t="s">
        <v>117</v>
      </c>
      <c r="G51" s="599">
        <v>0</v>
      </c>
      <c r="H51" s="599">
        <v>0</v>
      </c>
      <c r="I51" s="625">
        <v>0</v>
      </c>
      <c r="J51" s="666">
        <f t="shared" si="7"/>
        <v>0</v>
      </c>
      <c r="K51" s="667">
        <f t="shared" si="0"/>
        <v>0</v>
      </c>
      <c r="L51" s="568"/>
      <c r="M51" s="628">
        <v>0</v>
      </c>
      <c r="N51" s="629">
        <f t="shared" si="1"/>
        <v>0</v>
      </c>
      <c r="O51" s="628">
        <v>0</v>
      </c>
      <c r="P51" s="630">
        <f t="shared" si="2"/>
        <v>0</v>
      </c>
      <c r="Q51" s="631">
        <v>0</v>
      </c>
      <c r="R51" s="629">
        <f t="shared" si="3"/>
        <v>0</v>
      </c>
      <c r="S51" s="632">
        <f t="shared" si="6"/>
        <v>0</v>
      </c>
      <c r="U51" s="636">
        <v>53204010000000</v>
      </c>
      <c r="V51" s="637" t="s">
        <v>47</v>
      </c>
      <c r="W51" s="638">
        <v>2114700</v>
      </c>
    </row>
    <row r="52" spans="1:23" ht="12.75" customHeight="1" x14ac:dyDescent="0.2">
      <c r="A52" s="827"/>
      <c r="B52" s="833"/>
      <c r="C52" s="662"/>
      <c r="D52" s="663"/>
      <c r="E52" s="664"/>
      <c r="F52" s="665" t="s">
        <v>117</v>
      </c>
      <c r="G52" s="599">
        <v>0</v>
      </c>
      <c r="H52" s="599">
        <v>0</v>
      </c>
      <c r="I52" s="625">
        <v>0</v>
      </c>
      <c r="J52" s="666">
        <f t="shared" si="7"/>
        <v>0</v>
      </c>
      <c r="K52" s="667">
        <f t="shared" si="0"/>
        <v>0</v>
      </c>
      <c r="L52" s="568"/>
      <c r="M52" s="628">
        <v>0</v>
      </c>
      <c r="N52" s="629">
        <f t="shared" si="1"/>
        <v>0</v>
      </c>
      <c r="O52" s="628">
        <v>0</v>
      </c>
      <c r="P52" s="630">
        <f t="shared" si="2"/>
        <v>0</v>
      </c>
      <c r="Q52" s="631">
        <v>0</v>
      </c>
      <c r="R52" s="629">
        <f t="shared" si="3"/>
        <v>0</v>
      </c>
      <c r="S52" s="632">
        <f t="shared" si="6"/>
        <v>0</v>
      </c>
      <c r="U52" s="636">
        <v>53204040200000</v>
      </c>
      <c r="V52" s="637" t="s">
        <v>48</v>
      </c>
      <c r="W52" s="638">
        <v>0</v>
      </c>
    </row>
    <row r="53" spans="1:23" ht="12.75" customHeight="1" x14ac:dyDescent="0.2">
      <c r="A53" s="827"/>
      <c r="B53" s="833"/>
      <c r="C53" s="662"/>
      <c r="D53" s="663"/>
      <c r="E53" s="664"/>
      <c r="F53" s="665" t="s">
        <v>117</v>
      </c>
      <c r="G53" s="599">
        <v>0</v>
      </c>
      <c r="H53" s="599">
        <v>0</v>
      </c>
      <c r="I53" s="625">
        <v>0</v>
      </c>
      <c r="J53" s="666">
        <f t="shared" si="7"/>
        <v>0</v>
      </c>
      <c r="K53" s="667">
        <f t="shared" si="0"/>
        <v>0</v>
      </c>
      <c r="L53" s="568"/>
      <c r="M53" s="628">
        <v>0</v>
      </c>
      <c r="N53" s="629">
        <f t="shared" si="1"/>
        <v>0</v>
      </c>
      <c r="O53" s="628">
        <v>0</v>
      </c>
      <c r="P53" s="630">
        <f t="shared" si="2"/>
        <v>0</v>
      </c>
      <c r="Q53" s="631">
        <v>0</v>
      </c>
      <c r="R53" s="629">
        <f t="shared" si="3"/>
        <v>0</v>
      </c>
      <c r="S53" s="632">
        <f t="shared" si="6"/>
        <v>0</v>
      </c>
      <c r="U53" s="636">
        <v>53204060000000</v>
      </c>
      <c r="V53" s="637" t="s">
        <v>49</v>
      </c>
      <c r="W53" s="638">
        <v>0</v>
      </c>
    </row>
    <row r="54" spans="1:23" ht="12.75" customHeight="1" x14ac:dyDescent="0.2">
      <c r="A54" s="827"/>
      <c r="B54" s="833"/>
      <c r="C54" s="662"/>
      <c r="D54" s="663"/>
      <c r="E54" s="664"/>
      <c r="F54" s="665" t="s">
        <v>117</v>
      </c>
      <c r="G54" s="599">
        <v>0</v>
      </c>
      <c r="H54" s="599">
        <v>0</v>
      </c>
      <c r="I54" s="625">
        <v>0</v>
      </c>
      <c r="J54" s="666">
        <f t="shared" si="7"/>
        <v>0</v>
      </c>
      <c r="K54" s="667">
        <f t="shared" si="0"/>
        <v>0</v>
      </c>
      <c r="L54" s="568"/>
      <c r="M54" s="628">
        <v>0</v>
      </c>
      <c r="N54" s="629">
        <f t="shared" si="1"/>
        <v>0</v>
      </c>
      <c r="O54" s="628">
        <v>0</v>
      </c>
      <c r="P54" s="630">
        <f t="shared" si="2"/>
        <v>0</v>
      </c>
      <c r="Q54" s="631">
        <v>0</v>
      </c>
      <c r="R54" s="629">
        <f t="shared" si="3"/>
        <v>0</v>
      </c>
      <c r="S54" s="632">
        <f t="shared" si="6"/>
        <v>0</v>
      </c>
      <c r="U54" s="636">
        <v>53204070000000</v>
      </c>
      <c r="V54" s="637" t="s">
        <v>50</v>
      </c>
      <c r="W54" s="638">
        <v>700000</v>
      </c>
    </row>
    <row r="55" spans="1:23" ht="12.75" customHeight="1" x14ac:dyDescent="0.2">
      <c r="A55" s="827"/>
      <c r="B55" s="833"/>
      <c r="C55" s="662"/>
      <c r="D55" s="663"/>
      <c r="E55" s="664"/>
      <c r="F55" s="665" t="s">
        <v>117</v>
      </c>
      <c r="G55" s="599">
        <v>0</v>
      </c>
      <c r="H55" s="599">
        <v>0</v>
      </c>
      <c r="I55" s="625">
        <v>0</v>
      </c>
      <c r="J55" s="666">
        <f t="shared" si="7"/>
        <v>0</v>
      </c>
      <c r="K55" s="667">
        <f t="shared" si="0"/>
        <v>0</v>
      </c>
      <c r="L55" s="568"/>
      <c r="M55" s="628">
        <v>0</v>
      </c>
      <c r="N55" s="629">
        <f t="shared" si="1"/>
        <v>0</v>
      </c>
      <c r="O55" s="628">
        <v>0</v>
      </c>
      <c r="P55" s="630">
        <f t="shared" si="2"/>
        <v>0</v>
      </c>
      <c r="Q55" s="631">
        <v>0</v>
      </c>
      <c r="R55" s="629">
        <f t="shared" si="3"/>
        <v>0</v>
      </c>
      <c r="S55" s="632">
        <f t="shared" si="6"/>
        <v>0</v>
      </c>
      <c r="U55" s="636">
        <v>53204080000000</v>
      </c>
      <c r="V55" s="637" t="s">
        <v>51</v>
      </c>
      <c r="W55" s="638">
        <v>0</v>
      </c>
    </row>
    <row r="56" spans="1:23" ht="12.75" customHeight="1" x14ac:dyDescent="0.2">
      <c r="A56" s="827"/>
      <c r="B56" s="833"/>
      <c r="C56" s="662"/>
      <c r="D56" s="663"/>
      <c r="E56" s="664"/>
      <c r="F56" s="665" t="s">
        <v>117</v>
      </c>
      <c r="G56" s="599">
        <v>0</v>
      </c>
      <c r="H56" s="599">
        <v>0</v>
      </c>
      <c r="I56" s="625">
        <v>0</v>
      </c>
      <c r="J56" s="666">
        <f t="shared" si="7"/>
        <v>0</v>
      </c>
      <c r="K56" s="667">
        <f t="shared" si="0"/>
        <v>0</v>
      </c>
      <c r="L56" s="568"/>
      <c r="M56" s="628">
        <v>0</v>
      </c>
      <c r="N56" s="629">
        <f t="shared" si="1"/>
        <v>0</v>
      </c>
      <c r="O56" s="628">
        <v>0</v>
      </c>
      <c r="P56" s="630">
        <f t="shared" si="2"/>
        <v>0</v>
      </c>
      <c r="Q56" s="631">
        <v>0</v>
      </c>
      <c r="R56" s="629">
        <f t="shared" si="3"/>
        <v>0</v>
      </c>
      <c r="S56" s="632">
        <f t="shared" si="6"/>
        <v>0</v>
      </c>
      <c r="U56" s="636">
        <v>53214010000000</v>
      </c>
      <c r="V56" s="637" t="s">
        <v>52</v>
      </c>
      <c r="W56" s="638">
        <v>0</v>
      </c>
    </row>
    <row r="57" spans="1:23" ht="12.75" customHeight="1" x14ac:dyDescent="0.2">
      <c r="A57" s="827"/>
      <c r="B57" s="833"/>
      <c r="C57" s="662"/>
      <c r="D57" s="663"/>
      <c r="E57" s="664"/>
      <c r="F57" s="665" t="s">
        <v>117</v>
      </c>
      <c r="G57" s="599">
        <v>0</v>
      </c>
      <c r="H57" s="599">
        <v>0</v>
      </c>
      <c r="I57" s="625">
        <v>0</v>
      </c>
      <c r="J57" s="666">
        <f t="shared" si="7"/>
        <v>0</v>
      </c>
      <c r="K57" s="667">
        <f t="shared" si="0"/>
        <v>0</v>
      </c>
      <c r="L57" s="568"/>
      <c r="M57" s="628">
        <v>0</v>
      </c>
      <c r="N57" s="629">
        <f t="shared" si="1"/>
        <v>0</v>
      </c>
      <c r="O57" s="628">
        <v>0</v>
      </c>
      <c r="P57" s="630">
        <f t="shared" si="2"/>
        <v>0</v>
      </c>
      <c r="Q57" s="631">
        <v>0</v>
      </c>
      <c r="R57" s="629">
        <f t="shared" si="3"/>
        <v>0</v>
      </c>
      <c r="S57" s="632">
        <f t="shared" si="6"/>
        <v>0</v>
      </c>
      <c r="U57" s="636">
        <v>53214040000000</v>
      </c>
      <c r="V57" s="637" t="s">
        <v>130</v>
      </c>
      <c r="W57" s="638">
        <v>0</v>
      </c>
    </row>
    <row r="58" spans="1:23" ht="12.75" customHeight="1" x14ac:dyDescent="0.2">
      <c r="A58" s="827"/>
      <c r="B58" s="833"/>
      <c r="C58" s="662"/>
      <c r="D58" s="663"/>
      <c r="E58" s="664"/>
      <c r="F58" s="665" t="s">
        <v>117</v>
      </c>
      <c r="G58" s="599">
        <v>0</v>
      </c>
      <c r="H58" s="599">
        <v>0</v>
      </c>
      <c r="I58" s="625">
        <v>0</v>
      </c>
      <c r="J58" s="666">
        <f t="shared" si="7"/>
        <v>0</v>
      </c>
      <c r="K58" s="667">
        <f t="shared" si="0"/>
        <v>0</v>
      </c>
      <c r="L58" s="568"/>
      <c r="M58" s="628">
        <v>0</v>
      </c>
      <c r="N58" s="629">
        <f t="shared" si="1"/>
        <v>0</v>
      </c>
      <c r="O58" s="628">
        <v>0</v>
      </c>
      <c r="P58" s="630">
        <f t="shared" si="2"/>
        <v>0</v>
      </c>
      <c r="Q58" s="631">
        <v>0</v>
      </c>
      <c r="R58" s="629">
        <f t="shared" si="3"/>
        <v>0</v>
      </c>
      <c r="S58" s="632">
        <f t="shared" si="6"/>
        <v>0</v>
      </c>
      <c r="U58" s="636">
        <v>55201010100004</v>
      </c>
      <c r="V58" s="637" t="s">
        <v>53</v>
      </c>
      <c r="W58" s="638">
        <v>0</v>
      </c>
    </row>
    <row r="59" spans="1:23" ht="12.75" customHeight="1" x14ac:dyDescent="0.2">
      <c r="A59" s="827"/>
      <c r="B59" s="833"/>
      <c r="C59" s="662"/>
      <c r="D59" s="663"/>
      <c r="E59" s="664"/>
      <c r="F59" s="665" t="s">
        <v>117</v>
      </c>
      <c r="G59" s="599">
        <v>0</v>
      </c>
      <c r="H59" s="599">
        <v>0</v>
      </c>
      <c r="I59" s="625">
        <v>0</v>
      </c>
      <c r="J59" s="666">
        <f t="shared" si="7"/>
        <v>0</v>
      </c>
      <c r="K59" s="667">
        <f t="shared" si="0"/>
        <v>0</v>
      </c>
      <c r="L59" s="568"/>
      <c r="M59" s="628">
        <v>0</v>
      </c>
      <c r="N59" s="629">
        <f t="shared" si="1"/>
        <v>0</v>
      </c>
      <c r="O59" s="628">
        <v>0</v>
      </c>
      <c r="P59" s="630">
        <f t="shared" si="2"/>
        <v>0</v>
      </c>
      <c r="Q59" s="631">
        <v>0</v>
      </c>
      <c r="R59" s="629">
        <f t="shared" si="3"/>
        <v>0</v>
      </c>
      <c r="S59" s="632">
        <f t="shared" si="6"/>
        <v>0</v>
      </c>
      <c r="U59" s="636">
        <v>55201010100005</v>
      </c>
      <c r="V59" s="637" t="s">
        <v>54</v>
      </c>
      <c r="W59" s="638">
        <v>0</v>
      </c>
    </row>
    <row r="60" spans="1:23" ht="12.75" customHeight="1" x14ac:dyDescent="0.2">
      <c r="A60" s="827"/>
      <c r="B60" s="833"/>
      <c r="C60" s="662"/>
      <c r="D60" s="663"/>
      <c r="E60" s="664"/>
      <c r="F60" s="665" t="s">
        <v>117</v>
      </c>
      <c r="G60" s="599">
        <v>0</v>
      </c>
      <c r="H60" s="599">
        <v>0</v>
      </c>
      <c r="I60" s="625">
        <v>0</v>
      </c>
      <c r="J60" s="666">
        <f t="shared" si="7"/>
        <v>0</v>
      </c>
      <c r="K60" s="667">
        <f t="shared" si="0"/>
        <v>0</v>
      </c>
      <c r="L60" s="568"/>
      <c r="M60" s="628">
        <v>0</v>
      </c>
      <c r="N60" s="629">
        <f t="shared" si="1"/>
        <v>0</v>
      </c>
      <c r="O60" s="628">
        <v>0</v>
      </c>
      <c r="P60" s="630">
        <f t="shared" si="2"/>
        <v>0</v>
      </c>
      <c r="Q60" s="631">
        <v>0</v>
      </c>
      <c r="R60" s="629">
        <f t="shared" si="3"/>
        <v>0</v>
      </c>
      <c r="S60" s="632">
        <f t="shared" si="6"/>
        <v>0</v>
      </c>
      <c r="U60" s="633"/>
      <c r="V60" s="634" t="s">
        <v>55</v>
      </c>
      <c r="W60" s="635">
        <f>SUM(W61:W69)</f>
        <v>0</v>
      </c>
    </row>
    <row r="61" spans="1:23" ht="12.75" customHeight="1" thickBot="1" x14ac:dyDescent="0.25">
      <c r="A61" s="828"/>
      <c r="B61" s="834"/>
      <c r="C61" s="643"/>
      <c r="D61" s="644"/>
      <c r="E61" s="645"/>
      <c r="F61" s="646" t="s">
        <v>117</v>
      </c>
      <c r="G61" s="647">
        <v>0</v>
      </c>
      <c r="H61" s="647">
        <v>0</v>
      </c>
      <c r="I61" s="648">
        <v>0</v>
      </c>
      <c r="J61" s="649">
        <f t="shared" si="7"/>
        <v>0</v>
      </c>
      <c r="K61" s="650">
        <f t="shared" si="0"/>
        <v>0</v>
      </c>
      <c r="L61" s="568"/>
      <c r="M61" s="668">
        <v>0</v>
      </c>
      <c r="N61" s="669">
        <f t="shared" si="1"/>
        <v>0</v>
      </c>
      <c r="O61" s="668">
        <v>0</v>
      </c>
      <c r="P61" s="670">
        <f t="shared" si="2"/>
        <v>0</v>
      </c>
      <c r="Q61" s="671">
        <v>0</v>
      </c>
      <c r="R61" s="669">
        <f t="shared" si="3"/>
        <v>0</v>
      </c>
      <c r="S61" s="655">
        <f t="shared" si="6"/>
        <v>0</v>
      </c>
      <c r="U61" s="636">
        <v>53207010000000</v>
      </c>
      <c r="V61" s="637" t="s">
        <v>56</v>
      </c>
      <c r="W61" s="638">
        <v>0</v>
      </c>
    </row>
    <row r="62" spans="1:23" ht="12.75" customHeight="1" thickBot="1" x14ac:dyDescent="0.25">
      <c r="K62" s="672">
        <f>SUM(K15:K61)</f>
        <v>59731020.299999997</v>
      </c>
      <c r="M62" s="673">
        <f>+N62/$K$62</f>
        <v>0.46886224620542782</v>
      </c>
      <c r="N62" s="674">
        <f>SUM(N15:N61)</f>
        <v>28005620.346000005</v>
      </c>
      <c r="O62" s="673">
        <f>+P62/$K$62</f>
        <v>0.29836688394890853</v>
      </c>
      <c r="P62" s="674">
        <f>SUM(P15:P61)</f>
        <v>17821758.401999999</v>
      </c>
      <c r="Q62" s="673">
        <f>+R62/$K$62</f>
        <v>0.23277086984566378</v>
      </c>
      <c r="R62" s="674">
        <f>SUM(R15:R61)</f>
        <v>13903641.552000001</v>
      </c>
      <c r="U62" s="636">
        <v>53207020000000</v>
      </c>
      <c r="V62" s="637" t="s">
        <v>57</v>
      </c>
      <c r="W62" s="638">
        <v>0</v>
      </c>
    </row>
    <row r="63" spans="1:23" ht="12.75" customHeight="1" x14ac:dyDescent="0.2">
      <c r="K63" s="675">
        <v>1</v>
      </c>
      <c r="U63" s="636">
        <v>53208020000000</v>
      </c>
      <c r="V63" s="637" t="s">
        <v>58</v>
      </c>
      <c r="W63" s="638">
        <v>0</v>
      </c>
    </row>
    <row r="64" spans="1:23" ht="12.75" customHeight="1" thickBot="1" x14ac:dyDescent="0.25">
      <c r="U64" s="636">
        <v>53208990000000</v>
      </c>
      <c r="V64" s="637" t="s">
        <v>59</v>
      </c>
      <c r="W64" s="638">
        <v>0</v>
      </c>
    </row>
    <row r="65" spans="1:23" ht="12.75" customHeight="1" x14ac:dyDescent="0.2">
      <c r="A65" s="820" t="s">
        <v>135</v>
      </c>
      <c r="B65" s="823" t="s">
        <v>320</v>
      </c>
      <c r="C65" s="595"/>
      <c r="D65" s="596"/>
      <c r="E65" s="597"/>
      <c r="F65" s="598" t="s">
        <v>119</v>
      </c>
      <c r="G65" s="600">
        <v>0</v>
      </c>
      <c r="H65" s="600">
        <v>0</v>
      </c>
      <c r="I65" s="601">
        <v>0</v>
      </c>
      <c r="J65" s="602">
        <f t="shared" si="5"/>
        <v>0</v>
      </c>
      <c r="K65" s="603">
        <f t="shared" si="0"/>
        <v>0</v>
      </c>
      <c r="L65" s="568"/>
      <c r="U65" s="636">
        <v>53209010000000</v>
      </c>
      <c r="V65" s="637" t="s">
        <v>60</v>
      </c>
      <c r="W65" s="638">
        <v>0</v>
      </c>
    </row>
    <row r="66" spans="1:23" ht="12.75" customHeight="1" x14ac:dyDescent="0.2">
      <c r="A66" s="821"/>
      <c r="B66" s="824"/>
      <c r="C66" s="676"/>
      <c r="D66" s="677"/>
      <c r="E66" s="678"/>
      <c r="F66" s="679" t="s">
        <v>119</v>
      </c>
      <c r="G66" s="599">
        <v>0</v>
      </c>
      <c r="H66" s="599">
        <v>0</v>
      </c>
      <c r="I66" s="625">
        <v>0</v>
      </c>
      <c r="J66" s="626">
        <f t="shared" si="5"/>
        <v>0</v>
      </c>
      <c r="K66" s="627">
        <f t="shared" si="0"/>
        <v>0</v>
      </c>
      <c r="L66" s="568"/>
      <c r="U66" s="636">
        <v>53209040000000</v>
      </c>
      <c r="V66" s="637" t="s">
        <v>61</v>
      </c>
      <c r="W66" s="638">
        <v>0</v>
      </c>
    </row>
    <row r="67" spans="1:23" ht="12.75" customHeight="1" x14ac:dyDescent="0.2">
      <c r="A67" s="821"/>
      <c r="B67" s="824"/>
      <c r="C67" s="676"/>
      <c r="D67" s="677"/>
      <c r="E67" s="678"/>
      <c r="F67" s="679" t="s">
        <v>119</v>
      </c>
      <c r="G67" s="599">
        <v>0</v>
      </c>
      <c r="H67" s="599">
        <v>0</v>
      </c>
      <c r="I67" s="625">
        <v>0</v>
      </c>
      <c r="J67" s="626">
        <f t="shared" si="5"/>
        <v>0</v>
      </c>
      <c r="K67" s="627">
        <f t="shared" si="0"/>
        <v>0</v>
      </c>
      <c r="L67" s="568"/>
      <c r="U67" s="636">
        <v>53209050000000</v>
      </c>
      <c r="V67" s="637" t="s">
        <v>62</v>
      </c>
      <c r="W67" s="638">
        <v>0</v>
      </c>
    </row>
    <row r="68" spans="1:23" ht="12.75" customHeight="1" x14ac:dyDescent="0.2">
      <c r="A68" s="821"/>
      <c r="B68" s="824"/>
      <c r="C68" s="621"/>
      <c r="D68" s="622"/>
      <c r="E68" s="623"/>
      <c r="F68" s="624" t="s">
        <v>119</v>
      </c>
      <c r="G68" s="599">
        <v>0</v>
      </c>
      <c r="H68" s="599">
        <v>0</v>
      </c>
      <c r="I68" s="625">
        <v>0</v>
      </c>
      <c r="J68" s="626">
        <f t="shared" si="5"/>
        <v>0</v>
      </c>
      <c r="K68" s="627">
        <f t="shared" si="0"/>
        <v>0</v>
      </c>
      <c r="L68" s="568"/>
      <c r="U68" s="636">
        <v>53209990000000</v>
      </c>
      <c r="V68" s="637" t="s">
        <v>63</v>
      </c>
      <c r="W68" s="638">
        <v>0</v>
      </c>
    </row>
    <row r="69" spans="1:23" ht="12.75" customHeight="1" thickBot="1" x14ac:dyDescent="0.25">
      <c r="A69" s="822"/>
      <c r="B69" s="825"/>
      <c r="C69" s="643"/>
      <c r="D69" s="644"/>
      <c r="E69" s="645"/>
      <c r="F69" s="646" t="s">
        <v>119</v>
      </c>
      <c r="G69" s="647">
        <v>0</v>
      </c>
      <c r="H69" s="647">
        <v>0</v>
      </c>
      <c r="I69" s="648">
        <v>0</v>
      </c>
      <c r="J69" s="649">
        <f t="shared" si="5"/>
        <v>0</v>
      </c>
      <c r="K69" s="650">
        <f t="shared" si="0"/>
        <v>0</v>
      </c>
      <c r="L69" s="568"/>
      <c r="U69" s="636">
        <v>53210020100000</v>
      </c>
      <c r="V69" s="637" t="s">
        <v>64</v>
      </c>
      <c r="W69" s="638">
        <v>0</v>
      </c>
    </row>
    <row r="70" spans="1:23" ht="15.75" x14ac:dyDescent="0.2">
      <c r="C70" s="567"/>
      <c r="D70" s="567"/>
      <c r="E70" s="680"/>
      <c r="F70" s="680"/>
      <c r="G70" s="680"/>
      <c r="H70" s="680"/>
      <c r="I70" s="680"/>
      <c r="K70" s="681">
        <f>SUM(K65:K69)</f>
        <v>0</v>
      </c>
      <c r="L70" s="568"/>
      <c r="U70" s="633"/>
      <c r="V70" s="634" t="s">
        <v>65</v>
      </c>
      <c r="W70" s="635">
        <f>SUM(W71:W77)</f>
        <v>0</v>
      </c>
    </row>
    <row r="71" spans="1:23" x14ac:dyDescent="0.2">
      <c r="K71" s="675">
        <v>1</v>
      </c>
      <c r="L71" s="568"/>
      <c r="M71" s="682"/>
      <c r="O71" s="682"/>
      <c r="Q71" s="682"/>
      <c r="U71" s="636">
        <v>53206030000000</v>
      </c>
      <c r="V71" s="637" t="s">
        <v>98</v>
      </c>
      <c r="W71" s="638">
        <v>0</v>
      </c>
    </row>
    <row r="72" spans="1:23" ht="13.5" thickBot="1" x14ac:dyDescent="0.25">
      <c r="L72" s="568"/>
      <c r="U72" s="636">
        <v>53206040000000</v>
      </c>
      <c r="V72" s="637" t="s">
        <v>99</v>
      </c>
      <c r="W72" s="638">
        <v>0</v>
      </c>
    </row>
    <row r="73" spans="1:23" x14ac:dyDescent="0.2">
      <c r="B73" s="823" t="s">
        <v>120</v>
      </c>
      <c r="C73" s="595"/>
      <c r="D73" s="596"/>
      <c r="E73" s="597"/>
      <c r="F73" s="598" t="s">
        <v>119</v>
      </c>
      <c r="G73" s="600">
        <v>0</v>
      </c>
      <c r="H73" s="600">
        <v>0</v>
      </c>
      <c r="I73" s="601">
        <v>0</v>
      </c>
      <c r="J73" s="602">
        <f t="shared" ref="J73:J77" si="8">SUM(G73:I73)</f>
        <v>0</v>
      </c>
      <c r="K73" s="603">
        <f t="shared" ref="K73:K77" si="9">+J73*(1+$K$11)</f>
        <v>0</v>
      </c>
      <c r="U73" s="636">
        <v>53206060000000</v>
      </c>
      <c r="V73" s="637" t="s">
        <v>100</v>
      </c>
      <c r="W73" s="638">
        <v>0</v>
      </c>
    </row>
    <row r="74" spans="1:23" x14ac:dyDescent="0.2">
      <c r="B74" s="824"/>
      <c r="C74" s="676"/>
      <c r="D74" s="677"/>
      <c r="E74" s="678"/>
      <c r="F74" s="679" t="s">
        <v>119</v>
      </c>
      <c r="G74" s="599">
        <v>0</v>
      </c>
      <c r="H74" s="599">
        <v>0</v>
      </c>
      <c r="I74" s="625">
        <v>0</v>
      </c>
      <c r="J74" s="626">
        <f t="shared" si="8"/>
        <v>0</v>
      </c>
      <c r="K74" s="627">
        <f t="shared" si="9"/>
        <v>0</v>
      </c>
      <c r="U74" s="636">
        <v>53206070000000</v>
      </c>
      <c r="V74" s="637" t="s">
        <v>101</v>
      </c>
      <c r="W74" s="638">
        <v>0</v>
      </c>
    </row>
    <row r="75" spans="1:23" ht="15.75" customHeight="1" x14ac:dyDescent="0.2">
      <c r="B75" s="824"/>
      <c r="C75" s="676"/>
      <c r="D75" s="677"/>
      <c r="E75" s="678"/>
      <c r="F75" s="679" t="s">
        <v>119</v>
      </c>
      <c r="G75" s="599">
        <v>0</v>
      </c>
      <c r="H75" s="599">
        <v>0</v>
      </c>
      <c r="I75" s="625">
        <v>0</v>
      </c>
      <c r="J75" s="626">
        <f t="shared" si="8"/>
        <v>0</v>
      </c>
      <c r="K75" s="627">
        <f t="shared" si="9"/>
        <v>0</v>
      </c>
      <c r="U75" s="636">
        <v>53206990000000</v>
      </c>
      <c r="V75" s="637" t="s">
        <v>102</v>
      </c>
      <c r="W75" s="638">
        <v>0</v>
      </c>
    </row>
    <row r="76" spans="1:23" x14ac:dyDescent="0.2">
      <c r="B76" s="824"/>
      <c r="C76" s="621"/>
      <c r="D76" s="622"/>
      <c r="E76" s="623"/>
      <c r="F76" s="624" t="s">
        <v>119</v>
      </c>
      <c r="G76" s="599">
        <v>0</v>
      </c>
      <c r="H76" s="599">
        <v>0</v>
      </c>
      <c r="I76" s="625">
        <v>0</v>
      </c>
      <c r="J76" s="626">
        <f t="shared" si="8"/>
        <v>0</v>
      </c>
      <c r="K76" s="627">
        <f t="shared" si="9"/>
        <v>0</v>
      </c>
      <c r="U76" s="636">
        <v>53208030000000</v>
      </c>
      <c r="V76" s="637" t="s">
        <v>103</v>
      </c>
      <c r="W76" s="638">
        <v>0</v>
      </c>
    </row>
    <row r="77" spans="1:23" ht="13.5" thickBot="1" x14ac:dyDescent="0.25">
      <c r="B77" s="825"/>
      <c r="C77" s="643"/>
      <c r="D77" s="644"/>
      <c r="E77" s="645"/>
      <c r="F77" s="646" t="s">
        <v>119</v>
      </c>
      <c r="G77" s="647">
        <v>0</v>
      </c>
      <c r="H77" s="647">
        <v>0</v>
      </c>
      <c r="I77" s="648">
        <v>0</v>
      </c>
      <c r="J77" s="649">
        <f t="shared" si="8"/>
        <v>0</v>
      </c>
      <c r="K77" s="650">
        <f t="shared" si="9"/>
        <v>0</v>
      </c>
      <c r="U77" s="636">
        <v>53212060000000</v>
      </c>
      <c r="V77" s="637" t="s">
        <v>96</v>
      </c>
      <c r="W77" s="638">
        <v>0</v>
      </c>
    </row>
    <row r="78" spans="1:23" ht="15.75" x14ac:dyDescent="0.2">
      <c r="C78" s="567"/>
      <c r="D78" s="567"/>
      <c r="E78" s="680"/>
      <c r="F78" s="680"/>
      <c r="G78" s="680"/>
      <c r="H78" s="680"/>
      <c r="I78" s="680"/>
      <c r="K78" s="681">
        <f>SUM(K73:K77)</f>
        <v>0</v>
      </c>
      <c r="U78" s="633"/>
      <c r="V78" s="634" t="s">
        <v>66</v>
      </c>
      <c r="W78" s="635">
        <f>SUM(W79:W79)</f>
        <v>0</v>
      </c>
    </row>
    <row r="79" spans="1:23" ht="13.5" thickBot="1" x14ac:dyDescent="0.25">
      <c r="K79" s="675">
        <v>1</v>
      </c>
      <c r="U79" s="636">
        <v>53204999000000</v>
      </c>
      <c r="V79" s="637" t="s">
        <v>95</v>
      </c>
      <c r="W79" s="638">
        <v>0</v>
      </c>
    </row>
    <row r="80" spans="1:23" x14ac:dyDescent="0.2">
      <c r="B80" s="823" t="s">
        <v>321</v>
      </c>
      <c r="C80" s="595"/>
      <c r="D80" s="596"/>
      <c r="E80" s="597"/>
      <c r="F80" s="598" t="s">
        <v>119</v>
      </c>
      <c r="G80" s="600">
        <v>0</v>
      </c>
      <c r="H80" s="600">
        <v>0</v>
      </c>
      <c r="I80" s="601">
        <v>0</v>
      </c>
      <c r="J80" s="602">
        <f t="shared" ref="J80:J84" si="10">SUM(G80:I80)</f>
        <v>0</v>
      </c>
      <c r="K80" s="603">
        <f t="shared" ref="K80:K84" si="11">+J80*(1+$K$11)</f>
        <v>0</v>
      </c>
      <c r="U80" s="683"/>
      <c r="V80" s="684" t="s">
        <v>137</v>
      </c>
      <c r="W80" s="685">
        <f>+W40+W15</f>
        <v>13404554</v>
      </c>
    </row>
    <row r="81" spans="2:11" x14ac:dyDescent="0.2">
      <c r="B81" s="824"/>
      <c r="C81" s="676"/>
      <c r="D81" s="677"/>
      <c r="E81" s="678"/>
      <c r="F81" s="679" t="s">
        <v>119</v>
      </c>
      <c r="G81" s="599">
        <v>0</v>
      </c>
      <c r="H81" s="599">
        <v>0</v>
      </c>
      <c r="I81" s="625">
        <v>0</v>
      </c>
      <c r="J81" s="626">
        <f t="shared" si="10"/>
        <v>0</v>
      </c>
      <c r="K81" s="627">
        <f t="shared" si="11"/>
        <v>0</v>
      </c>
    </row>
    <row r="82" spans="2:11" x14ac:dyDescent="0.2">
      <c r="B82" s="824"/>
      <c r="C82" s="676"/>
      <c r="D82" s="677"/>
      <c r="E82" s="678"/>
      <c r="F82" s="679" t="s">
        <v>119</v>
      </c>
      <c r="G82" s="599">
        <v>0</v>
      </c>
      <c r="H82" s="599">
        <v>0</v>
      </c>
      <c r="I82" s="625">
        <v>0</v>
      </c>
      <c r="J82" s="626">
        <f t="shared" si="10"/>
        <v>0</v>
      </c>
      <c r="K82" s="627">
        <f t="shared" si="11"/>
        <v>0</v>
      </c>
    </row>
    <row r="83" spans="2:11" ht="15.75" customHeight="1" x14ac:dyDescent="0.2">
      <c r="B83" s="824"/>
      <c r="C83" s="621"/>
      <c r="D83" s="622"/>
      <c r="E83" s="623"/>
      <c r="F83" s="624" t="s">
        <v>119</v>
      </c>
      <c r="G83" s="599">
        <v>0</v>
      </c>
      <c r="H83" s="599">
        <v>0</v>
      </c>
      <c r="I83" s="625">
        <v>0</v>
      </c>
      <c r="J83" s="626">
        <f t="shared" si="10"/>
        <v>0</v>
      </c>
      <c r="K83" s="627">
        <f t="shared" si="11"/>
        <v>0</v>
      </c>
    </row>
    <row r="84" spans="2:11" ht="13.5" thickBot="1" x14ac:dyDescent="0.25">
      <c r="B84" s="825"/>
      <c r="C84" s="643"/>
      <c r="D84" s="644"/>
      <c r="E84" s="645"/>
      <c r="F84" s="646" t="s">
        <v>119</v>
      </c>
      <c r="G84" s="647">
        <v>0</v>
      </c>
      <c r="H84" s="647">
        <v>0</v>
      </c>
      <c r="I84" s="648">
        <v>0</v>
      </c>
      <c r="J84" s="649">
        <f t="shared" si="10"/>
        <v>0</v>
      </c>
      <c r="K84" s="650">
        <f t="shared" si="11"/>
        <v>0</v>
      </c>
    </row>
    <row r="85" spans="2:11" ht="15.75" x14ac:dyDescent="0.2">
      <c r="C85" s="567"/>
      <c r="D85" s="567"/>
      <c r="E85" s="680"/>
      <c r="F85" s="680"/>
      <c r="G85" s="680"/>
      <c r="H85" s="680"/>
      <c r="I85" s="680"/>
      <c r="K85" s="681">
        <f>SUM(K80:K84)</f>
        <v>0</v>
      </c>
    </row>
    <row r="86" spans="2:11" x14ac:dyDescent="0.2">
      <c r="K86" s="675">
        <v>1</v>
      </c>
    </row>
    <row r="97" spans="11:12" x14ac:dyDescent="0.2">
      <c r="L97" s="686"/>
    </row>
    <row r="99" spans="11:12" x14ac:dyDescent="0.2">
      <c r="K99" s="687"/>
    </row>
    <row r="101" spans="11:12" x14ac:dyDescent="0.2">
      <c r="K101" s="688"/>
    </row>
  </sheetData>
  <mergeCells count="45">
    <mergeCell ref="B73:B77"/>
    <mergeCell ref="B80:B84"/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2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topLeftCell="I1" zoomScale="80" zoomScaleNormal="80" workbookViewId="0">
      <selection activeCell="G30" sqref="G30"/>
    </sheetView>
  </sheetViews>
  <sheetFormatPr baseColWidth="10" defaultColWidth="11.42578125" defaultRowHeight="12.75" x14ac:dyDescent="0.2"/>
  <cols>
    <col min="1" max="1" width="42.140625" style="2" bestFit="1" customWidth="1"/>
    <col min="2" max="2" width="33" style="2" bestFit="1" customWidth="1"/>
    <col min="3" max="3" width="14.140625" style="2" customWidth="1"/>
    <col min="4" max="4" width="14.140625" style="2" bestFit="1" customWidth="1"/>
    <col min="5" max="17" width="14.140625" style="2" customWidth="1"/>
    <col min="18" max="18" width="13.28515625" style="2" customWidth="1"/>
    <col min="19" max="19" width="14.140625" style="2" bestFit="1" customWidth="1"/>
    <col min="20" max="20" width="14.140625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24" t="s">
        <v>201</v>
      </c>
      <c r="IJ1" s="2"/>
      <c r="IK1" s="2"/>
    </row>
    <row r="2" spans="1:245" s="4" customFormat="1" x14ac:dyDescent="0.2">
      <c r="B2" s="5"/>
      <c r="G2" s="24" t="s">
        <v>193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862" t="str">
        <f>+'B) Reajuste Tarifas y Ocupación'!F5</f>
        <v>(DEPTO./DELEG.)</v>
      </c>
      <c r="H4" s="863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24"/>
      <c r="H5" s="24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717" t="s">
        <v>155</v>
      </c>
      <c r="B6" s="717"/>
      <c r="C6" s="717"/>
      <c r="D6" s="717"/>
      <c r="E6" s="48"/>
      <c r="F6" s="6"/>
      <c r="G6" s="24"/>
      <c r="H6" s="24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thickBot="1" x14ac:dyDescent="0.25">
      <c r="A8" s="871" t="s">
        <v>112</v>
      </c>
      <c r="B8" s="873" t="s">
        <v>5</v>
      </c>
      <c r="C8" s="868" t="s">
        <v>257</v>
      </c>
      <c r="D8" s="869"/>
      <c r="E8" s="869"/>
      <c r="F8" s="869"/>
      <c r="G8" s="870"/>
      <c r="H8" s="864" t="s">
        <v>251</v>
      </c>
      <c r="I8" s="865"/>
      <c r="J8" s="865"/>
      <c r="K8" s="865"/>
      <c r="L8" s="866"/>
      <c r="M8" s="867" t="s">
        <v>123</v>
      </c>
      <c r="N8" s="860"/>
      <c r="O8" s="860"/>
      <c r="P8" s="860"/>
      <c r="Q8" s="861"/>
      <c r="R8" s="860" t="s">
        <v>124</v>
      </c>
      <c r="S8" s="860"/>
      <c r="T8" s="860"/>
      <c r="U8" s="860"/>
      <c r="V8" s="861"/>
    </row>
    <row r="9" spans="1:245" ht="64.5" thickBot="1" x14ac:dyDescent="0.25">
      <c r="A9" s="872" t="e">
        <f>NA()</f>
        <v>#N/A</v>
      </c>
      <c r="B9" s="874" t="e">
        <f>NA()</f>
        <v>#N/A</v>
      </c>
      <c r="C9" s="43" t="s">
        <v>85</v>
      </c>
      <c r="D9" s="42" t="s">
        <v>133</v>
      </c>
      <c r="E9" s="42" t="s">
        <v>134</v>
      </c>
      <c r="F9" s="42" t="s">
        <v>86</v>
      </c>
      <c r="G9" s="475" t="s">
        <v>87</v>
      </c>
      <c r="H9" s="479" t="s">
        <v>85</v>
      </c>
      <c r="I9" s="480" t="s">
        <v>133</v>
      </c>
      <c r="J9" s="480" t="s">
        <v>134</v>
      </c>
      <c r="K9" s="480" t="s">
        <v>86</v>
      </c>
      <c r="L9" s="489" t="s">
        <v>87</v>
      </c>
      <c r="M9" s="481" t="s">
        <v>85</v>
      </c>
      <c r="N9" s="482" t="s">
        <v>133</v>
      </c>
      <c r="O9" s="482" t="s">
        <v>134</v>
      </c>
      <c r="P9" s="482" t="s">
        <v>86</v>
      </c>
      <c r="Q9" s="483" t="s">
        <v>87</v>
      </c>
      <c r="R9" s="490" t="s">
        <v>85</v>
      </c>
      <c r="S9" s="482" t="s">
        <v>133</v>
      </c>
      <c r="T9" s="482" t="s">
        <v>134</v>
      </c>
      <c r="U9" s="482" t="s">
        <v>86</v>
      </c>
      <c r="V9" s="483" t="s">
        <v>87</v>
      </c>
    </row>
    <row r="10" spans="1:245" x14ac:dyDescent="0.2">
      <c r="A10" s="857" t="str">
        <f>+'B) Reajuste Tarifas y Ocupación'!A12</f>
        <v>Jardín Infantil Olitas de Mar</v>
      </c>
      <c r="B10" s="139" t="str">
        <f>+'B) Reajuste Tarifas y Ocupación'!B12</f>
        <v>Media jornada</v>
      </c>
      <c r="C10" s="509">
        <f>+'B) Reajuste Tarifas y Ocupación'!M12</f>
        <v>78700</v>
      </c>
      <c r="D10" s="510">
        <f>+'B) Reajuste Tarifas y Ocupación'!N12</f>
        <v>106200</v>
      </c>
      <c r="E10" s="510">
        <f>+'B) Reajuste Tarifas y Ocupación'!O12</f>
        <v>110100</v>
      </c>
      <c r="F10" s="510">
        <f>+'B) Reajuste Tarifas y Ocupación'!P12</f>
        <v>118900</v>
      </c>
      <c r="G10" s="476">
        <f>+'B) Reajuste Tarifas y Ocupación'!Q12</f>
        <v>190700</v>
      </c>
      <c r="H10" s="484">
        <f>+'B) Reajuste Tarifas y Ocupación'!C12</f>
        <v>70200</v>
      </c>
      <c r="I10" s="485">
        <f>+'B) Reajuste Tarifas y Ocupación'!D12</f>
        <v>94800</v>
      </c>
      <c r="J10" s="485">
        <f>+'B) Reajuste Tarifas y Ocupación'!E12</f>
        <v>98300</v>
      </c>
      <c r="K10" s="485">
        <f>+'B) Reajuste Tarifas y Ocupación'!F12</f>
        <v>106100</v>
      </c>
      <c r="L10" s="486">
        <f>+'B) Reajuste Tarifas y Ocupación'!G12</f>
        <v>170200</v>
      </c>
      <c r="M10" s="356">
        <f t="shared" ref="M10:Q11" si="0">C10-H10</f>
        <v>8500</v>
      </c>
      <c r="N10" s="357">
        <f t="shared" si="0"/>
        <v>11400</v>
      </c>
      <c r="O10" s="357">
        <f t="shared" si="0"/>
        <v>11800</v>
      </c>
      <c r="P10" s="357">
        <f t="shared" si="0"/>
        <v>12800</v>
      </c>
      <c r="Q10" s="495">
        <f t="shared" si="0"/>
        <v>20500</v>
      </c>
      <c r="R10" s="491">
        <f>+'B) Reajuste Tarifas y Ocupación'!H12</f>
        <v>0.12</v>
      </c>
      <c r="S10" s="358">
        <f>+'B) Reajuste Tarifas y Ocupación'!I12</f>
        <v>0.12</v>
      </c>
      <c r="T10" s="358">
        <f>+'B) Reajuste Tarifas y Ocupación'!J12</f>
        <v>0.12</v>
      </c>
      <c r="U10" s="358">
        <f>+'B) Reajuste Tarifas y Ocupación'!K12</f>
        <v>0.12</v>
      </c>
      <c r="V10" s="359">
        <f>+'B) Reajuste Tarifas y Ocupación'!L12</f>
        <v>0.12</v>
      </c>
    </row>
    <row r="11" spans="1:245" x14ac:dyDescent="0.2">
      <c r="A11" s="858"/>
      <c r="B11" s="140" t="str">
        <f>+'B) Reajuste Tarifas y Ocupación'!B13</f>
        <v>Media jornada Extendida</v>
      </c>
      <c r="C11" s="511">
        <f>+'B) Reajuste Tarifas y Ocupación'!M13</f>
        <v>89800</v>
      </c>
      <c r="D11" s="512">
        <f>+'B) Reajuste Tarifas y Ocupación'!N13</f>
        <v>121200</v>
      </c>
      <c r="E11" s="512">
        <f>+'B) Reajuste Tarifas y Ocupación'!O13</f>
        <v>125600</v>
      </c>
      <c r="F11" s="512">
        <f>+'B) Reajuste Tarifas y Ocupación'!P13</f>
        <v>169800</v>
      </c>
      <c r="G11" s="477">
        <f>+'B) Reajuste Tarifas y Ocupación'!Q13</f>
        <v>253100</v>
      </c>
      <c r="H11" s="487">
        <f>+'B) Reajuste Tarifas y Ocupación'!C13</f>
        <v>80100</v>
      </c>
      <c r="I11" s="474">
        <f>+'B) Reajuste Tarifas y Ocupación'!D13</f>
        <v>108100</v>
      </c>
      <c r="J11" s="474">
        <f>+'B) Reajuste Tarifas y Ocupación'!E13</f>
        <v>112100</v>
      </c>
      <c r="K11" s="474">
        <f>+'B) Reajuste Tarifas y Ocupación'!F13</f>
        <v>151600</v>
      </c>
      <c r="L11" s="488">
        <f>+'B) Reajuste Tarifas y Ocupación'!G13</f>
        <v>225900</v>
      </c>
      <c r="M11" s="360">
        <f t="shared" si="0"/>
        <v>9700</v>
      </c>
      <c r="N11" s="361">
        <f t="shared" si="0"/>
        <v>13100</v>
      </c>
      <c r="O11" s="361">
        <f t="shared" si="0"/>
        <v>13500</v>
      </c>
      <c r="P11" s="361">
        <f t="shared" si="0"/>
        <v>18200</v>
      </c>
      <c r="Q11" s="496">
        <f t="shared" si="0"/>
        <v>27200</v>
      </c>
      <c r="R11" s="492">
        <f>+'B) Reajuste Tarifas y Ocupación'!H13</f>
        <v>0.12</v>
      </c>
      <c r="S11" s="362">
        <f>+'B) Reajuste Tarifas y Ocupación'!I13</f>
        <v>0.12</v>
      </c>
      <c r="T11" s="362">
        <f>+'B) Reajuste Tarifas y Ocupación'!J13</f>
        <v>0.12</v>
      </c>
      <c r="U11" s="362">
        <f>+'B) Reajuste Tarifas y Ocupación'!K13</f>
        <v>0.12</v>
      </c>
      <c r="V11" s="363">
        <f>+'B) Reajuste Tarifas y Ocupación'!L13</f>
        <v>0.12</v>
      </c>
    </row>
    <row r="12" spans="1:245" ht="13.5" thickBot="1" x14ac:dyDescent="0.25">
      <c r="A12" s="859"/>
      <c r="B12" s="141" t="str">
        <f>+'B) Reajuste Tarifas y Ocupación'!B14</f>
        <v>Jornada Completa</v>
      </c>
      <c r="C12" s="148">
        <f>+'B) Reajuste Tarifas y Ocupación'!M14</f>
        <v>140600</v>
      </c>
      <c r="D12" s="149">
        <f>+'B) Reajuste Tarifas y Ocupación'!N14</f>
        <v>189800</v>
      </c>
      <c r="E12" s="149">
        <f>+'B) Reajuste Tarifas y Ocupación'!O14</f>
        <v>196800</v>
      </c>
      <c r="F12" s="149">
        <f>+'B) Reajuste Tarifas y Ocupación'!P14</f>
        <v>217700</v>
      </c>
      <c r="G12" s="220">
        <f>+'B) Reajuste Tarifas y Ocupación'!Q14</f>
        <v>349700</v>
      </c>
      <c r="H12" s="151">
        <f>+'B) Reajuste Tarifas y Ocupación'!C14</f>
        <v>125500</v>
      </c>
      <c r="I12" s="152">
        <f>+'B) Reajuste Tarifas y Ocupación'!D14</f>
        <v>169400</v>
      </c>
      <c r="J12" s="152">
        <f>+'B) Reajuste Tarifas y Ocupación'!E14</f>
        <v>175700</v>
      </c>
      <c r="K12" s="152">
        <f>+'B) Reajuste Tarifas y Ocupación'!F14</f>
        <v>194300</v>
      </c>
      <c r="L12" s="153">
        <f>+'B) Reajuste Tarifas y Ocupación'!G14</f>
        <v>312200</v>
      </c>
      <c r="M12" s="154">
        <f t="shared" ref="M12" si="1">C12-H12</f>
        <v>15100</v>
      </c>
      <c r="N12" s="155">
        <f t="shared" ref="N12" si="2">D12-I12</f>
        <v>20400</v>
      </c>
      <c r="O12" s="155">
        <f t="shared" ref="O12" si="3">E12-J12</f>
        <v>21100</v>
      </c>
      <c r="P12" s="155">
        <f t="shared" ref="P12" si="4">F12-K12</f>
        <v>23400</v>
      </c>
      <c r="Q12" s="497">
        <f t="shared" ref="Q12" si="5">G12-L12</f>
        <v>37500</v>
      </c>
      <c r="R12" s="494">
        <f>+'B) Reajuste Tarifas y Ocupación'!H14</f>
        <v>0.12</v>
      </c>
      <c r="S12" s="156">
        <f>+'B) Reajuste Tarifas y Ocupación'!I14</f>
        <v>0.12</v>
      </c>
      <c r="T12" s="156">
        <f>+'B) Reajuste Tarifas y Ocupación'!J14</f>
        <v>0.12</v>
      </c>
      <c r="U12" s="156">
        <f>+'B) Reajuste Tarifas y Ocupación'!K14</f>
        <v>0.12</v>
      </c>
      <c r="V12" s="157">
        <f>+'B) Reajuste Tarifas y Ocupación'!L14</f>
        <v>0.12</v>
      </c>
    </row>
    <row r="13" spans="1:245" x14ac:dyDescent="0.2">
      <c r="A13" s="855" t="str">
        <f>+'B) Reajuste Tarifas y Ocupación'!A15</f>
        <v>Sala Cuna Olitas de Mar</v>
      </c>
      <c r="B13" s="498" t="str">
        <f>+'B) Reajuste Tarifas y Ocupación'!B15</f>
        <v>Diurna</v>
      </c>
      <c r="C13" s="499">
        <f>+'B) Reajuste Tarifas y Ocupación'!M15</f>
        <v>397800</v>
      </c>
      <c r="D13" s="500">
        <f>+'B) Reajuste Tarifas y Ocupación'!N15</f>
        <v>537000</v>
      </c>
      <c r="E13" s="500">
        <f>+'B) Reajuste Tarifas y Ocupación'!O15</f>
        <v>556900</v>
      </c>
      <c r="F13" s="500">
        <f>+'B) Reajuste Tarifas y Ocupación'!P15</f>
        <v>497200</v>
      </c>
      <c r="G13" s="501">
        <f>+'B) Reajuste Tarifas y Ocupación'!Q15</f>
        <v>596600</v>
      </c>
      <c r="H13" s="502">
        <f>+'B) Reajuste Tarifas y Ocupación'!C15</f>
        <v>368300</v>
      </c>
      <c r="I13" s="503">
        <f>+'B) Reajuste Tarifas y Ocupación'!D15</f>
        <v>497200</v>
      </c>
      <c r="J13" s="503">
        <f>+'B) Reajuste Tarifas y Ocupación'!E15</f>
        <v>515600</v>
      </c>
      <c r="K13" s="503">
        <f>+'B) Reajuste Tarifas y Ocupación'!F15</f>
        <v>460300</v>
      </c>
      <c r="L13" s="504">
        <f>+'B) Reajuste Tarifas y Ocupación'!G15</f>
        <v>552400</v>
      </c>
      <c r="M13" s="179">
        <f t="shared" ref="M13" si="6">C13-H13</f>
        <v>29500</v>
      </c>
      <c r="N13" s="505">
        <f t="shared" ref="N13" si="7">D13-I13</f>
        <v>39800</v>
      </c>
      <c r="O13" s="505">
        <f t="shared" ref="O13" si="8">E13-J13</f>
        <v>41300</v>
      </c>
      <c r="P13" s="505">
        <f t="shared" ref="P13" si="9">F13-K13</f>
        <v>36900</v>
      </c>
      <c r="Q13" s="181">
        <f t="shared" ref="Q13" si="10">G13-L13</f>
        <v>44200</v>
      </c>
      <c r="R13" s="506">
        <f>+'B) Reajuste Tarifas y Ocupación'!H15</f>
        <v>0.08</v>
      </c>
      <c r="S13" s="507">
        <f>+'B) Reajuste Tarifas y Ocupación'!I15</f>
        <v>0.08</v>
      </c>
      <c r="T13" s="507">
        <f>+'B) Reajuste Tarifas y Ocupación'!J15</f>
        <v>0.08</v>
      </c>
      <c r="U13" s="507">
        <f>+'B) Reajuste Tarifas y Ocupación'!K15</f>
        <v>0.08</v>
      </c>
      <c r="V13" s="508">
        <f>+'B) Reajuste Tarifas y Ocupación'!L15</f>
        <v>0.08</v>
      </c>
    </row>
    <row r="14" spans="1:245" x14ac:dyDescent="0.2">
      <c r="A14" s="855"/>
      <c r="B14" s="140" t="str">
        <f>+'B) Reajuste Tarifas y Ocupación'!B16</f>
        <v>Nocturna</v>
      </c>
      <c r="C14" s="344"/>
      <c r="D14" s="345"/>
      <c r="E14" s="345"/>
      <c r="F14" s="345"/>
      <c r="G14" s="478"/>
      <c r="H14" s="364"/>
      <c r="I14" s="365"/>
      <c r="J14" s="365"/>
      <c r="K14" s="365"/>
      <c r="L14" s="366"/>
      <c r="M14" s="364"/>
      <c r="N14" s="365"/>
      <c r="O14" s="365"/>
      <c r="P14" s="365"/>
      <c r="Q14" s="367"/>
      <c r="R14" s="493"/>
      <c r="S14" s="365"/>
      <c r="T14" s="365"/>
      <c r="U14" s="365"/>
      <c r="V14" s="367"/>
    </row>
    <row r="15" spans="1:245" ht="13.5" thickBot="1" x14ac:dyDescent="0.25">
      <c r="A15" s="856"/>
      <c r="B15" s="141" t="str">
        <f>+'B) Reajuste Tarifas y Ocupación'!B17</f>
        <v>Media Jornada</v>
      </c>
      <c r="C15" s="148">
        <f>+'B) Reajuste Tarifas y Ocupación'!M17</f>
        <v>238900</v>
      </c>
      <c r="D15" s="149">
        <f>+'B) Reajuste Tarifas y Ocupación'!N17</f>
        <v>322600</v>
      </c>
      <c r="E15" s="149">
        <f>+'B) Reajuste Tarifas y Ocupación'!O17</f>
        <v>334500</v>
      </c>
      <c r="F15" s="149">
        <f>+'B) Reajuste Tarifas y Ocupación'!P17</f>
        <v>358100</v>
      </c>
      <c r="G15" s="220">
        <f>+'B) Reajuste Tarifas y Ocupación'!Q17</f>
        <v>477400</v>
      </c>
      <c r="H15" s="151">
        <f>+'B) Reajuste Tarifas y Ocupación'!C17</f>
        <v>221200</v>
      </c>
      <c r="I15" s="152">
        <f>+'B) Reajuste Tarifas y Ocupación'!D17</f>
        <v>298600</v>
      </c>
      <c r="J15" s="152">
        <f>+'B) Reajuste Tarifas y Ocupación'!E17</f>
        <v>309600</v>
      </c>
      <c r="K15" s="152">
        <f>+'B) Reajuste Tarifas y Ocupación'!F17</f>
        <v>331500</v>
      </c>
      <c r="L15" s="153">
        <f>+'B) Reajuste Tarifas y Ocupación'!G17</f>
        <v>442000</v>
      </c>
      <c r="M15" s="154">
        <f t="shared" ref="M15" si="11">C15-H15</f>
        <v>17700</v>
      </c>
      <c r="N15" s="155">
        <f t="shared" ref="N15" si="12">D15-I15</f>
        <v>24000</v>
      </c>
      <c r="O15" s="155">
        <f t="shared" ref="O15" si="13">E15-J15</f>
        <v>24900</v>
      </c>
      <c r="P15" s="155">
        <f t="shared" ref="P15" si="14">F15-K15</f>
        <v>26600</v>
      </c>
      <c r="Q15" s="497">
        <f t="shared" ref="Q15" si="15">G15-L15</f>
        <v>35400</v>
      </c>
      <c r="R15" s="494">
        <f>+'B) Reajuste Tarifas y Ocupación'!H17</f>
        <v>0.08</v>
      </c>
      <c r="S15" s="156">
        <f>+'B) Reajuste Tarifas y Ocupación'!I17</f>
        <v>0.08</v>
      </c>
      <c r="T15" s="156">
        <f>+'B) Reajuste Tarifas y Ocupación'!J17</f>
        <v>0.08</v>
      </c>
      <c r="U15" s="156">
        <f>+'B) Reajuste Tarifas y Ocupación'!K17</f>
        <v>0.08</v>
      </c>
      <c r="V15" s="157">
        <f>+'B) Reajuste Tarifas y Ocupación'!L17</f>
        <v>0.08</v>
      </c>
    </row>
  </sheetData>
  <sheetProtection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H14:V14">
    <cfRule type="cellIs" dxfId="1" priority="1" operator="lessThan">
      <formula>0</formula>
    </cfRule>
  </conditionalFormatting>
  <conditionalFormatting sqref="M10:Q15">
    <cfRule type="cellIs" dxfId="0" priority="3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E43" sqref="E43"/>
    </sheetView>
  </sheetViews>
  <sheetFormatPr baseColWidth="10" defaultColWidth="11.42578125" defaultRowHeight="12.75" x14ac:dyDescent="0.2"/>
  <cols>
    <col min="1" max="1" width="7.140625" style="20" customWidth="1"/>
    <col min="2" max="2" width="37.28515625" style="20" customWidth="1"/>
    <col min="3" max="3" width="28" style="20" customWidth="1"/>
    <col min="4" max="4" width="24.140625" style="20" customWidth="1"/>
    <col min="5" max="5" width="25.140625" style="20" customWidth="1"/>
    <col min="6" max="6" width="22.140625" style="20" customWidth="1"/>
    <col min="7" max="8" width="14.85546875" style="20" customWidth="1"/>
    <col min="9" max="9" width="15" style="20" customWidth="1"/>
    <col min="10" max="10" width="15.140625" style="20" customWidth="1"/>
    <col min="11" max="11" width="17.42578125" style="20" customWidth="1"/>
    <col min="12" max="12" width="25" style="20" customWidth="1"/>
    <col min="13" max="13" width="19.140625" style="20" customWidth="1"/>
    <col min="14" max="14" width="16.140625" style="20" customWidth="1"/>
    <col min="15" max="15" width="17.140625" style="20" customWidth="1"/>
    <col min="16" max="16" width="14.85546875" style="20" customWidth="1"/>
    <col min="17" max="17" width="17.7109375" style="20" customWidth="1"/>
    <col min="18" max="18" width="17.140625" style="20" customWidth="1"/>
    <col min="19" max="19" width="18.140625" style="20" customWidth="1"/>
    <col min="20" max="20" width="16.28515625" style="20" customWidth="1"/>
    <col min="21" max="21" width="15.85546875" style="20" customWidth="1"/>
    <col min="22" max="22" width="14.85546875" style="20" customWidth="1"/>
    <col min="23" max="23" width="15.85546875" style="20" customWidth="1"/>
    <col min="24" max="24" width="14.28515625" style="20" customWidth="1"/>
    <col min="25" max="25" width="14.85546875" style="20" customWidth="1"/>
    <col min="26" max="26" width="14.140625" style="20" customWidth="1"/>
    <col min="27" max="27" width="16.85546875" style="20" customWidth="1"/>
    <col min="28" max="28" width="17.5703125" style="20" customWidth="1"/>
    <col min="29" max="29" width="15.28515625" style="20" customWidth="1"/>
    <col min="30" max="30" width="19.7109375" style="20" customWidth="1"/>
    <col min="31" max="31" width="17.42578125" style="20" customWidth="1"/>
    <col min="32" max="32" width="12" style="20" customWidth="1"/>
    <col min="33" max="16384" width="11.42578125" style="20"/>
  </cols>
  <sheetData>
    <row r="1" spans="2:259" s="4" customFormat="1" x14ac:dyDescent="0.2">
      <c r="E1" s="24" t="s">
        <v>202</v>
      </c>
      <c r="F1" s="24"/>
      <c r="G1" s="24"/>
      <c r="H1" s="24"/>
      <c r="I1" s="24"/>
      <c r="J1" s="24"/>
      <c r="IN1" s="2"/>
      <c r="IO1" s="2"/>
    </row>
    <row r="2" spans="2:259" s="4" customFormat="1" x14ac:dyDescent="0.2">
      <c r="E2" s="24" t="s">
        <v>194</v>
      </c>
      <c r="F2" s="24"/>
      <c r="G2" s="24"/>
      <c r="H2" s="24"/>
      <c r="I2" s="24"/>
      <c r="J2" s="24"/>
      <c r="IN2" s="2"/>
      <c r="IO2" s="2"/>
    </row>
    <row r="3" spans="2:259" s="4" customFormat="1" x14ac:dyDescent="0.2">
      <c r="B3" s="16"/>
      <c r="IE3" s="2"/>
      <c r="IF3" s="2"/>
      <c r="IG3" s="2"/>
      <c r="IH3" s="2"/>
      <c r="II3" s="2"/>
      <c r="IJ3" s="2"/>
    </row>
    <row r="4" spans="2:259" s="4" customFormat="1" ht="18.75" customHeight="1" x14ac:dyDescent="0.2">
      <c r="B4" s="16"/>
      <c r="D4" s="46" t="s">
        <v>0</v>
      </c>
      <c r="E4" s="56" t="str">
        <f>+'B) Reajuste Tarifas y Ocupación'!F5</f>
        <v>(DEPTO./DELEG.)</v>
      </c>
      <c r="F4" s="33"/>
      <c r="G4" s="34"/>
      <c r="H4" s="34"/>
      <c r="I4" s="34"/>
      <c r="J4" s="34"/>
      <c r="K4" s="34"/>
      <c r="O4" s="1"/>
      <c r="IE4" s="2"/>
      <c r="IF4" s="2"/>
      <c r="IG4" s="2"/>
      <c r="IH4" s="2"/>
      <c r="II4" s="2"/>
      <c r="IJ4" s="2"/>
    </row>
    <row r="5" spans="2:259" s="4" customFormat="1" x14ac:dyDescent="0.2">
      <c r="B5" s="16"/>
      <c r="D5" s="6"/>
      <c r="E5" s="24"/>
      <c r="F5" s="24"/>
      <c r="G5" s="24"/>
      <c r="H5" s="24"/>
      <c r="I5" s="24"/>
      <c r="J5" s="24"/>
      <c r="K5" s="24"/>
      <c r="O5" s="1"/>
      <c r="IE5" s="2"/>
      <c r="IF5" s="2"/>
      <c r="IG5" s="2"/>
      <c r="IH5" s="2"/>
      <c r="II5" s="2"/>
      <c r="IJ5" s="2"/>
    </row>
    <row r="6" spans="2:259" s="4" customFormat="1" x14ac:dyDescent="0.2">
      <c r="B6" s="16"/>
      <c r="D6" s="6"/>
      <c r="E6" s="24"/>
      <c r="F6" s="24"/>
      <c r="G6" s="24"/>
      <c r="H6" s="24"/>
      <c r="I6" s="24"/>
      <c r="J6" s="24"/>
      <c r="K6" s="24"/>
      <c r="O6" s="1"/>
      <c r="IE6" s="2"/>
      <c r="IF6" s="2"/>
      <c r="IG6" s="2"/>
      <c r="IH6" s="2"/>
      <c r="II6" s="2"/>
      <c r="IJ6" s="2"/>
    </row>
    <row r="7" spans="2:259" s="4" customFormat="1" ht="15.75" x14ac:dyDescent="0.2">
      <c r="B7" s="743" t="s">
        <v>156</v>
      </c>
      <c r="C7" s="743"/>
      <c r="D7" s="743"/>
      <c r="E7" s="743"/>
      <c r="F7" s="47"/>
      <c r="G7" s="35" t="s">
        <v>4</v>
      </c>
      <c r="H7" s="36">
        <v>0.11</v>
      </c>
      <c r="I7" s="47"/>
      <c r="J7" s="47"/>
      <c r="K7" s="24"/>
      <c r="O7" s="1"/>
      <c r="IE7" s="2"/>
      <c r="IF7" s="2"/>
      <c r="IG7" s="2"/>
      <c r="IH7" s="2"/>
      <c r="II7" s="2"/>
      <c r="IJ7" s="2"/>
    </row>
    <row r="8" spans="2:259" ht="13.5" thickBot="1" x14ac:dyDescent="0.25"/>
    <row r="9" spans="2:259" ht="15" customHeight="1" x14ac:dyDescent="0.2">
      <c r="B9" s="882" t="s">
        <v>112</v>
      </c>
      <c r="C9" s="884" t="s">
        <v>73</v>
      </c>
      <c r="D9" s="884" t="s">
        <v>74</v>
      </c>
      <c r="E9" s="886" t="s">
        <v>3</v>
      </c>
      <c r="F9" s="880" t="s">
        <v>81</v>
      </c>
      <c r="G9" s="901" t="s">
        <v>252</v>
      </c>
      <c r="H9" s="903" t="s">
        <v>264</v>
      </c>
      <c r="I9" s="905" t="s">
        <v>114</v>
      </c>
      <c r="J9" s="905" t="s">
        <v>115</v>
      </c>
      <c r="K9" s="897" t="s">
        <v>262</v>
      </c>
      <c r="L9" s="899" t="s">
        <v>113</v>
      </c>
      <c r="O9" s="19"/>
      <c r="P9" s="19"/>
      <c r="Q9" s="19"/>
      <c r="R9" s="19"/>
      <c r="S9" s="19"/>
      <c r="T9" s="19"/>
    </row>
    <row r="10" spans="2:259" ht="26.25" customHeight="1" thickBot="1" x14ac:dyDescent="0.25">
      <c r="B10" s="883"/>
      <c r="C10" s="885"/>
      <c r="D10" s="885"/>
      <c r="E10" s="887"/>
      <c r="F10" s="881"/>
      <c r="G10" s="902"/>
      <c r="H10" s="904"/>
      <c r="I10" s="906"/>
      <c r="J10" s="906"/>
      <c r="K10" s="898"/>
      <c r="L10" s="900"/>
      <c r="M10"/>
      <c r="N10" s="30"/>
      <c r="O10" s="30"/>
      <c r="P10" s="14"/>
      <c r="Q10" s="14"/>
      <c r="R10" s="14"/>
      <c r="S10"/>
      <c r="T10" s="875"/>
      <c r="U10" s="875"/>
      <c r="V10" s="875"/>
      <c r="W10" s="875"/>
      <c r="X10"/>
    </row>
    <row r="11" spans="2:259" customFormat="1" x14ac:dyDescent="0.2">
      <c r="B11" s="876" t="str">
        <f>+'B) Reajuste Tarifas y Ocupación'!A12</f>
        <v>Jardín Infantil Olitas de Mar</v>
      </c>
      <c r="C11" s="342" t="s">
        <v>265</v>
      </c>
      <c r="D11" s="219" t="s">
        <v>266</v>
      </c>
      <c r="E11" s="219" t="s">
        <v>267</v>
      </c>
      <c r="F11" s="200" t="s">
        <v>207</v>
      </c>
      <c r="G11" s="339">
        <f>912782*12</f>
        <v>10953384</v>
      </c>
      <c r="H11" s="416">
        <f>+G11*(1+$H$7)</f>
        <v>12158256.24</v>
      </c>
      <c r="I11" s="400">
        <v>330540</v>
      </c>
      <c r="J11" s="400">
        <v>162394</v>
      </c>
      <c r="K11" s="416">
        <f>SUM(H11:J11)</f>
        <v>12651190.24</v>
      </c>
      <c r="L11" s="878">
        <f>SUM(K11:K22)</f>
        <v>26741470.560000002</v>
      </c>
      <c r="N11" s="215"/>
      <c r="O11" s="215"/>
      <c r="P11" s="31"/>
      <c r="Q11" s="31"/>
      <c r="R11" s="31"/>
      <c r="S11" s="213"/>
      <c r="T11" s="212"/>
      <c r="U11" s="212"/>
      <c r="V11" s="212"/>
      <c r="W11" s="212"/>
      <c r="X11" s="214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</row>
    <row r="12" spans="2:259" customFormat="1" x14ac:dyDescent="0.2">
      <c r="B12" s="877"/>
      <c r="C12" s="342"/>
      <c r="D12" s="219"/>
      <c r="E12" s="219"/>
      <c r="F12" s="200"/>
      <c r="G12" s="339"/>
      <c r="H12" s="417">
        <f t="shared" ref="H12:H30" si="0">+G12*(1+$H$7)</f>
        <v>0</v>
      </c>
      <c r="I12" s="57"/>
      <c r="J12" s="57"/>
      <c r="K12" s="417">
        <f t="shared" ref="K12:K30" si="1">SUM(H12:J12)</f>
        <v>0</v>
      </c>
      <c r="L12" s="879"/>
      <c r="N12" s="215"/>
      <c r="O12" s="215"/>
      <c r="P12" s="14"/>
      <c r="Q12" s="14"/>
      <c r="R12" s="14"/>
      <c r="S12" s="213"/>
      <c r="T12" s="212"/>
      <c r="U12" s="212"/>
      <c r="V12" s="212"/>
      <c r="W12" s="212"/>
      <c r="X12" s="21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</row>
    <row r="13" spans="2:259" customFormat="1" x14ac:dyDescent="0.2">
      <c r="B13" s="877"/>
      <c r="C13" s="342" t="s">
        <v>268</v>
      </c>
      <c r="D13" s="219" t="s">
        <v>269</v>
      </c>
      <c r="E13" s="219" t="s">
        <v>270</v>
      </c>
      <c r="F13" s="200" t="s">
        <v>207</v>
      </c>
      <c r="G13" s="339">
        <f>273126*12</f>
        <v>3277512</v>
      </c>
      <c r="H13" s="417">
        <f t="shared" si="0"/>
        <v>3638038.3200000003</v>
      </c>
      <c r="I13" s="57">
        <v>330540</v>
      </c>
      <c r="J13" s="57">
        <v>162394</v>
      </c>
      <c r="K13" s="417">
        <f t="shared" si="1"/>
        <v>4130972.3200000003</v>
      </c>
      <c r="L13" s="879"/>
      <c r="N13" s="215"/>
      <c r="O13" s="215"/>
      <c r="P13" s="14"/>
      <c r="Q13" s="14"/>
      <c r="R13" s="14"/>
      <c r="S13" s="213"/>
      <c r="T13" s="212"/>
      <c r="U13" s="212"/>
      <c r="V13" s="212"/>
      <c r="W13" s="212"/>
      <c r="X13" s="214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</row>
    <row r="14" spans="2:259" customFormat="1" x14ac:dyDescent="0.2">
      <c r="B14" s="877"/>
      <c r="C14" s="530"/>
      <c r="D14" s="531"/>
      <c r="E14" s="219"/>
      <c r="F14" s="532" t="s">
        <v>207</v>
      </c>
      <c r="G14" s="339">
        <v>0</v>
      </c>
      <c r="H14" s="417">
        <f t="shared" si="0"/>
        <v>0</v>
      </c>
      <c r="I14" s="57">
        <v>0</v>
      </c>
      <c r="J14" s="57">
        <v>0</v>
      </c>
      <c r="K14" s="417">
        <f t="shared" si="1"/>
        <v>0</v>
      </c>
      <c r="L14" s="879"/>
      <c r="N14" s="215"/>
      <c r="O14" s="215"/>
      <c r="P14" s="14"/>
      <c r="Q14" s="14"/>
      <c r="R14" s="14"/>
      <c r="S14" s="213"/>
      <c r="T14" s="212"/>
      <c r="U14" s="212"/>
      <c r="V14" s="212"/>
      <c r="W14" s="212"/>
      <c r="X14" s="21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</row>
    <row r="15" spans="2:259" customFormat="1" x14ac:dyDescent="0.2">
      <c r="B15" s="877"/>
      <c r="C15" s="530"/>
      <c r="D15" s="531"/>
      <c r="E15" s="219"/>
      <c r="F15" s="200"/>
      <c r="G15" s="339"/>
      <c r="H15" s="417">
        <f t="shared" si="0"/>
        <v>0</v>
      </c>
      <c r="I15" s="57">
        <v>0</v>
      </c>
      <c r="J15" s="57">
        <v>0</v>
      </c>
      <c r="K15" s="417">
        <f t="shared" si="1"/>
        <v>0</v>
      </c>
      <c r="L15" s="879"/>
      <c r="N15" s="215"/>
      <c r="O15" s="215"/>
      <c r="P15" s="14"/>
      <c r="Q15" s="14"/>
      <c r="R15" s="14"/>
      <c r="S15" s="213"/>
      <c r="T15" s="212"/>
      <c r="U15" s="212"/>
      <c r="V15" s="212"/>
      <c r="W15" s="212"/>
      <c r="X15" s="2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</row>
    <row r="16" spans="2:259" customFormat="1" x14ac:dyDescent="0.2">
      <c r="B16" s="877"/>
      <c r="C16" s="342"/>
      <c r="D16" s="219"/>
      <c r="E16" s="219"/>
      <c r="F16" s="200" t="s">
        <v>207</v>
      </c>
      <c r="G16" s="339">
        <v>0</v>
      </c>
      <c r="H16" s="417">
        <f>+G16*(1+$H$7)</f>
        <v>0</v>
      </c>
      <c r="I16" s="57">
        <v>0</v>
      </c>
      <c r="J16" s="57">
        <v>0</v>
      </c>
      <c r="K16" s="417">
        <f t="shared" si="1"/>
        <v>0</v>
      </c>
      <c r="L16" s="879"/>
      <c r="N16" s="215"/>
      <c r="O16" s="215"/>
      <c r="P16" s="14"/>
      <c r="Q16" s="14"/>
      <c r="R16" s="14"/>
      <c r="S16" s="213"/>
      <c r="T16" s="212"/>
      <c r="U16" s="212"/>
      <c r="V16" s="212"/>
      <c r="W16" s="212"/>
      <c r="X16" s="2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</row>
    <row r="17" spans="2:259" customFormat="1" x14ac:dyDescent="0.2">
      <c r="B17" s="877"/>
      <c r="C17" s="342" t="s">
        <v>278</v>
      </c>
      <c r="D17" s="219" t="s">
        <v>279</v>
      </c>
      <c r="E17" s="219" t="s">
        <v>271</v>
      </c>
      <c r="F17" s="200" t="s">
        <v>207</v>
      </c>
      <c r="G17" s="339">
        <f>718950*12</f>
        <v>8627400</v>
      </c>
      <c r="H17" s="417">
        <f>+G17*(1+$H$7)</f>
        <v>9576414</v>
      </c>
      <c r="I17" s="57">
        <v>220500</v>
      </c>
      <c r="J17" s="57">
        <v>162394</v>
      </c>
      <c r="K17" s="417">
        <f t="shared" si="1"/>
        <v>9959308</v>
      </c>
      <c r="L17" s="879"/>
      <c r="N17" s="215"/>
      <c r="O17" s="215"/>
      <c r="P17" s="14"/>
      <c r="Q17" s="14"/>
      <c r="R17" s="14"/>
      <c r="S17" s="213"/>
      <c r="T17" s="212"/>
      <c r="U17" s="212"/>
      <c r="V17" s="212"/>
      <c r="W17" s="212"/>
      <c r="X17" s="2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</row>
    <row r="18" spans="2:259" customFormat="1" x14ac:dyDescent="0.2">
      <c r="B18" s="877"/>
      <c r="C18" s="342"/>
      <c r="D18" s="219"/>
      <c r="E18" s="219"/>
      <c r="F18" s="200"/>
      <c r="G18" s="339"/>
      <c r="H18" s="417">
        <f t="shared" si="0"/>
        <v>0</v>
      </c>
      <c r="I18" s="57">
        <v>0</v>
      </c>
      <c r="J18" s="57">
        <v>0</v>
      </c>
      <c r="K18" s="417">
        <f t="shared" si="1"/>
        <v>0</v>
      </c>
      <c r="L18" s="879"/>
      <c r="N18" s="215"/>
      <c r="O18" s="215"/>
      <c r="P18" s="14"/>
      <c r="Q18" s="14"/>
      <c r="R18" s="14"/>
      <c r="S18" s="213"/>
      <c r="T18" s="212"/>
      <c r="U18" s="212"/>
      <c r="V18" s="212"/>
      <c r="W18" s="212"/>
      <c r="X18" s="214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</row>
    <row r="19" spans="2:259" customFormat="1" x14ac:dyDescent="0.2">
      <c r="B19" s="877"/>
      <c r="C19" s="342"/>
      <c r="D19" s="219"/>
      <c r="E19" s="219"/>
      <c r="F19" s="200"/>
      <c r="G19" s="339"/>
      <c r="H19" s="417">
        <f t="shared" si="0"/>
        <v>0</v>
      </c>
      <c r="I19" s="57">
        <v>0</v>
      </c>
      <c r="J19" s="57">
        <v>0</v>
      </c>
      <c r="K19" s="417">
        <f t="shared" si="1"/>
        <v>0</v>
      </c>
      <c r="L19" s="879"/>
      <c r="N19" s="215"/>
      <c r="O19" s="215"/>
      <c r="P19" s="14"/>
      <c r="Q19" s="14"/>
      <c r="R19" s="14"/>
      <c r="S19" s="213"/>
      <c r="T19" s="212"/>
      <c r="U19" s="212"/>
      <c r="V19" s="212"/>
      <c r="W19" s="212"/>
      <c r="X19" s="214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</row>
    <row r="20" spans="2:259" customFormat="1" x14ac:dyDescent="0.2">
      <c r="B20" s="877"/>
      <c r="C20" s="342"/>
      <c r="D20" s="219"/>
      <c r="E20" s="219"/>
      <c r="F20" s="200"/>
      <c r="G20" s="339"/>
      <c r="H20" s="417">
        <f t="shared" si="0"/>
        <v>0</v>
      </c>
      <c r="I20" s="57">
        <v>0</v>
      </c>
      <c r="J20" s="57">
        <v>0</v>
      </c>
      <c r="K20" s="417">
        <f t="shared" si="1"/>
        <v>0</v>
      </c>
      <c r="L20" s="879"/>
      <c r="N20" s="215"/>
      <c r="O20" s="215"/>
      <c r="P20" s="14"/>
      <c r="Q20" s="14"/>
      <c r="R20" s="14"/>
      <c r="S20" s="213"/>
      <c r="T20" s="212"/>
      <c r="U20" s="212"/>
      <c r="V20" s="212"/>
      <c r="W20" s="212"/>
      <c r="X20" s="2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</row>
    <row r="21" spans="2:259" customFormat="1" x14ac:dyDescent="0.2">
      <c r="B21" s="877"/>
      <c r="C21" s="342"/>
      <c r="D21" s="219"/>
      <c r="E21" s="219"/>
      <c r="F21" s="200"/>
      <c r="G21" s="339"/>
      <c r="H21" s="417">
        <f t="shared" si="0"/>
        <v>0</v>
      </c>
      <c r="I21" s="57">
        <v>0</v>
      </c>
      <c r="J21" s="57">
        <v>0</v>
      </c>
      <c r="K21" s="417">
        <f t="shared" si="1"/>
        <v>0</v>
      </c>
      <c r="L21" s="879"/>
      <c r="N21" s="215"/>
      <c r="O21" s="215"/>
      <c r="P21" s="14"/>
      <c r="Q21" s="14"/>
      <c r="R21" s="14"/>
      <c r="S21" s="213"/>
      <c r="T21" s="212"/>
      <c r="U21" s="212"/>
      <c r="V21" s="212"/>
      <c r="W21" s="212"/>
      <c r="X21" s="2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</row>
    <row r="22" spans="2:259" customFormat="1" ht="13.5" thickBot="1" x14ac:dyDescent="0.25">
      <c r="B22" s="877"/>
      <c r="C22" s="343"/>
      <c r="D22" s="217"/>
      <c r="E22" s="217"/>
      <c r="F22" s="201"/>
      <c r="G22" s="340"/>
      <c r="H22" s="418">
        <f t="shared" si="0"/>
        <v>0</v>
      </c>
      <c r="I22" s="198">
        <v>0</v>
      </c>
      <c r="J22" s="198">
        <v>0</v>
      </c>
      <c r="K22" s="418">
        <f t="shared" si="1"/>
        <v>0</v>
      </c>
      <c r="L22" s="878"/>
      <c r="N22" s="215"/>
      <c r="O22" s="215"/>
      <c r="P22" s="14"/>
      <c r="Q22" s="14"/>
      <c r="R22" s="14"/>
      <c r="S22" s="213"/>
      <c r="T22" s="212"/>
      <c r="U22" s="212"/>
      <c r="V22" s="212"/>
      <c r="W22" s="212"/>
      <c r="X22" s="2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</row>
    <row r="23" spans="2:259" customFormat="1" ht="12.75" customHeight="1" x14ac:dyDescent="0.2">
      <c r="B23" s="894" t="s">
        <v>222</v>
      </c>
      <c r="C23" s="533" t="s">
        <v>272</v>
      </c>
      <c r="D23" s="199" t="s">
        <v>273</v>
      </c>
      <c r="E23" s="199" t="s">
        <v>267</v>
      </c>
      <c r="F23" s="529" t="s">
        <v>274</v>
      </c>
      <c r="G23" s="534">
        <f>877998*12</f>
        <v>10535976</v>
      </c>
      <c r="H23" s="419">
        <f t="shared" si="0"/>
        <v>11694933.360000001</v>
      </c>
      <c r="I23" s="60">
        <v>330540</v>
      </c>
      <c r="J23" s="60">
        <v>162394</v>
      </c>
      <c r="K23" s="419">
        <f t="shared" si="1"/>
        <v>12187867.360000001</v>
      </c>
      <c r="L23" s="895">
        <f>SUM(K23:K30)</f>
        <v>21375872.040000003</v>
      </c>
      <c r="N23" s="215"/>
      <c r="O23" s="215"/>
      <c r="P23" s="14"/>
      <c r="Q23" s="14"/>
      <c r="R23" s="14"/>
      <c r="S23" s="213"/>
      <c r="T23" s="212"/>
      <c r="U23" s="212"/>
      <c r="V23" s="212"/>
      <c r="W23" s="212"/>
      <c r="X23" s="2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</row>
    <row r="24" spans="2:259" customFormat="1" ht="12.75" customHeight="1" x14ac:dyDescent="0.2">
      <c r="B24" s="735"/>
      <c r="C24" s="342" t="s">
        <v>275</v>
      </c>
      <c r="D24" s="219" t="s">
        <v>276</v>
      </c>
      <c r="E24" s="219" t="s">
        <v>277</v>
      </c>
      <c r="F24" s="200" t="s">
        <v>274</v>
      </c>
      <c r="G24" s="339">
        <f>652499*12</f>
        <v>7829988</v>
      </c>
      <c r="H24" s="417">
        <f t="shared" si="0"/>
        <v>8691286.6800000016</v>
      </c>
      <c r="I24" s="216">
        <v>330540</v>
      </c>
      <c r="J24" s="216">
        <v>166178</v>
      </c>
      <c r="K24" s="417">
        <f t="shared" si="1"/>
        <v>9188004.6800000016</v>
      </c>
      <c r="L24" s="878"/>
      <c r="N24" s="215"/>
      <c r="O24" s="215"/>
      <c r="P24" s="14"/>
      <c r="Q24" s="14"/>
      <c r="R24" s="14"/>
      <c r="S24" s="213"/>
      <c r="T24" s="212"/>
      <c r="U24" s="212"/>
      <c r="V24" s="212"/>
      <c r="W24" s="212"/>
      <c r="X24" s="2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</row>
    <row r="25" spans="2:259" customFormat="1" ht="12.75" customHeight="1" x14ac:dyDescent="0.2">
      <c r="B25" s="735"/>
      <c r="C25" s="342"/>
      <c r="D25" s="219"/>
      <c r="E25" s="219"/>
      <c r="F25" s="200"/>
      <c r="G25" s="339"/>
      <c r="H25" s="417">
        <f t="shared" si="0"/>
        <v>0</v>
      </c>
      <c r="I25" s="216">
        <v>0</v>
      </c>
      <c r="J25" s="216">
        <v>0</v>
      </c>
      <c r="K25" s="417">
        <f t="shared" si="1"/>
        <v>0</v>
      </c>
      <c r="L25" s="878"/>
      <c r="N25" s="215"/>
      <c r="O25" s="215"/>
      <c r="P25" s="14"/>
      <c r="Q25" s="14"/>
      <c r="R25" s="14"/>
      <c r="S25" s="213"/>
      <c r="T25" s="212"/>
      <c r="U25" s="212"/>
      <c r="V25" s="212"/>
      <c r="W25" s="212"/>
      <c r="X25" s="2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</row>
    <row r="26" spans="2:259" customFormat="1" ht="12.75" customHeight="1" x14ac:dyDescent="0.2">
      <c r="B26" s="735"/>
      <c r="C26" s="342"/>
      <c r="D26" s="219"/>
      <c r="E26" s="219"/>
      <c r="F26" s="200"/>
      <c r="G26" s="339"/>
      <c r="H26" s="417">
        <f t="shared" si="0"/>
        <v>0</v>
      </c>
      <c r="I26" s="216">
        <v>0</v>
      </c>
      <c r="J26" s="216">
        <v>0</v>
      </c>
      <c r="K26" s="417">
        <f t="shared" si="1"/>
        <v>0</v>
      </c>
      <c r="L26" s="878"/>
      <c r="N26" s="215"/>
      <c r="O26" s="215"/>
      <c r="P26" s="14"/>
      <c r="Q26" s="14"/>
      <c r="R26" s="14"/>
      <c r="S26" s="213"/>
      <c r="T26" s="212"/>
      <c r="U26" s="212"/>
      <c r="V26" s="212"/>
      <c r="W26" s="212"/>
      <c r="X26" s="2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</row>
    <row r="27" spans="2:259" customFormat="1" ht="12.75" customHeight="1" x14ac:dyDescent="0.2">
      <c r="B27" s="735"/>
      <c r="C27" s="342"/>
      <c r="D27" s="219"/>
      <c r="E27" s="219"/>
      <c r="F27" s="200"/>
      <c r="G27" s="339"/>
      <c r="H27" s="417">
        <f t="shared" si="0"/>
        <v>0</v>
      </c>
      <c r="I27" s="216">
        <v>0</v>
      </c>
      <c r="J27" s="216">
        <v>0</v>
      </c>
      <c r="K27" s="417">
        <f t="shared" si="1"/>
        <v>0</v>
      </c>
      <c r="L27" s="878"/>
      <c r="N27" s="215"/>
      <c r="O27" s="215"/>
      <c r="P27" s="14"/>
      <c r="Q27" s="14"/>
      <c r="R27" s="14"/>
      <c r="S27" s="213"/>
      <c r="T27" s="212"/>
      <c r="U27" s="212"/>
      <c r="V27" s="212"/>
      <c r="W27" s="212"/>
      <c r="X27" s="2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</row>
    <row r="28" spans="2:259" customFormat="1" ht="12.75" customHeight="1" x14ac:dyDescent="0.2">
      <c r="B28" s="735"/>
      <c r="C28" s="342"/>
      <c r="D28" s="219"/>
      <c r="E28" s="219"/>
      <c r="F28" s="200"/>
      <c r="G28" s="339"/>
      <c r="H28" s="417">
        <f t="shared" si="0"/>
        <v>0</v>
      </c>
      <c r="I28" s="216">
        <v>0</v>
      </c>
      <c r="J28" s="216">
        <v>0</v>
      </c>
      <c r="K28" s="417">
        <f t="shared" si="1"/>
        <v>0</v>
      </c>
      <c r="L28" s="878"/>
      <c r="N28" s="215"/>
      <c r="O28" s="215"/>
      <c r="P28" s="14"/>
      <c r="Q28" s="14"/>
      <c r="R28" s="14"/>
      <c r="S28" s="213"/>
      <c r="T28" s="212"/>
      <c r="U28" s="212"/>
      <c r="V28" s="212"/>
      <c r="W28" s="212"/>
      <c r="X28" s="21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</row>
    <row r="29" spans="2:259" customFormat="1" ht="12.75" customHeight="1" x14ac:dyDescent="0.2">
      <c r="B29" s="735"/>
      <c r="C29" s="342"/>
      <c r="D29" s="219"/>
      <c r="E29" s="219"/>
      <c r="F29" s="200"/>
      <c r="G29" s="339">
        <v>0</v>
      </c>
      <c r="H29" s="417">
        <f t="shared" si="0"/>
        <v>0</v>
      </c>
      <c r="I29" s="216">
        <v>0</v>
      </c>
      <c r="J29" s="216">
        <v>0</v>
      </c>
      <c r="K29" s="417">
        <f t="shared" si="1"/>
        <v>0</v>
      </c>
      <c r="L29" s="878"/>
      <c r="N29" s="215"/>
      <c r="O29" s="215"/>
      <c r="P29" s="14"/>
      <c r="Q29" s="14"/>
      <c r="R29" s="14"/>
      <c r="S29" s="213"/>
      <c r="T29" s="212"/>
      <c r="U29" s="212"/>
      <c r="V29" s="212"/>
      <c r="W29" s="212"/>
      <c r="X29" s="2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</row>
    <row r="30" spans="2:259" customFormat="1" ht="13.5" customHeight="1" thickBot="1" x14ac:dyDescent="0.25">
      <c r="B30" s="736"/>
      <c r="C30" s="343"/>
      <c r="D30" s="217"/>
      <c r="E30" s="217"/>
      <c r="F30" s="201"/>
      <c r="G30" s="341">
        <v>0</v>
      </c>
      <c r="H30" s="420">
        <f t="shared" si="0"/>
        <v>0</v>
      </c>
      <c r="I30" s="218">
        <v>0</v>
      </c>
      <c r="J30" s="218">
        <v>0</v>
      </c>
      <c r="K30" s="420">
        <f t="shared" si="1"/>
        <v>0</v>
      </c>
      <c r="L30" s="896"/>
      <c r="N30" s="215"/>
      <c r="O30" s="215"/>
      <c r="P30" s="14"/>
      <c r="Q30" s="14"/>
      <c r="R30" s="14"/>
      <c r="S30" s="213"/>
      <c r="T30" s="212"/>
      <c r="U30" s="212"/>
      <c r="V30" s="212"/>
      <c r="W30" s="212"/>
      <c r="X30" s="2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</row>
    <row r="31" spans="2:259" customFormat="1" ht="12.75" customHeight="1" x14ac:dyDescent="0.2">
      <c r="B31" s="888" t="s">
        <v>223</v>
      </c>
      <c r="C31" s="404"/>
      <c r="D31" s="405"/>
      <c r="E31" s="405"/>
      <c r="F31" s="406"/>
      <c r="G31" s="401"/>
      <c r="H31" s="401"/>
      <c r="I31" s="407"/>
      <c r="J31" s="407"/>
      <c r="K31" s="401"/>
      <c r="L31" s="891"/>
      <c r="N31" s="215"/>
      <c r="O31" s="215"/>
      <c r="P31" s="14"/>
      <c r="Q31" s="14"/>
      <c r="R31" s="14"/>
      <c r="S31" s="213"/>
      <c r="T31" s="212"/>
      <c r="U31" s="212"/>
      <c r="V31" s="212"/>
      <c r="W31" s="212"/>
      <c r="X31" s="2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</row>
    <row r="32" spans="2:259" customFormat="1" ht="12.75" customHeight="1" x14ac:dyDescent="0.2">
      <c r="B32" s="889"/>
      <c r="C32" s="408"/>
      <c r="D32" s="409"/>
      <c r="E32" s="409"/>
      <c r="F32" s="410"/>
      <c r="G32" s="402"/>
      <c r="H32" s="402"/>
      <c r="I32" s="411"/>
      <c r="J32" s="411"/>
      <c r="K32" s="402"/>
      <c r="L32" s="892"/>
      <c r="N32" s="215"/>
      <c r="O32" s="215"/>
      <c r="P32" s="14"/>
      <c r="Q32" s="14"/>
      <c r="R32" s="14"/>
      <c r="S32" s="213"/>
      <c r="T32" s="212"/>
      <c r="U32" s="212"/>
      <c r="V32" s="212"/>
      <c r="W32" s="212"/>
      <c r="X32" s="214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</row>
    <row r="33" spans="2:259" customFormat="1" ht="12.75" customHeight="1" x14ac:dyDescent="0.2">
      <c r="B33" s="889"/>
      <c r="C33" s="408"/>
      <c r="D33" s="409"/>
      <c r="E33" s="409"/>
      <c r="F33" s="410"/>
      <c r="G33" s="402"/>
      <c r="H33" s="402"/>
      <c r="I33" s="411"/>
      <c r="J33" s="411"/>
      <c r="K33" s="402"/>
      <c r="L33" s="892"/>
      <c r="N33" s="215"/>
      <c r="O33" s="215"/>
      <c r="P33" s="14"/>
      <c r="Q33" s="14"/>
      <c r="R33" s="14"/>
      <c r="S33" s="213"/>
      <c r="T33" s="212"/>
      <c r="U33" s="212"/>
      <c r="V33" s="212"/>
      <c r="W33" s="212"/>
      <c r="X33" s="214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</row>
    <row r="34" spans="2:259" customFormat="1" ht="12.75" customHeight="1" x14ac:dyDescent="0.2">
      <c r="B34" s="889"/>
      <c r="C34" s="408"/>
      <c r="D34" s="409"/>
      <c r="E34" s="409"/>
      <c r="F34" s="410"/>
      <c r="G34" s="402"/>
      <c r="H34" s="402"/>
      <c r="I34" s="411"/>
      <c r="J34" s="411"/>
      <c r="K34" s="402"/>
      <c r="L34" s="892"/>
      <c r="N34" s="215"/>
      <c r="O34" s="215"/>
      <c r="P34" s="14"/>
      <c r="Q34" s="14"/>
      <c r="R34" s="14"/>
      <c r="S34" s="213"/>
      <c r="T34" s="212"/>
      <c r="U34" s="212"/>
      <c r="V34" s="212"/>
      <c r="W34" s="212"/>
      <c r="X34" s="2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</row>
    <row r="35" spans="2:259" customFormat="1" ht="12.75" customHeight="1" x14ac:dyDescent="0.2">
      <c r="B35" s="889"/>
      <c r="C35" s="408"/>
      <c r="D35" s="409"/>
      <c r="E35" s="409"/>
      <c r="F35" s="410"/>
      <c r="G35" s="402"/>
      <c r="H35" s="402"/>
      <c r="I35" s="411"/>
      <c r="J35" s="411"/>
      <c r="K35" s="402"/>
      <c r="L35" s="892"/>
      <c r="N35" s="215"/>
      <c r="O35" s="215"/>
      <c r="P35" s="14"/>
      <c r="Q35" s="14"/>
      <c r="R35" s="14"/>
      <c r="S35" s="213"/>
      <c r="T35" s="212"/>
      <c r="U35" s="212"/>
      <c r="V35" s="212"/>
      <c r="W35" s="212"/>
      <c r="X35" s="2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</row>
    <row r="36" spans="2:259" customFormat="1" ht="12.75" customHeight="1" thickBot="1" x14ac:dyDescent="0.25">
      <c r="B36" s="890"/>
      <c r="C36" s="412"/>
      <c r="D36" s="413"/>
      <c r="E36" s="413"/>
      <c r="F36" s="414"/>
      <c r="G36" s="403"/>
      <c r="H36" s="403"/>
      <c r="I36" s="415"/>
      <c r="J36" s="415"/>
      <c r="K36" s="403"/>
      <c r="L36" s="893"/>
      <c r="N36" s="215"/>
      <c r="O36" s="215"/>
      <c r="P36" s="14"/>
      <c r="Q36" s="14"/>
      <c r="R36" s="14"/>
      <c r="S36" s="213"/>
      <c r="T36" s="212"/>
      <c r="U36" s="212"/>
      <c r="V36" s="212"/>
      <c r="W36" s="212"/>
      <c r="X36" s="214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</row>
    <row r="37" spans="2:259" ht="12.75" customHeight="1" thickBot="1" x14ac:dyDescent="0.25">
      <c r="B37" s="18"/>
      <c r="C37"/>
      <c r="D37"/>
      <c r="E37" s="25"/>
      <c r="F37" s="25"/>
      <c r="G37" s="25"/>
      <c r="H37" s="25"/>
      <c r="I37" s="25"/>
      <c r="J37" s="25"/>
      <c r="K37" s="61" t="s">
        <v>93</v>
      </c>
      <c r="L37" s="62">
        <f>SUM(L11:L36)</f>
        <v>48117342.600000009</v>
      </c>
      <c r="N37" s="19"/>
      <c r="O37" s="19"/>
      <c r="P37" s="19"/>
      <c r="Q37" s="215"/>
      <c r="R37" s="215"/>
      <c r="S37" s="215"/>
      <c r="T37" s="21"/>
      <c r="U37" s="21"/>
      <c r="V37" s="22"/>
      <c r="W37" s="22"/>
    </row>
    <row r="38" spans="2:259" ht="12.75" customHeight="1" x14ac:dyDescent="0.2">
      <c r="B38" s="18"/>
      <c r="C38"/>
      <c r="D38"/>
      <c r="E38" s="25"/>
      <c r="F38" s="25"/>
      <c r="G38" s="25"/>
      <c r="H38" s="25"/>
      <c r="I38" s="25"/>
      <c r="J38" s="25"/>
      <c r="K38" s="23"/>
      <c r="L38" s="23"/>
      <c r="M38" s="23"/>
      <c r="N38" s="19"/>
      <c r="O38" s="19"/>
      <c r="P38" s="19"/>
      <c r="Q38" s="215"/>
      <c r="R38" s="215"/>
      <c r="S38" s="215"/>
      <c r="T38" s="21"/>
      <c r="U38" s="21"/>
      <c r="V38" s="22"/>
      <c r="W38" s="22"/>
    </row>
    <row r="39" spans="2:259" ht="12.75" customHeight="1" x14ac:dyDescent="0.2">
      <c r="B39" s="18"/>
      <c r="C39" s="18"/>
      <c r="D39" s="18"/>
      <c r="E39" s="18"/>
      <c r="F39" s="18"/>
      <c r="G39" s="18"/>
      <c r="H39" s="18"/>
      <c r="I39" s="18"/>
      <c r="J39" s="18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2"/>
      <c r="W39" s="22"/>
    </row>
    <row r="40" spans="2:259" ht="12.75" customHeigh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2"/>
      <c r="W40" s="22"/>
    </row>
    <row r="41" spans="2:259" x14ac:dyDescent="0.2">
      <c r="B41" s="18"/>
      <c r="C41" s="18"/>
      <c r="D41" s="18"/>
      <c r="E41" s="18"/>
      <c r="F41" s="18"/>
      <c r="G41" s="18"/>
      <c r="H41" s="18"/>
      <c r="I41" s="18"/>
      <c r="J41" s="18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2"/>
      <c r="W41" s="22"/>
    </row>
    <row r="42" spans="2:259" x14ac:dyDescent="0.2">
      <c r="B42" s="18"/>
      <c r="C42" s="18"/>
      <c r="D42" s="18"/>
      <c r="E42" s="18"/>
      <c r="F42" s="18"/>
      <c r="G42" s="18"/>
      <c r="H42" s="18"/>
      <c r="I42" s="18"/>
      <c r="J42" s="18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2"/>
      <c r="W42" s="22"/>
    </row>
    <row r="43" spans="2:259" x14ac:dyDescent="0.2">
      <c r="B43" s="18"/>
      <c r="C43" s="18"/>
      <c r="D43" s="18"/>
      <c r="E43" s="18"/>
      <c r="F43" s="18"/>
      <c r="G43" s="18"/>
      <c r="H43" s="18"/>
      <c r="I43" s="18"/>
      <c r="J43" s="18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2"/>
      <c r="W43" s="22"/>
    </row>
    <row r="44" spans="2:259" x14ac:dyDescent="0.2">
      <c r="B44" s="18"/>
      <c r="C44" s="18"/>
      <c r="D44" s="18"/>
      <c r="E44" s="18"/>
      <c r="F44" s="18"/>
      <c r="G44" s="18"/>
      <c r="H44" s="18"/>
      <c r="I44" s="18"/>
      <c r="J44" s="18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2"/>
      <c r="W44" s="22"/>
    </row>
  </sheetData>
  <mergeCells count="19">
    <mergeCell ref="B31:B36"/>
    <mergeCell ref="L31:L36"/>
    <mergeCell ref="B23:B30"/>
    <mergeCell ref="L23:L30"/>
    <mergeCell ref="K9:K10"/>
    <mergeCell ref="L9:L10"/>
    <mergeCell ref="G9:G10"/>
    <mergeCell ref="H9:H10"/>
    <mergeCell ref="I9:I10"/>
    <mergeCell ref="J9:J10"/>
    <mergeCell ref="T10:W10"/>
    <mergeCell ref="B11:B22"/>
    <mergeCell ref="L11:L22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zoomScale="80" zoomScaleNormal="80" workbookViewId="0">
      <selection activeCell="O17" sqref="O17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5703125" style="2" bestFit="1" customWidth="1"/>
    <col min="14" max="14" width="14.7109375" style="2" customWidth="1"/>
    <col min="15" max="15" width="33.5703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24"/>
      <c r="C1" s="24"/>
      <c r="D1" s="24" t="s">
        <v>203</v>
      </c>
      <c r="E1" s="24"/>
      <c r="F1" s="24"/>
      <c r="G1" s="24"/>
      <c r="H1" s="24"/>
      <c r="I1" s="24"/>
      <c r="J1" s="24"/>
      <c r="K1" s="24"/>
      <c r="L1" s="24"/>
      <c r="M1" s="24"/>
      <c r="N1" s="24"/>
      <c r="P1" s="24"/>
    </row>
    <row r="2" spans="1:19" x14ac:dyDescent="0.2">
      <c r="B2" s="24"/>
      <c r="C2" s="24"/>
      <c r="D2" s="24" t="s">
        <v>195</v>
      </c>
      <c r="E2" s="24"/>
      <c r="F2" s="24"/>
      <c r="G2" s="24"/>
      <c r="H2" s="24"/>
      <c r="I2" s="24"/>
      <c r="J2" s="24"/>
      <c r="K2" s="24"/>
      <c r="L2" s="24"/>
      <c r="M2" s="24"/>
      <c r="N2" s="24"/>
      <c r="P2" s="24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3" t="s">
        <v>0</v>
      </c>
      <c r="D4" s="912" t="str">
        <f>+'B) Reajuste Tarifas y Ocupación'!F5</f>
        <v>(DEPTO./DELEG.)</v>
      </c>
      <c r="E4" s="699"/>
      <c r="F4" s="913"/>
      <c r="G4" s="24"/>
      <c r="H4" s="24"/>
      <c r="I4" s="24"/>
      <c r="J4" s="24"/>
      <c r="K4" s="24"/>
      <c r="L4" s="24"/>
      <c r="N4" s="24"/>
      <c r="P4" s="24"/>
    </row>
    <row r="5" spans="1:19" x14ac:dyDescent="0.2">
      <c r="A5" s="6"/>
      <c r="B5" s="6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P5" s="24"/>
    </row>
    <row r="6" spans="1:19" x14ac:dyDescent="0.2">
      <c r="A6" s="6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P6" s="24"/>
    </row>
    <row r="7" spans="1:19" ht="12.75" customHeight="1" x14ac:dyDescent="0.2">
      <c r="A7" s="925" t="s">
        <v>127</v>
      </c>
      <c r="B7" s="926"/>
      <c r="C7" s="926"/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7"/>
      <c r="P7" s="28"/>
    </row>
    <row r="8" spans="1:19" x14ac:dyDescent="0.2">
      <c r="A8" s="928"/>
      <c r="B8" s="929"/>
      <c r="C8" s="929"/>
      <c r="D8" s="929"/>
      <c r="E8" s="929"/>
      <c r="F8" s="929"/>
      <c r="G8" s="929"/>
      <c r="H8" s="929"/>
      <c r="I8" s="929"/>
      <c r="J8" s="929"/>
      <c r="K8" s="929"/>
      <c r="L8" s="929"/>
      <c r="M8" s="929"/>
      <c r="N8" s="929"/>
      <c r="O8" s="930"/>
      <c r="P8" s="28"/>
    </row>
    <row r="9" spans="1:19" x14ac:dyDescent="0.2">
      <c r="A9" s="931"/>
      <c r="B9" s="932"/>
      <c r="C9" s="932"/>
      <c r="D9" s="932"/>
      <c r="E9" s="932"/>
      <c r="F9" s="932"/>
      <c r="G9" s="932"/>
      <c r="H9" s="932"/>
      <c r="I9" s="932"/>
      <c r="J9" s="932"/>
      <c r="K9" s="932"/>
      <c r="L9" s="932"/>
      <c r="M9" s="932"/>
      <c r="N9" s="932"/>
      <c r="O9" s="933"/>
      <c r="P9" s="28"/>
    </row>
    <row r="10" spans="1:19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9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9" ht="15.75" x14ac:dyDescent="0.2">
      <c r="A12" s="717" t="s">
        <v>157</v>
      </c>
      <c r="B12" s="717"/>
      <c r="C12" s="717"/>
      <c r="D12" s="717"/>
      <c r="E12" s="48"/>
      <c r="F12" s="28"/>
      <c r="G12" s="28"/>
      <c r="H12" s="28"/>
      <c r="I12" s="27"/>
      <c r="J12" s="27"/>
      <c r="K12" s="28"/>
      <c r="L12" s="28"/>
      <c r="M12" s="28"/>
      <c r="N12" s="28"/>
      <c r="O12" s="28"/>
      <c r="P12" s="28"/>
    </row>
    <row r="13" spans="1:19" ht="13.5" thickBot="1" x14ac:dyDescent="0.25">
      <c r="A13" s="6"/>
      <c r="B13" s="6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P13" s="24"/>
    </row>
    <row r="14" spans="1:19" ht="20.25" customHeight="1" x14ac:dyDescent="0.2">
      <c r="A14" s="916" t="s">
        <v>132</v>
      </c>
      <c r="B14" s="918" t="s">
        <v>5</v>
      </c>
      <c r="C14" s="706" t="s">
        <v>257</v>
      </c>
      <c r="D14" s="707"/>
      <c r="E14" s="707"/>
      <c r="F14" s="707"/>
      <c r="G14" s="708"/>
      <c r="H14" s="922" t="s">
        <v>138</v>
      </c>
      <c r="I14" s="923"/>
      <c r="J14" s="923"/>
      <c r="K14" s="923"/>
      <c r="L14" s="924"/>
      <c r="M14" s="920" t="s">
        <v>108</v>
      </c>
      <c r="N14" s="921"/>
      <c r="O14" s="914" t="s">
        <v>109</v>
      </c>
      <c r="P14" s="915"/>
      <c r="Q14" s="910" t="s">
        <v>128</v>
      </c>
    </row>
    <row r="15" spans="1:19" ht="70.5" customHeight="1" thickBot="1" x14ac:dyDescent="0.25">
      <c r="A15" s="917"/>
      <c r="B15" s="919"/>
      <c r="C15" s="158" t="s">
        <v>85</v>
      </c>
      <c r="D15" s="159" t="s">
        <v>133</v>
      </c>
      <c r="E15" s="159" t="s">
        <v>134</v>
      </c>
      <c r="F15" s="159" t="s">
        <v>86</v>
      </c>
      <c r="G15" s="160" t="s">
        <v>87</v>
      </c>
      <c r="H15" s="161" t="s">
        <v>85</v>
      </c>
      <c r="I15" s="162" t="s">
        <v>133</v>
      </c>
      <c r="J15" s="162" t="s">
        <v>134</v>
      </c>
      <c r="K15" s="162" t="s">
        <v>86</v>
      </c>
      <c r="L15" s="163" t="s">
        <v>87</v>
      </c>
      <c r="M15" s="164" t="s">
        <v>72</v>
      </c>
      <c r="N15" s="59" t="s">
        <v>84</v>
      </c>
      <c r="O15" s="165" t="s">
        <v>72</v>
      </c>
      <c r="P15" s="59" t="s">
        <v>84</v>
      </c>
      <c r="Q15" s="911"/>
    </row>
    <row r="16" spans="1:19" ht="12.75" customHeight="1" x14ac:dyDescent="0.2">
      <c r="A16" s="907" t="str">
        <f>'B) Reajuste Tarifas y Ocupación'!A12</f>
        <v>Jardín Infantil Olitas de Mar</v>
      </c>
      <c r="B16" s="166" t="str">
        <f>+'B) Reajuste Tarifas y Ocupación'!B12</f>
        <v>Media jornada</v>
      </c>
      <c r="C16" s="143">
        <f>+'B) Reajuste Tarifas y Ocupación'!M12</f>
        <v>78700</v>
      </c>
      <c r="D16" s="144">
        <f>+'B) Reajuste Tarifas y Ocupación'!N12</f>
        <v>106200</v>
      </c>
      <c r="E16" s="144">
        <f>+'B) Reajuste Tarifas y Ocupación'!O12</f>
        <v>110100</v>
      </c>
      <c r="F16" s="144">
        <f>+'B) Reajuste Tarifas y Ocupación'!P12</f>
        <v>118900</v>
      </c>
      <c r="G16" s="145">
        <f>+'B) Reajuste Tarifas y Ocupación'!Q12</f>
        <v>190700</v>
      </c>
      <c r="H16" s="169">
        <f t="shared" ref="H16:K17" si="0">IFERROR(C16/$Q16,0)</f>
        <v>0.31797979797979797</v>
      </c>
      <c r="I16" s="50">
        <f t="shared" si="0"/>
        <v>0.42909090909090908</v>
      </c>
      <c r="J16" s="50">
        <f t="shared" si="0"/>
        <v>0.44484848484848483</v>
      </c>
      <c r="K16" s="50">
        <f t="shared" si="0"/>
        <v>0.48040404040404039</v>
      </c>
      <c r="L16" s="51">
        <f t="shared" ref="L16" si="1">IFERROR(G16/$Q16,0)</f>
        <v>0.77050505050505047</v>
      </c>
      <c r="M16" s="90" t="s">
        <v>289</v>
      </c>
      <c r="N16" s="535">
        <v>245000</v>
      </c>
      <c r="O16" s="90" t="s">
        <v>291</v>
      </c>
      <c r="P16" s="535">
        <v>250000</v>
      </c>
      <c r="Q16" s="171">
        <f>AVERAGE(N16,P16)</f>
        <v>247500</v>
      </c>
      <c r="R16" s="14"/>
      <c r="S16" s="15"/>
    </row>
    <row r="17" spans="1:19" ht="12.75" customHeight="1" x14ac:dyDescent="0.2">
      <c r="A17" s="908"/>
      <c r="B17" s="167" t="str">
        <f>+'B) Reajuste Tarifas y Ocupación'!B13</f>
        <v>Media jornada Extendida</v>
      </c>
      <c r="C17" s="146">
        <f>+'B) Reajuste Tarifas y Ocupación'!M13</f>
        <v>89800</v>
      </c>
      <c r="D17" s="142">
        <f>+'B) Reajuste Tarifas y Ocupación'!N13</f>
        <v>121200</v>
      </c>
      <c r="E17" s="142">
        <f>+'B) Reajuste Tarifas y Ocupación'!O13</f>
        <v>125600</v>
      </c>
      <c r="F17" s="142">
        <f>+'B) Reajuste Tarifas y Ocupación'!P13</f>
        <v>169800</v>
      </c>
      <c r="G17" s="147">
        <f>+'B) Reajuste Tarifas y Ocupación'!Q13</f>
        <v>253100</v>
      </c>
      <c r="H17" s="53">
        <f t="shared" si="0"/>
        <v>0</v>
      </c>
      <c r="I17" s="52">
        <f t="shared" si="0"/>
        <v>0</v>
      </c>
      <c r="J17" s="52">
        <f t="shared" si="0"/>
        <v>0</v>
      </c>
      <c r="K17" s="52">
        <f t="shared" si="0"/>
        <v>0</v>
      </c>
      <c r="L17" s="170">
        <f t="shared" ref="L17" si="2">IFERROR(G17/$Q17,0)</f>
        <v>0</v>
      </c>
      <c r="M17" s="64" t="s">
        <v>289</v>
      </c>
      <c r="N17" s="65">
        <v>0</v>
      </c>
      <c r="O17" s="64" t="s">
        <v>291</v>
      </c>
      <c r="P17" s="65">
        <v>0</v>
      </c>
      <c r="Q17" s="172">
        <f>AVERAGE(N17,P17)</f>
        <v>0</v>
      </c>
      <c r="R17" s="14"/>
      <c r="S17" s="15"/>
    </row>
    <row r="18" spans="1:19" ht="13.5" thickBot="1" x14ac:dyDescent="0.25">
      <c r="A18" s="909"/>
      <c r="B18" s="168" t="str">
        <f>+'B) Reajuste Tarifas y Ocupación'!B14</f>
        <v>Jornada Completa</v>
      </c>
      <c r="C18" s="148">
        <f>+'B) Reajuste Tarifas y Ocupación'!M14</f>
        <v>140600</v>
      </c>
      <c r="D18" s="149">
        <f>+'B) Reajuste Tarifas y Ocupación'!N14</f>
        <v>189800</v>
      </c>
      <c r="E18" s="149">
        <f>+'B) Reajuste Tarifas y Ocupación'!O14</f>
        <v>196800</v>
      </c>
      <c r="F18" s="149">
        <f>+'B) Reajuste Tarifas y Ocupación'!P14</f>
        <v>217700</v>
      </c>
      <c r="G18" s="150">
        <f>+'B) Reajuste Tarifas y Ocupación'!Q14</f>
        <v>349700</v>
      </c>
      <c r="H18" s="68">
        <f t="shared" ref="H18:H19" si="3">IFERROR(C18/$Q18,0)</f>
        <v>0.43596899224806202</v>
      </c>
      <c r="I18" s="69">
        <f t="shared" ref="I18:I19" si="4">IFERROR(D18/$Q18,0)</f>
        <v>0.58852713178294569</v>
      </c>
      <c r="J18" s="69">
        <f t="shared" ref="J18:J19" si="5">IFERROR(E18/$Q18,0)</f>
        <v>0.61023255813953492</v>
      </c>
      <c r="K18" s="69">
        <f t="shared" ref="K18:K19" si="6">IFERROR(F18/$Q18,0)</f>
        <v>0.67503875968992244</v>
      </c>
      <c r="L18" s="70">
        <f t="shared" ref="L18:L19" si="7">IFERROR(G18/$Q18,0)</f>
        <v>1.0843410852713178</v>
      </c>
      <c r="M18" s="66" t="s">
        <v>289</v>
      </c>
      <c r="N18" s="67">
        <v>345000</v>
      </c>
      <c r="O18" s="66" t="s">
        <v>291</v>
      </c>
      <c r="P18" s="67">
        <v>300000</v>
      </c>
      <c r="Q18" s="173">
        <f t="shared" ref="Q18" si="8">AVERAGE(N18,P18)</f>
        <v>322500</v>
      </c>
      <c r="R18" s="14"/>
      <c r="S18" s="15"/>
    </row>
    <row r="19" spans="1:19" x14ac:dyDescent="0.2">
      <c r="A19" s="907" t="str">
        <f>'B) Reajuste Tarifas y Ocupación'!A15</f>
        <v>Sala Cuna Olitas de Mar</v>
      </c>
      <c r="B19" s="166" t="str">
        <f>+'B) Reajuste Tarifas y Ocupación'!B15</f>
        <v>Diurna</v>
      </c>
      <c r="C19" s="143">
        <f>+'B) Reajuste Tarifas y Ocupación'!M15</f>
        <v>397800</v>
      </c>
      <c r="D19" s="144">
        <f>+'B) Reajuste Tarifas y Ocupación'!N15</f>
        <v>537000</v>
      </c>
      <c r="E19" s="144">
        <f>+'B) Reajuste Tarifas y Ocupación'!O15</f>
        <v>556900</v>
      </c>
      <c r="F19" s="144">
        <f>+'B) Reajuste Tarifas y Ocupación'!P15</f>
        <v>497200</v>
      </c>
      <c r="G19" s="145">
        <f>+'B) Reajuste Tarifas y Ocupación'!Q15</f>
        <v>596600</v>
      </c>
      <c r="H19" s="169">
        <f t="shared" si="3"/>
        <v>0</v>
      </c>
      <c r="I19" s="50">
        <f t="shared" si="4"/>
        <v>0</v>
      </c>
      <c r="J19" s="50">
        <f t="shared" si="5"/>
        <v>0</v>
      </c>
      <c r="K19" s="50">
        <f t="shared" si="6"/>
        <v>0</v>
      </c>
      <c r="L19" s="51">
        <f t="shared" si="7"/>
        <v>0</v>
      </c>
      <c r="M19" s="90" t="s">
        <v>290</v>
      </c>
      <c r="N19" s="63">
        <v>0</v>
      </c>
      <c r="O19" s="90" t="s">
        <v>292</v>
      </c>
      <c r="P19" s="63">
        <v>0</v>
      </c>
      <c r="Q19" s="171">
        <f>AVERAGE(N19,P19)</f>
        <v>0</v>
      </c>
    </row>
    <row r="20" spans="1:19" x14ac:dyDescent="0.2">
      <c r="A20" s="908"/>
      <c r="B20" s="167" t="str">
        <f>+'B) Reajuste Tarifas y Ocupación'!B16</f>
        <v>Nocturna</v>
      </c>
      <c r="C20" s="344"/>
      <c r="D20" s="345"/>
      <c r="E20" s="345"/>
      <c r="F20" s="345"/>
      <c r="G20" s="346"/>
      <c r="H20" s="349"/>
      <c r="I20" s="350"/>
      <c r="J20" s="350"/>
      <c r="K20" s="350"/>
      <c r="L20" s="351"/>
      <c r="M20" s="352"/>
      <c r="N20" s="353"/>
      <c r="O20" s="352"/>
      <c r="P20" s="353"/>
      <c r="Q20" s="354"/>
    </row>
    <row r="21" spans="1:19" ht="13.5" thickBot="1" x14ac:dyDescent="0.25">
      <c r="A21" s="909"/>
      <c r="B21" s="168" t="str">
        <f>+'B) Reajuste Tarifas y Ocupación'!B17</f>
        <v>Media Jornada</v>
      </c>
      <c r="C21" s="148">
        <f>+'B) Reajuste Tarifas y Ocupación'!M17</f>
        <v>238900</v>
      </c>
      <c r="D21" s="149">
        <f>+'B) Reajuste Tarifas y Ocupación'!N17</f>
        <v>322600</v>
      </c>
      <c r="E21" s="149">
        <f>+'B) Reajuste Tarifas y Ocupación'!O17</f>
        <v>334500</v>
      </c>
      <c r="F21" s="149">
        <f>+'B) Reajuste Tarifas y Ocupación'!P17</f>
        <v>358100</v>
      </c>
      <c r="G21" s="150">
        <f>+'B) Reajuste Tarifas y Ocupación'!Q17</f>
        <v>477400</v>
      </c>
      <c r="H21" s="68">
        <f t="shared" ref="H21" si="9">IFERROR(C21/$Q21,0)</f>
        <v>0.58268292682926826</v>
      </c>
      <c r="I21" s="69">
        <f t="shared" ref="I21" si="10">IFERROR(D21/$Q21,0)</f>
        <v>0.78682926829268296</v>
      </c>
      <c r="J21" s="69">
        <f t="shared" ref="J21" si="11">IFERROR(E21/$Q21,0)</f>
        <v>0.81585365853658531</v>
      </c>
      <c r="K21" s="69">
        <f t="shared" ref="K21" si="12">IFERROR(F21/$Q21,0)</f>
        <v>0.87341463414634146</v>
      </c>
      <c r="L21" s="70">
        <f t="shared" ref="L21" si="13">IFERROR(G21/$Q21,0)</f>
        <v>1.1643902439024389</v>
      </c>
      <c r="M21" s="66" t="s">
        <v>290</v>
      </c>
      <c r="N21" s="67">
        <v>425000</v>
      </c>
      <c r="O21" s="66" t="s">
        <v>292</v>
      </c>
      <c r="P21" s="67">
        <v>395000</v>
      </c>
      <c r="Q21" s="173">
        <f t="shared" ref="Q21" si="14">AVERAGE(N21,P21)</f>
        <v>410000</v>
      </c>
    </row>
  </sheetData>
  <sheetProtection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2024-11-18T13:26:08Z</dcterms:modified>
</cp:coreProperties>
</file>