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G:\Documentos\2024\TARIFAS 2025\TARIFAS 2025 A. EDUCACIONAL\4. PROPUESTA DIREBIEN TARIFAS 2025 A. EDUCACIONAL APROBADAS - copia\"/>
    </mc:Choice>
  </mc:AlternateContent>
  <xr:revisionPtr revIDLastSave="0" documentId="13_ncr:1_{A567DABB-AE45-4FBC-A427-D43B410BCE5A}" xr6:coauthVersionLast="47" xr6:coauthVersionMax="47" xr10:uidLastSave="{00000000-0000-0000-0000-000000000000}"/>
  <bookViews>
    <workbookView xWindow="-120" yWindow="-120" windowWidth="29040" windowHeight="15840" tabRatio="929" firstSheet="1" activeTab="3" xr2:uid="{00000000-000D-0000-FFFF-FFFF00000000}"/>
  </bookViews>
  <sheets>
    <sheet name="Instrucciones" sheetId="18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K88" i="13" l="1"/>
  <c r="J88" i="13"/>
  <c r="K87" i="13"/>
  <c r="J87" i="13"/>
  <c r="K86" i="13"/>
  <c r="J86" i="13"/>
  <c r="K85" i="13"/>
  <c r="J85" i="13"/>
  <c r="K84" i="13"/>
  <c r="J84" i="13"/>
  <c r="K80" i="13"/>
  <c r="J80" i="13"/>
  <c r="K79" i="13"/>
  <c r="J79" i="13"/>
  <c r="K78" i="13"/>
  <c r="J78" i="13"/>
  <c r="K77" i="13"/>
  <c r="J77" i="13"/>
  <c r="K76" i="13"/>
  <c r="K81" i="13" s="1"/>
  <c r="J76" i="13"/>
  <c r="W78" i="13"/>
  <c r="K72" i="13"/>
  <c r="J72" i="13"/>
  <c r="K71" i="13"/>
  <c r="J71" i="13"/>
  <c r="W70" i="13"/>
  <c r="K70" i="13"/>
  <c r="J70" i="13"/>
  <c r="K69" i="13"/>
  <c r="J69" i="13"/>
  <c r="K68" i="13"/>
  <c r="J68" i="13"/>
  <c r="S61" i="13"/>
  <c r="R61" i="13"/>
  <c r="P61" i="13"/>
  <c r="K61" i="13"/>
  <c r="N61" i="13" s="1"/>
  <c r="J61" i="13"/>
  <c r="W60" i="13"/>
  <c r="S60" i="13"/>
  <c r="K60" i="13"/>
  <c r="R60" i="13" s="1"/>
  <c r="J60" i="13"/>
  <c r="S59" i="13"/>
  <c r="K59" i="13"/>
  <c r="N59" i="13" s="1"/>
  <c r="J59" i="13"/>
  <c r="S58" i="13"/>
  <c r="K58" i="13"/>
  <c r="R58" i="13" s="1"/>
  <c r="J58" i="13"/>
  <c r="S57" i="13"/>
  <c r="K57" i="13"/>
  <c r="N57" i="13" s="1"/>
  <c r="J57" i="13"/>
  <c r="S56" i="13"/>
  <c r="K56" i="13"/>
  <c r="R56" i="13" s="1"/>
  <c r="J56" i="13"/>
  <c r="S55" i="13"/>
  <c r="K55" i="13"/>
  <c r="N55" i="13" s="1"/>
  <c r="J55" i="13"/>
  <c r="S54" i="13"/>
  <c r="K54" i="13"/>
  <c r="R54" i="13" s="1"/>
  <c r="J54" i="13"/>
  <c r="S53" i="13"/>
  <c r="K53" i="13"/>
  <c r="N53" i="13" s="1"/>
  <c r="J53" i="13"/>
  <c r="S52" i="13"/>
  <c r="K52" i="13"/>
  <c r="R52" i="13" s="1"/>
  <c r="J52" i="13"/>
  <c r="S51" i="13"/>
  <c r="K51" i="13"/>
  <c r="N51" i="13" s="1"/>
  <c r="J51" i="13"/>
  <c r="S50" i="13"/>
  <c r="K50" i="13"/>
  <c r="R50" i="13" s="1"/>
  <c r="J50" i="13"/>
  <c r="W49" i="13"/>
  <c r="S49" i="13"/>
  <c r="K49" i="13"/>
  <c r="P49" i="13" s="1"/>
  <c r="J49" i="13"/>
  <c r="S48" i="13"/>
  <c r="R48" i="13"/>
  <c r="P48" i="13"/>
  <c r="N48" i="13"/>
  <c r="K48" i="13"/>
  <c r="J48" i="13"/>
  <c r="S47" i="13"/>
  <c r="R47" i="13"/>
  <c r="K47" i="13"/>
  <c r="P47" i="13" s="1"/>
  <c r="J47" i="13"/>
  <c r="W46" i="13"/>
  <c r="S46" i="13"/>
  <c r="K46" i="13"/>
  <c r="N46" i="13" s="1"/>
  <c r="J46" i="13"/>
  <c r="S45" i="13"/>
  <c r="K45" i="13"/>
  <c r="R45" i="13" s="1"/>
  <c r="J45" i="13"/>
  <c r="S44" i="13"/>
  <c r="K44" i="13"/>
  <c r="N44" i="13" s="1"/>
  <c r="J44" i="13"/>
  <c r="S43" i="13"/>
  <c r="K43" i="13"/>
  <c r="R43" i="13" s="1"/>
  <c r="J43" i="13"/>
  <c r="S42" i="13"/>
  <c r="K42" i="13"/>
  <c r="N42" i="13" s="1"/>
  <c r="J42" i="13"/>
  <c r="W41" i="13"/>
  <c r="S41" i="13"/>
  <c r="R41" i="13"/>
  <c r="P41" i="13"/>
  <c r="K41" i="13"/>
  <c r="N41" i="13" s="1"/>
  <c r="J41" i="13"/>
  <c r="S40" i="13"/>
  <c r="K40" i="13"/>
  <c r="R40" i="13" s="1"/>
  <c r="J40" i="13"/>
  <c r="S39" i="13"/>
  <c r="R39" i="13"/>
  <c r="K39" i="13"/>
  <c r="N39" i="13" s="1"/>
  <c r="J39" i="13"/>
  <c r="S38" i="13"/>
  <c r="K38" i="13"/>
  <c r="R38" i="13" s="1"/>
  <c r="J38" i="13"/>
  <c r="S37" i="13"/>
  <c r="R37" i="13"/>
  <c r="K37" i="13"/>
  <c r="N37" i="13" s="1"/>
  <c r="J37" i="13"/>
  <c r="S36" i="13"/>
  <c r="K36" i="13"/>
  <c r="R36" i="13" s="1"/>
  <c r="J36" i="13"/>
  <c r="S35" i="13"/>
  <c r="R35" i="13"/>
  <c r="K35" i="13"/>
  <c r="N35" i="13" s="1"/>
  <c r="J35" i="13"/>
  <c r="S34" i="13"/>
  <c r="K34" i="13"/>
  <c r="R34" i="13" s="1"/>
  <c r="J34" i="13"/>
  <c r="S33" i="13"/>
  <c r="R33" i="13"/>
  <c r="K33" i="13"/>
  <c r="N33" i="13" s="1"/>
  <c r="J33" i="13"/>
  <c r="S32" i="13"/>
  <c r="K32" i="13"/>
  <c r="R32" i="13" s="1"/>
  <c r="J32" i="13"/>
  <c r="S31" i="13"/>
  <c r="R31" i="13"/>
  <c r="K31" i="13"/>
  <c r="N31" i="13" s="1"/>
  <c r="J31" i="13"/>
  <c r="S30" i="13"/>
  <c r="K30" i="13"/>
  <c r="R30" i="13" s="1"/>
  <c r="J30" i="13"/>
  <c r="S29" i="13"/>
  <c r="R29" i="13"/>
  <c r="K29" i="13"/>
  <c r="N29" i="13" s="1"/>
  <c r="J29" i="13"/>
  <c r="S28" i="13"/>
  <c r="K28" i="13"/>
  <c r="R28" i="13" s="1"/>
  <c r="J28" i="13"/>
  <c r="S27" i="13"/>
  <c r="R27" i="13"/>
  <c r="K27" i="13"/>
  <c r="N27" i="13" s="1"/>
  <c r="J27" i="13"/>
  <c r="S26" i="13"/>
  <c r="K26" i="13"/>
  <c r="R26" i="13" s="1"/>
  <c r="J26" i="13"/>
  <c r="S25" i="13"/>
  <c r="R25" i="13"/>
  <c r="K25" i="13"/>
  <c r="N25" i="13" s="1"/>
  <c r="J25" i="13"/>
  <c r="S24" i="13"/>
  <c r="K24" i="13"/>
  <c r="R24" i="13" s="1"/>
  <c r="J24" i="13"/>
  <c r="S23" i="13"/>
  <c r="R23" i="13"/>
  <c r="K23" i="13"/>
  <c r="N23" i="13" s="1"/>
  <c r="J23" i="13"/>
  <c r="S22" i="13"/>
  <c r="K22" i="13"/>
  <c r="R22" i="13" s="1"/>
  <c r="J22" i="13"/>
  <c r="S21" i="13"/>
  <c r="R21" i="13"/>
  <c r="K21" i="13"/>
  <c r="N21" i="13" s="1"/>
  <c r="J21" i="13"/>
  <c r="W20" i="13"/>
  <c r="W15" i="13" s="1"/>
  <c r="S20" i="13"/>
  <c r="R20" i="13"/>
  <c r="P20" i="13"/>
  <c r="N20" i="13"/>
  <c r="K20" i="13"/>
  <c r="J20" i="13"/>
  <c r="S19" i="13"/>
  <c r="R19" i="13"/>
  <c r="K19" i="13"/>
  <c r="P19" i="13" s="1"/>
  <c r="J19" i="13"/>
  <c r="S18" i="13"/>
  <c r="K18" i="13"/>
  <c r="R18" i="13" s="1"/>
  <c r="J18" i="13"/>
  <c r="S17" i="13"/>
  <c r="K17" i="13"/>
  <c r="P17" i="13" s="1"/>
  <c r="J17" i="13"/>
  <c r="W16" i="13"/>
  <c r="S16" i="13"/>
  <c r="R16" i="13"/>
  <c r="P16" i="13"/>
  <c r="K16" i="13"/>
  <c r="N16" i="13" s="1"/>
  <c r="J16" i="13"/>
  <c r="S15" i="13"/>
  <c r="K15" i="13"/>
  <c r="R15" i="13" s="1"/>
  <c r="J15" i="13"/>
  <c r="N18" i="13" l="1"/>
  <c r="P42" i="13"/>
  <c r="P44" i="13"/>
  <c r="P46" i="13"/>
  <c r="R49" i="13"/>
  <c r="P51" i="13"/>
  <c r="P53" i="13"/>
  <c r="P55" i="13"/>
  <c r="P57" i="13"/>
  <c r="P59" i="13"/>
  <c r="P18" i="13"/>
  <c r="P21" i="13"/>
  <c r="P23" i="13"/>
  <c r="P25" i="13"/>
  <c r="P27" i="13"/>
  <c r="P29" i="13"/>
  <c r="P31" i="13"/>
  <c r="P33" i="13"/>
  <c r="P35" i="13"/>
  <c r="P37" i="13"/>
  <c r="P39" i="13"/>
  <c r="R42" i="13"/>
  <c r="R44" i="13"/>
  <c r="R46" i="13"/>
  <c r="R51" i="13"/>
  <c r="R53" i="13"/>
  <c r="R55" i="13"/>
  <c r="R57" i="13"/>
  <c r="R59" i="13"/>
  <c r="R17" i="13"/>
  <c r="K89" i="13"/>
  <c r="W40" i="13"/>
  <c r="W80" i="13" s="1"/>
  <c r="K73" i="13"/>
  <c r="R62" i="13"/>
  <c r="N15" i="13"/>
  <c r="N22" i="13"/>
  <c r="N24" i="13"/>
  <c r="N28" i="13"/>
  <c r="N30" i="13"/>
  <c r="N32" i="13"/>
  <c r="N34" i="13"/>
  <c r="N36" i="13"/>
  <c r="N38" i="13"/>
  <c r="N40" i="13"/>
  <c r="N45" i="13"/>
  <c r="N50" i="13"/>
  <c r="N54" i="13"/>
  <c r="N56" i="13"/>
  <c r="N58" i="13"/>
  <c r="N60" i="13"/>
  <c r="N17" i="13"/>
  <c r="P24" i="13"/>
  <c r="P28" i="13"/>
  <c r="P36" i="13"/>
  <c r="P40" i="13"/>
  <c r="P43" i="13"/>
  <c r="P45" i="13"/>
  <c r="N47" i="13"/>
  <c r="N49" i="13"/>
  <c r="P50" i="13"/>
  <c r="P52" i="13"/>
  <c r="P54" i="13"/>
  <c r="P56" i="13"/>
  <c r="P58" i="13"/>
  <c r="P60" i="13"/>
  <c r="K62" i="13"/>
  <c r="N26" i="13"/>
  <c r="N43" i="13"/>
  <c r="N52" i="13"/>
  <c r="P15" i="13"/>
  <c r="N19" i="13"/>
  <c r="P22" i="13"/>
  <c r="P26" i="13"/>
  <c r="P30" i="13"/>
  <c r="P32" i="13"/>
  <c r="P34" i="13"/>
  <c r="P38" i="13"/>
  <c r="N62" i="13" l="1"/>
  <c r="P62" i="13"/>
  <c r="AE15" i="13"/>
  <c r="Q62" i="13"/>
  <c r="AD15" i="13" s="1"/>
  <c r="AK15" i="13" s="1"/>
  <c r="AL15" i="13" s="1"/>
  <c r="AR15" i="13" s="1"/>
  <c r="AA15" i="13" l="1"/>
  <c r="M62" i="13"/>
  <c r="Z15" i="13" s="1"/>
  <c r="AG15" i="13" s="1"/>
  <c r="AH15" i="13" s="1"/>
  <c r="O62" i="13"/>
  <c r="AB15" i="13" s="1"/>
  <c r="AI15" i="13" s="1"/>
  <c r="AJ15" i="13" s="1"/>
  <c r="AP15" i="13" s="1"/>
  <c r="AC15" i="13"/>
  <c r="AN15" i="13" l="1"/>
  <c r="M13" i="7" l="1"/>
  <c r="M12" i="7"/>
  <c r="I22" i="12" l="1"/>
  <c r="I12" i="12"/>
  <c r="L12" i="12" s="1"/>
  <c r="I13" i="12"/>
  <c r="L13" i="12" s="1"/>
  <c r="I14" i="12"/>
  <c r="L14" i="12" s="1"/>
  <c r="I15" i="12"/>
  <c r="L15" i="12" s="1"/>
  <c r="I16" i="12"/>
  <c r="L16" i="12" s="1"/>
  <c r="I17" i="12"/>
  <c r="L17" i="12" s="1"/>
  <c r="I18" i="12"/>
  <c r="L18" i="12" s="1"/>
  <c r="I19" i="12"/>
  <c r="L19" i="12" s="1"/>
  <c r="I20" i="12"/>
  <c r="L20" i="12" s="1"/>
  <c r="I21" i="12"/>
  <c r="L21" i="12" s="1"/>
  <c r="I11" i="12"/>
  <c r="L11" i="12" s="1"/>
  <c r="L22" i="12"/>
  <c r="D18" i="3"/>
  <c r="K23" i="12"/>
  <c r="J11" i="16" s="1"/>
  <c r="J23" i="12"/>
  <c r="B11" i="16" s="1"/>
  <c r="M11" i="12" l="1"/>
  <c r="M11" i="16"/>
  <c r="N11" i="16" s="1"/>
  <c r="I23" i="12"/>
  <c r="C6" i="16"/>
  <c r="D6" i="16"/>
  <c r="E6" i="16"/>
  <c r="F6" i="16"/>
  <c r="G6" i="16"/>
  <c r="H6" i="16"/>
  <c r="I6" i="16"/>
  <c r="J6" i="16"/>
  <c r="K6" i="16"/>
  <c r="L6" i="16"/>
  <c r="M6" i="16"/>
  <c r="B6" i="16"/>
  <c r="E10" i="16" l="1"/>
  <c r="F10" i="16"/>
  <c r="J10" i="16"/>
  <c r="B10" i="16"/>
  <c r="C10" i="16"/>
  <c r="G10" i="16"/>
  <c r="K10" i="16"/>
  <c r="D10" i="16"/>
  <c r="H10" i="16"/>
  <c r="L10" i="16"/>
  <c r="I10" i="16"/>
  <c r="M10" i="16"/>
  <c r="D73" i="3" l="1"/>
  <c r="D65" i="3"/>
  <c r="D56" i="3"/>
  <c r="D47" i="3"/>
  <c r="D45" i="3"/>
  <c r="D40" i="3"/>
  <c r="D39" i="3" l="1"/>
  <c r="H22" i="7"/>
  <c r="I11" i="5" l="1"/>
  <c r="J11" i="5"/>
  <c r="K11" i="5"/>
  <c r="L11" i="5"/>
  <c r="J10" i="5"/>
  <c r="K10" i="5"/>
  <c r="L10" i="5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H24" i="7" s="1"/>
  <c r="F61" i="3" s="1"/>
  <c r="C11" i="5"/>
  <c r="M11" i="5" s="1"/>
  <c r="L13" i="7"/>
  <c r="K13" i="7"/>
  <c r="J13" i="7"/>
  <c r="I13" i="7"/>
  <c r="Q13" i="7" l="1"/>
  <c r="O13" i="7"/>
  <c r="P13" i="7"/>
  <c r="F11" i="5" s="1"/>
  <c r="P11" i="5" s="1"/>
  <c r="N13" i="7"/>
  <c r="D17" i="1" s="1"/>
  <c r="I17" i="1" s="1"/>
  <c r="F5" i="16"/>
  <c r="D5" i="16"/>
  <c r="M5" i="16"/>
  <c r="E5" i="16"/>
  <c r="J5" i="16"/>
  <c r="H5" i="16"/>
  <c r="I5" i="16"/>
  <c r="G5" i="16"/>
  <c r="L5" i="16"/>
  <c r="K5" i="16"/>
  <c r="E17" i="1"/>
  <c r="J17" i="1" s="1"/>
  <c r="U11" i="5"/>
  <c r="M22" i="2"/>
  <c r="T11" i="5"/>
  <c r="C17" i="1"/>
  <c r="H17" i="1" s="1"/>
  <c r="S11" i="5"/>
  <c r="I22" i="2"/>
  <c r="V11" i="5"/>
  <c r="B23" i="7"/>
  <c r="K22" i="2" l="1"/>
  <c r="E11" i="5"/>
  <c r="O11" i="5" s="1"/>
  <c r="D11" i="5"/>
  <c r="N11" i="5" s="1"/>
  <c r="G11" i="5"/>
  <c r="Q11" i="5" s="1"/>
  <c r="J22" i="2"/>
  <c r="E22" i="2" s="1"/>
  <c r="G17" i="1"/>
  <c r="L17" i="1" s="1"/>
  <c r="F17" i="1"/>
  <c r="K17" i="1" s="1"/>
  <c r="L22" i="2"/>
  <c r="L24" i="2" s="1"/>
  <c r="P24" i="2"/>
  <c r="M24" i="2"/>
  <c r="K24" i="2"/>
  <c r="I24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G20" i="3" l="1"/>
  <c r="H20" i="3" s="1"/>
  <c r="G21" i="3"/>
  <c r="H21" i="3" s="1"/>
  <c r="I12" i="7" l="1"/>
  <c r="N12" i="7" l="1"/>
  <c r="Q16" i="1"/>
  <c r="R10" i="5"/>
  <c r="I20" i="2" l="1"/>
  <c r="I19" i="2" l="1"/>
  <c r="D16" i="1" l="1"/>
  <c r="I16" i="1" s="1"/>
  <c r="S10" i="5"/>
  <c r="L12" i="7"/>
  <c r="K12" i="7"/>
  <c r="P12" i="7" l="1"/>
  <c r="F16" i="1" s="1"/>
  <c r="K16" i="1" s="1"/>
  <c r="Q12" i="7"/>
  <c r="U10" i="5"/>
  <c r="V10" i="5"/>
  <c r="P19" i="2"/>
  <c r="P21" i="2" s="1"/>
  <c r="P25" i="2" s="1"/>
  <c r="G16" i="1" l="1"/>
  <c r="L16" i="1" s="1"/>
  <c r="L19" i="2"/>
  <c r="P26" i="2" l="1"/>
  <c r="B9" i="16" s="1"/>
  <c r="K20" i="2"/>
  <c r="F20" i="2" s="1"/>
  <c r="J12" i="7"/>
  <c r="O12" i="7" l="1"/>
  <c r="T10" i="5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M23" i="12" l="1"/>
  <c r="D14" i="3" s="1"/>
  <c r="D13" i="3" s="1"/>
  <c r="D12" i="3" s="1"/>
  <c r="D75" i="3" s="1"/>
  <c r="C16" i="1" l="1"/>
  <c r="H16" i="1" s="1"/>
  <c r="N10" i="16" l="1"/>
  <c r="J20" i="2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G65" i="3" l="1"/>
  <c r="H65" i="3"/>
  <c r="G46" i="3" l="1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H13" i="3" l="1"/>
  <c r="H12" i="3" s="1"/>
  <c r="H75" i="3" s="1"/>
  <c r="F12" i="16" l="1"/>
  <c r="J12" i="16"/>
  <c r="D12" i="16"/>
  <c r="G12" i="16"/>
  <c r="K12" i="16"/>
  <c r="C12" i="16"/>
  <c r="H12" i="16"/>
  <c r="L12" i="16"/>
  <c r="B12" i="16"/>
  <c r="B13" i="16" s="1"/>
  <c r="E12" i="16"/>
  <c r="I12" i="16"/>
  <c r="M12" i="16"/>
  <c r="H76" i="3"/>
  <c r="J75" i="3" s="1"/>
  <c r="F9" i="2"/>
  <c r="N12" i="16" l="1"/>
  <c r="F10" i="2"/>
  <c r="G9" i="2" l="1"/>
  <c r="H9" i="2" l="1"/>
  <c r="G10" i="2"/>
  <c r="L9" i="2" s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s="1"/>
  <c r="D9" i="16" l="1"/>
  <c r="D13" i="16" s="1"/>
  <c r="C9" i="16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C9" i="2"/>
  <c r="Q21" i="2"/>
  <c r="Q25" i="2" s="1"/>
  <c r="C10" i="2" l="1"/>
  <c r="C13" i="16"/>
  <c r="N9" i="16"/>
  <c r="N13" i="16" s="1"/>
  <c r="Q26" i="2"/>
  <c r="B9" i="2"/>
  <c r="B10" i="2" l="1"/>
  <c r="E9" i="2"/>
  <c r="H10" i="2"/>
  <c r="E10" i="2" l="1"/>
  <c r="I9" i="2"/>
  <c r="I10" i="2" l="1"/>
</calcChain>
</file>

<file path=xl/sharedStrings.xml><?xml version="1.0" encoding="utf-8"?>
<sst xmlns="http://schemas.openxmlformats.org/spreadsheetml/2006/main" count="463" uniqueCount="274">
  <si>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</si>
  <si>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</si>
  <si>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</si>
  <si>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</si>
  <si>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</si>
  <si>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</si>
  <si>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</si>
  <si>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</si>
  <si>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</si>
  <si>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</si>
  <si>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</si>
  <si>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</si>
  <si>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</si>
  <si>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</si>
  <si>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</si>
  <si>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</si>
  <si>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</si>
  <si>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</si>
  <si>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</si>
  <si>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</si>
  <si>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</si>
  <si>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</si>
  <si>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</si>
  <si>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</si>
  <si>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</si>
  <si>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</si>
  <si>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</si>
  <si>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</si>
  <si>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</si>
  <si>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</si>
  <si>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</si>
  <si>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</si>
  <si>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</si>
  <si>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</si>
  <si>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</si>
  <si>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</si>
  <si>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</si>
  <si>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</si>
  <si>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</si>
  <si>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</si>
  <si>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</si>
  <si>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</si>
  <si>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</si>
  <si>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</si>
  <si>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</si>
  <si>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</si>
  <si>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</si>
  <si>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</si>
  <si>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</si>
  <si>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</si>
  <si>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</si>
  <si>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</si>
  <si>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</si>
  <si>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</si>
  <si>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</si>
  <si>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</si>
  <si>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</si>
  <si>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</si>
  <si>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</si>
  <si>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</si>
  <si>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</si>
  <si>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</si>
  <si>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</si>
  <si>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</si>
  <si>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</si>
  <si>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</si>
  <si>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</si>
  <si>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</si>
  <si>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</si>
  <si>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</si>
  <si>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</si>
  <si>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</si>
  <si>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</si>
  <si>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</si>
  <si>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</si>
  <si>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</si>
  <si>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</si>
  <si>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</si>
  <si>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</si>
  <si>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</si>
  <si>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</si>
  <si>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</si>
  <si>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</si>
  <si>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</si>
  <si>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</si>
  <si>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</si>
  <si>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</si>
  <si>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</si>
  <si>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</si>
  <si>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</si>
  <si>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</si>
  <si>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</si>
  <si>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</si>
  <si>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</si>
  <si>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</si>
  <si>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</si>
  <si>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</si>
  <si>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</si>
  <si>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</si>
  <si>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</si>
  <si>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</si>
  <si>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</si>
  <si>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</si>
  <si>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</si>
  <si>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</si>
  <si>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</si>
  <si>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</si>
  <si>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</si>
  <si>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</si>
  <si>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</si>
  <si>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</si>
  <si>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</si>
  <si>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</si>
  <si>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</si>
  <si>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</si>
  <si>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</si>
  <si>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</si>
  <si>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</si>
  <si>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</si>
  <si>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</si>
  <si>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</si>
  <si>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</si>
  <si>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</si>
  <si>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</si>
  <si>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</si>
  <si>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</si>
  <si>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</si>
  <si>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</si>
  <si>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</si>
  <si>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</si>
  <si>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</si>
  <si>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</si>
  <si>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</si>
  <si>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</si>
  <si>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</si>
  <si>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</si>
  <si>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 xml:space="preserve">Ej. Ed. De Párvulos </t>
  </si>
  <si>
    <t>Ej: Técnicos</t>
  </si>
  <si>
    <t>Ej: Apoyo asist.</t>
  </si>
  <si>
    <t>Ej: Man. De Alimentos</t>
  </si>
  <si>
    <t>Ej: Aux.  De Aseo</t>
  </si>
  <si>
    <t>PDI</t>
  </si>
  <si>
    <t>GENDARMERIA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</si>
  <si>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</si>
  <si>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</si>
  <si>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</si>
  <si>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</si>
  <si>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</si>
  <si>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</si>
  <si>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</si>
  <si>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</si>
  <si>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</si>
  <si>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</si>
  <si>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</si>
  <si>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</si>
  <si>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</si>
  <si>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</si>
  <si>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</si>
  <si>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</si>
  <si>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</si>
  <si>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</si>
  <si>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</si>
  <si>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</si>
  <si>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</si>
  <si>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</si>
  <si>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</si>
  <si>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</si>
  <si>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</si>
  <si>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</si>
  <si>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</si>
  <si>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</si>
  <si>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</si>
  <si>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</si>
  <si>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</si>
  <si>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</si>
  <si>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</si>
  <si>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</si>
  <si>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</si>
  <si>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</si>
  <si>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</si>
  <si>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</si>
  <si>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</si>
  <si>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</si>
  <si>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</si>
  <si>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</si>
  <si>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</si>
  <si>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</si>
  <si>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</si>
  <si>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</si>
  <si>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</si>
  <si>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</si>
  <si>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</si>
  <si>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</si>
  <si>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</si>
  <si>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</si>
  <si>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</si>
  <si>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</si>
  <si>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</si>
  <si>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</si>
  <si>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</si>
  <si>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</si>
  <si>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</si>
  <si>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</si>
  <si>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</si>
  <si>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</si>
  <si>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</si>
  <si>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E</t>
  </si>
  <si>
    <t>ANEXO F</t>
  </si>
  <si>
    <t>ANEXO G</t>
  </si>
  <si>
    <t>Jardín Infantil Pequeños Colonos</t>
  </si>
  <si>
    <t>Doble Jornada</t>
  </si>
  <si>
    <t xml:space="preserve">C) ESTIMACION DE COSTOS DIRECTOS </t>
  </si>
  <si>
    <t>AFL</t>
  </si>
  <si>
    <t>PAF</t>
  </si>
  <si>
    <t>PRODUCTOS QUIMICOS (EXTINTOR)</t>
  </si>
  <si>
    <t>PROD.QUIMIC,FARMACEUTICOS IND. (BOTIQUIN)</t>
  </si>
  <si>
    <t>OTROS MANTEN. Y REP.MENORES</t>
  </si>
  <si>
    <t>CUOTA DE PADRES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</si>
  <si>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</si>
  <si>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</si>
  <si>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</si>
  <si>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</si>
  <si>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</si>
  <si>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</si>
  <si>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</si>
  <si>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</si>
  <si>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</si>
  <si>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</si>
  <si>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</si>
  <si>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</si>
  <si>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</si>
  <si>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</si>
  <si>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</si>
  <si>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</si>
  <si>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ACUMULADO A DICIEMBRE</t>
  </si>
  <si>
    <t>MATRICULA</t>
  </si>
  <si>
    <t>JARDIN INFANTIL "PEQUEÑOS COLONOS"</t>
  </si>
  <si>
    <t>BONOS CÓDIGO DEL TRABAJO</t>
  </si>
  <si>
    <t>RESULTADO OPERACIONAL</t>
  </si>
  <si>
    <t>PERSONAL</t>
  </si>
  <si>
    <t>DELBIENWILL</t>
  </si>
  <si>
    <t>TABLA N°15: PROYECCIÓN MENSUAL</t>
  </si>
  <si>
    <t>N°</t>
  </si>
  <si>
    <t>NN</t>
  </si>
  <si>
    <t>Mensualidad 2024</t>
  </si>
  <si>
    <t>Gasto Total Empresa
2024</t>
  </si>
  <si>
    <t>INSTRUCCIONES</t>
  </si>
  <si>
    <t>Matrícula 2025</t>
  </si>
  <si>
    <t>Mensualidad 2025</t>
  </si>
  <si>
    <t>Tarifa 2025</t>
  </si>
  <si>
    <t>Propuesta Mensualidad 2025</t>
  </si>
  <si>
    <t>Meta Ocupación niños 2025</t>
  </si>
  <si>
    <t>COSTO DIRECTO ESTIMADO 2025</t>
  </si>
  <si>
    <t>REMUNERACIONES 2024</t>
  </si>
  <si>
    <t>Costo Total anual por Servidor 2024</t>
  </si>
  <si>
    <t>Costo Total por Servidor Reajustado 2025</t>
  </si>
  <si>
    <t>Gasto Total Empresa
2025</t>
  </si>
  <si>
    <t>Total Bonos anual
2025</t>
  </si>
  <si>
    <t>Total Aguinaldos anual
2025</t>
  </si>
  <si>
    <t>CONTADORA GENERAL</t>
  </si>
  <si>
    <t xml:space="preserve">ENCARGADA CENTRO FINANCIERO </t>
  </si>
  <si>
    <t xml:space="preserve">COSTOS INDIRECTOS </t>
  </si>
  <si>
    <t>TABLA 6: REMUNERACIONES DEL PERSONAL LEY 18.712 ADMINISTRACION CENTRAL Y APOYO ADMINISTRATIVO ASISTENCIA RECREATIVA</t>
  </si>
  <si>
    <t>TABLA 7: DISTRIBUCION COSTOS REMUNERACIONES ADMINISTRACION CENTRAL Y APOYO ADMINISTRATIVO A. RECREATIVA</t>
  </si>
  <si>
    <t>TABLA 8: COSTOS DE OPERACION ADMINISTRACIÓN CENTRAL Y  APOYO ADMINISTRATIVO ASISTENCIA RECREATIVA</t>
  </si>
  <si>
    <t>TABLA 9: RESUMEN DISTRIBUCION COSTOS REMUNERACIONES ADMINISTRACION CENTRAL Y APOYO ADMINISTRATIVO A. RECREATIVA</t>
  </si>
  <si>
    <t>TABLA 10: RESUMEN DISTRIBUCION COSTOS OPERACIÓN ADMINISTRACION CENTRAL  Y APOYO ADMINISTRATIVO A. RECREATIVA</t>
  </si>
  <si>
    <t>Adicional</t>
  </si>
  <si>
    <t>COSTO INDIRECTO ESTIMADO 2024</t>
  </si>
  <si>
    <t>Costo Total Empresa</t>
  </si>
  <si>
    <t>JEFE ASISTENCIA PRODUCTIVAS</t>
  </si>
  <si>
    <t>ÁREA APOYO A. RECREATIVA</t>
  </si>
  <si>
    <t>Asistencia Recreativa</t>
  </si>
  <si>
    <t>Asistencia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</si>
</sst>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$&quot;* #,##0.00_ ;_ &quot;$&quot;* \-#,##0.00_ ;_ &quot;$&quot;* &quot;-&quot;??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2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1" fontId="15" fillId="0" borderId="0"/>
    <xf numFmtId="165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68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71" fontId="15" fillId="0" borderId="0" applyFill="0" applyBorder="0" applyAlignment="0" applyProtection="0"/>
    <xf numFmtId="165" fontId="15" fillId="0" borderId="0" applyFill="0" applyBorder="0" applyAlignment="0" applyProtection="0"/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5" fillId="0" borderId="0"/>
    <xf numFmtId="165" fontId="15" fillId="0" borderId="0"/>
    <xf numFmtId="165" fontId="15" fillId="0" borderId="0"/>
  </cellStyleXfs>
  <cellXfs count="673">
    <xf numFmtId="0" fontId="0" fillId="0" borderId="0" xfId="0"/>
    <xf numFmtId="168" fontId="0" fillId="0" borderId="0" xfId="16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9" borderId="0" xfId="0" applyFont="1" applyFill="1" applyAlignment="1">
      <alignment horizontal="left" vertical="center"/>
    </xf>
    <xf numFmtId="167" fontId="14" fillId="9" borderId="0" xfId="13" applyNumberFormat="1" applyFont="1" applyFill="1" applyAlignment="1">
      <alignment vertical="center"/>
    </xf>
    <xf numFmtId="165" fontId="14" fillId="0" borderId="0" xfId="13" applyFont="1" applyAlignment="1">
      <alignment vertical="center"/>
    </xf>
    <xf numFmtId="170" fontId="1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horizontal="center" vertical="center" wrapText="1"/>
    </xf>
    <xf numFmtId="167" fontId="0" fillId="0" borderId="0" xfId="13" applyNumberFormat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65" fontId="0" fillId="0" borderId="0" xfId="13" applyFont="1" applyAlignment="1">
      <alignment vertical="center"/>
    </xf>
    <xf numFmtId="168" fontId="17" fillId="0" borderId="0" xfId="16" applyFont="1" applyAlignment="1">
      <alignment vertical="center"/>
    </xf>
    <xf numFmtId="173" fontId="0" fillId="0" borderId="0" xfId="12" applyNumberFormat="1" applyFont="1" applyAlignment="1">
      <alignment vertical="center"/>
    </xf>
    <xf numFmtId="0" fontId="0" fillId="11" borderId="0" xfId="0" applyFill="1" applyAlignment="1">
      <alignment horizontal="left" vertical="center"/>
    </xf>
    <xf numFmtId="176" fontId="0" fillId="11" borderId="0" xfId="0" applyNumberFormat="1" applyFill="1" applyAlignment="1">
      <alignment horizontal="right" vertical="center"/>
    </xf>
    <xf numFmtId="0" fontId="0" fillId="11" borderId="0" xfId="0" applyFill="1"/>
    <xf numFmtId="17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1" borderId="0" xfId="0" applyFill="1" applyAlignment="1">
      <alignment vertical="center"/>
    </xf>
    <xf numFmtId="176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76" fontId="14" fillId="0" borderId="0" xfId="0" applyNumberFormat="1" applyFont="1"/>
    <xf numFmtId="176" fontId="14" fillId="11" borderId="0" xfId="0" applyNumberFormat="1" applyFont="1" applyFill="1" applyAlignment="1">
      <alignment horizontal="right" vertical="center"/>
    </xf>
    <xf numFmtId="9" fontId="0" fillId="11" borderId="0" xfId="0" applyNumberFormat="1" applyFill="1" applyAlignment="1">
      <alignment horizontal="center" vertical="center"/>
    </xf>
    <xf numFmtId="176" fontId="0" fillId="0" borderId="0" xfId="0" applyNumberForma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left" vertical="center"/>
    </xf>
    <xf numFmtId="167" fontId="20" fillId="0" borderId="0" xfId="13" applyNumberFormat="1" applyFont="1" applyAlignment="1">
      <alignment vertical="center"/>
    </xf>
    <xf numFmtId="175" fontId="20" fillId="0" borderId="0" xfId="12" applyNumberFormat="1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7" fontId="12" fillId="0" borderId="0" xfId="13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168" fontId="14" fillId="0" borderId="0" xfId="16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0" fillId="0" borderId="0" xfId="16" applyNumberFormat="1" applyFont="1"/>
    <xf numFmtId="0" fontId="14" fillId="0" borderId="0" xfId="0" applyFont="1" applyAlignment="1">
      <alignment horizontal="center"/>
    </xf>
    <xf numFmtId="176" fontId="14" fillId="0" borderId="0" xfId="0" applyNumberFormat="1" applyFont="1" applyAlignment="1">
      <alignment horizontal="center" vertical="center" wrapText="1"/>
    </xf>
    <xf numFmtId="166" fontId="26" fillId="30" borderId="26" xfId="0" applyNumberFormat="1" applyFont="1" applyFill="1" applyBorder="1" applyAlignment="1">
      <alignment vertical="center"/>
    </xf>
    <xf numFmtId="166" fontId="14" fillId="32" borderId="30" xfId="13" applyNumberFormat="1" applyFont="1" applyFill="1" applyBorder="1" applyAlignment="1">
      <alignment vertical="center"/>
    </xf>
    <xf numFmtId="0" fontId="14" fillId="16" borderId="19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6" fontId="14" fillId="26" borderId="19" xfId="0" applyNumberFormat="1" applyFont="1" applyFill="1" applyBorder="1" applyAlignment="1">
      <alignment horizontal="center" vertical="center"/>
    </xf>
    <xf numFmtId="169" fontId="14" fillId="19" borderId="19" xfId="16" applyNumberFormat="1" applyFont="1" applyFill="1" applyBorder="1" applyAlignment="1">
      <alignment horizontal="center" vertical="center"/>
    </xf>
    <xf numFmtId="177" fontId="0" fillId="0" borderId="0" xfId="13" applyNumberFormat="1" applyFont="1" applyAlignment="1">
      <alignment vertical="center"/>
    </xf>
    <xf numFmtId="168" fontId="14" fillId="16" borderId="19" xfId="16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67" fontId="14" fillId="35" borderId="44" xfId="0" applyNumberFormat="1" applyFont="1" applyFill="1" applyBorder="1" applyAlignment="1">
      <alignment horizontal="center" vertical="center" wrapText="1"/>
    </xf>
    <xf numFmtId="167" fontId="14" fillId="35" borderId="45" xfId="0" applyNumberFormat="1" applyFont="1" applyFill="1" applyBorder="1" applyAlignment="1">
      <alignment horizontal="center" vertical="center" wrapText="1"/>
    </xf>
    <xf numFmtId="167" fontId="14" fillId="35" borderId="58" xfId="0" applyNumberFormat="1" applyFont="1" applyFill="1" applyBorder="1" applyAlignment="1">
      <alignment horizontal="center" vertical="center" wrapText="1"/>
    </xf>
    <xf numFmtId="167" fontId="14" fillId="35" borderId="59" xfId="0" applyNumberFormat="1" applyFont="1" applyFill="1" applyBorder="1" applyAlignment="1">
      <alignment horizontal="center" vertical="center" wrapText="1"/>
    </xf>
    <xf numFmtId="167" fontId="14" fillId="35" borderId="60" xfId="0" applyNumberFormat="1" applyFont="1" applyFill="1" applyBorder="1" applyAlignment="1">
      <alignment horizontal="center" vertical="center" wrapText="1"/>
    </xf>
    <xf numFmtId="167" fontId="14" fillId="35" borderId="52" xfId="0" applyNumberFormat="1" applyFont="1" applyFill="1" applyBorder="1" applyAlignment="1">
      <alignment horizontal="center" vertical="center" wrapText="1"/>
    </xf>
    <xf numFmtId="167" fontId="14" fillId="15" borderId="65" xfId="0" applyNumberFormat="1" applyFont="1" applyFill="1" applyBorder="1" applyAlignment="1">
      <alignment horizontal="center" vertical="center" wrapText="1"/>
    </xf>
    <xf numFmtId="167" fontId="14" fillId="15" borderId="66" xfId="0" applyNumberFormat="1" applyFont="1" applyFill="1" applyBorder="1" applyAlignment="1">
      <alignment horizontal="center" vertical="center" wrapText="1"/>
    </xf>
    <xf numFmtId="167" fontId="14" fillId="15" borderId="67" xfId="0" applyNumberFormat="1" applyFont="1" applyFill="1" applyBorder="1" applyAlignment="1">
      <alignment horizontal="center" vertical="center" wrapText="1"/>
    </xf>
    <xf numFmtId="167" fontId="14" fillId="15" borderId="60" xfId="0" applyNumberFormat="1" applyFont="1" applyFill="1" applyBorder="1" applyAlignment="1">
      <alignment horizontal="center" vertical="center" wrapText="1"/>
    </xf>
    <xf numFmtId="167" fontId="14" fillId="35" borderId="68" xfId="0" applyNumberFormat="1" applyFont="1" applyFill="1" applyBorder="1" applyAlignment="1">
      <alignment horizontal="center" vertical="center" wrapText="1"/>
    </xf>
    <xf numFmtId="167" fontId="14" fillId="35" borderId="69" xfId="0" applyNumberFormat="1" applyFont="1" applyFill="1" applyBorder="1" applyAlignment="1">
      <alignment horizontal="center" vertical="center" wrapText="1"/>
    </xf>
    <xf numFmtId="167" fontId="14" fillId="35" borderId="70" xfId="0" applyNumberFormat="1" applyFont="1" applyFill="1" applyBorder="1" applyAlignment="1">
      <alignment horizontal="center" vertical="center" wrapText="1"/>
    </xf>
    <xf numFmtId="0" fontId="14" fillId="16" borderId="7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8" fontId="31" fillId="0" borderId="0" xfId="16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27" fillId="11" borderId="0" xfId="0" applyFont="1" applyFill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7" fillId="0" borderId="0" xfId="0" applyFont="1" applyAlignment="1">
      <alignment vertical="center"/>
    </xf>
    <xf numFmtId="167" fontId="0" fillId="29" borderId="94" xfId="13" applyNumberFormat="1" applyFont="1" applyFill="1" applyBorder="1" applyAlignment="1">
      <alignment vertical="center"/>
    </xf>
    <xf numFmtId="179" fontId="15" fillId="37" borderId="96" xfId="16" applyNumberFormat="1" applyFill="1" applyBorder="1" applyAlignment="1">
      <alignment horizontal="center" vertical="center"/>
    </xf>
    <xf numFmtId="179" fontId="15" fillId="37" borderId="97" xfId="16" applyNumberFormat="1" applyFill="1" applyBorder="1" applyAlignment="1">
      <alignment horizontal="center" vertical="center"/>
    </xf>
    <xf numFmtId="178" fontId="0" fillId="12" borderId="96" xfId="13" applyNumberFormat="1" applyFont="1" applyFill="1" applyBorder="1" applyAlignment="1" applyProtection="1">
      <alignment horizontal="center" vertical="center"/>
      <protection locked="0"/>
    </xf>
    <xf numFmtId="168" fontId="15" fillId="0" borderId="0" xfId="16"/>
    <xf numFmtId="0" fontId="25" fillId="12" borderId="34" xfId="0" applyFont="1" applyFill="1" applyBorder="1" applyAlignment="1" applyProtection="1">
      <alignment horizontal="center" vertical="center"/>
      <protection locked="0"/>
    </xf>
    <xf numFmtId="177" fontId="0" fillId="12" borderId="98" xfId="13" applyNumberFormat="1" applyFont="1" applyFill="1" applyBorder="1" applyAlignment="1" applyProtection="1">
      <alignment vertical="center"/>
      <protection locked="0"/>
    </xf>
    <xf numFmtId="0" fontId="27" fillId="0" borderId="0" xfId="0" applyFont="1" applyAlignment="1">
      <alignment vertical="center" wrapText="1"/>
    </xf>
    <xf numFmtId="0" fontId="14" fillId="16" borderId="119" xfId="0" applyFont="1" applyFill="1" applyBorder="1" applyAlignment="1">
      <alignment horizontal="center" vertical="center" wrapText="1"/>
    </xf>
    <xf numFmtId="0" fontId="0" fillId="12" borderId="98" xfId="0" applyFill="1" applyBorder="1" applyAlignment="1" applyProtection="1">
      <alignment horizontal="left" vertical="center"/>
      <protection locked="0"/>
    </xf>
    <xf numFmtId="0" fontId="0" fillId="12" borderId="101" xfId="0" applyFill="1" applyBorder="1" applyAlignment="1" applyProtection="1">
      <alignment horizontal="left" vertical="center"/>
      <protection locked="0"/>
    </xf>
    <xf numFmtId="177" fontId="0" fillId="12" borderId="101" xfId="13" applyNumberFormat="1" applyFont="1" applyFill="1" applyBorder="1" applyAlignment="1" applyProtection="1">
      <alignment vertical="center"/>
      <protection locked="0"/>
    </xf>
    <xf numFmtId="176" fontId="25" fillId="28" borderId="46" xfId="0" applyNumberFormat="1" applyFont="1" applyFill="1" applyBorder="1" applyAlignment="1">
      <alignment vertical="center"/>
    </xf>
    <xf numFmtId="167" fontId="0" fillId="12" borderId="97" xfId="13" applyNumberFormat="1" applyFont="1" applyFill="1" applyBorder="1" applyAlignment="1" applyProtection="1">
      <alignment vertical="center"/>
      <protection locked="0"/>
    </xf>
    <xf numFmtId="0" fontId="0" fillId="12" borderId="103" xfId="0" applyFill="1" applyBorder="1" applyAlignment="1" applyProtection="1">
      <alignment horizontal="left" vertical="center"/>
      <protection locked="0"/>
    </xf>
    <xf numFmtId="167" fontId="0" fillId="12" borderId="102" xfId="13" applyNumberFormat="1" applyFont="1" applyFill="1" applyBorder="1" applyAlignment="1" applyProtection="1">
      <alignment vertical="center"/>
      <protection locked="0"/>
    </xf>
    <xf numFmtId="179" fontId="15" fillId="37" borderId="103" xfId="16" applyNumberFormat="1" applyFill="1" applyBorder="1" applyAlignment="1">
      <alignment horizontal="center" vertical="center"/>
    </xf>
    <xf numFmtId="179" fontId="15" fillId="37" borderId="101" xfId="16" applyNumberFormat="1" applyFill="1" applyBorder="1" applyAlignment="1">
      <alignment horizontal="center" vertical="center"/>
    </xf>
    <xf numFmtId="179" fontId="15" fillId="37" borderId="102" xfId="16" applyNumberFormat="1" applyFill="1" applyBorder="1" applyAlignment="1">
      <alignment horizontal="center" vertical="center"/>
    </xf>
    <xf numFmtId="0" fontId="23" fillId="0" borderId="0" xfId="20" applyFill="1" applyBorder="1" applyAlignment="1" applyProtection="1">
      <alignment vertical="center"/>
    </xf>
    <xf numFmtId="0" fontId="23" fillId="11" borderId="0" xfId="20" applyFill="1" applyBorder="1" applyAlignment="1" applyProtection="1">
      <alignment vertical="center"/>
    </xf>
    <xf numFmtId="0" fontId="23" fillId="0" borderId="0" xfId="20" applyProtection="1"/>
    <xf numFmtId="0" fontId="23" fillId="0" borderId="0" xfId="20" applyBorder="1" applyAlignment="1" applyProtection="1">
      <alignment vertical="center"/>
    </xf>
    <xf numFmtId="0" fontId="23" fillId="0" borderId="0" xfId="20" applyBorder="1" applyAlignment="1" applyProtection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0" xfId="20" quotePrefix="1" applyBorder="1" applyAlignment="1" applyProtection="1">
      <alignment horizontal="left" vertical="center"/>
    </xf>
    <xf numFmtId="0" fontId="23" fillId="0" borderId="0" xfId="20"/>
    <xf numFmtId="0" fontId="23" fillId="11" borderId="0" xfId="20" applyFill="1" applyBorder="1" applyAlignment="1" applyProtection="1">
      <alignment horizontal="left" vertical="center"/>
    </xf>
    <xf numFmtId="0" fontId="23" fillId="0" borderId="0" xfId="20" applyAlignment="1" applyProtection="1">
      <alignment horizontal="left"/>
    </xf>
    <xf numFmtId="167" fontId="0" fillId="12" borderId="98" xfId="13" applyNumberFormat="1" applyFont="1" applyFill="1" applyBorder="1" applyAlignment="1" applyProtection="1">
      <alignment vertical="center"/>
      <protection locked="0"/>
    </xf>
    <xf numFmtId="175" fontId="20" fillId="12" borderId="98" xfId="12" applyNumberFormat="1" applyFont="1" applyFill="1" applyBorder="1" applyAlignment="1" applyProtection="1">
      <alignment vertical="center"/>
      <protection locked="0"/>
    </xf>
    <xf numFmtId="167" fontId="20" fillId="12" borderId="98" xfId="13" applyNumberFormat="1" applyFont="1" applyFill="1" applyBorder="1" applyAlignment="1" applyProtection="1">
      <alignment vertical="center"/>
      <protection locked="0"/>
    </xf>
    <xf numFmtId="167" fontId="12" fillId="20" borderId="98" xfId="13" applyNumberFormat="1" applyFont="1" applyFill="1" applyBorder="1" applyAlignment="1">
      <alignment horizontal="center" vertical="center"/>
    </xf>
    <xf numFmtId="167" fontId="12" fillId="28" borderId="133" xfId="13" applyNumberFormat="1" applyFont="1" applyFill="1" applyBorder="1" applyAlignment="1">
      <alignment vertical="center"/>
    </xf>
    <xf numFmtId="167" fontId="12" fillId="20" borderId="132" xfId="13" applyNumberFormat="1" applyFont="1" applyFill="1" applyBorder="1" applyAlignment="1">
      <alignment horizontal="center" vertical="center"/>
    </xf>
    <xf numFmtId="167" fontId="12" fillId="23" borderId="132" xfId="13" applyNumberFormat="1" applyFont="1" applyFill="1" applyBorder="1" applyAlignment="1">
      <alignment horizontal="center" vertical="center"/>
    </xf>
    <xf numFmtId="167" fontId="12" fillId="20" borderId="133" xfId="13" applyNumberFormat="1" applyFont="1" applyFill="1" applyBorder="1" applyAlignment="1">
      <alignment vertical="center"/>
    </xf>
    <xf numFmtId="167" fontId="12" fillId="28" borderId="128" xfId="13" applyNumberFormat="1" applyFont="1" applyFill="1" applyBorder="1" applyAlignment="1">
      <alignment vertical="center"/>
    </xf>
    <xf numFmtId="167" fontId="12" fillId="23" borderId="133" xfId="13" applyNumberFormat="1" applyFont="1" applyFill="1" applyBorder="1" applyAlignment="1">
      <alignment horizontal="center" vertical="center"/>
    </xf>
    <xf numFmtId="167" fontId="20" fillId="29" borderId="98" xfId="13" applyNumberFormat="1" applyFont="1" applyFill="1" applyBorder="1" applyAlignment="1">
      <alignment vertical="center"/>
    </xf>
    <xf numFmtId="167" fontId="12" fillId="23" borderId="98" xfId="13" applyNumberFormat="1" applyFont="1" applyFill="1" applyBorder="1" applyAlignment="1">
      <alignment horizontal="center" vertical="center"/>
    </xf>
    <xf numFmtId="167" fontId="12" fillId="20" borderId="98" xfId="13" applyNumberFormat="1" applyFont="1" applyFill="1" applyBorder="1" applyAlignment="1">
      <alignment vertical="center"/>
    </xf>
    <xf numFmtId="166" fontId="14" fillId="32" borderId="98" xfId="13" applyNumberFormat="1" applyFont="1" applyFill="1" applyBorder="1" applyAlignment="1">
      <alignment vertical="center"/>
    </xf>
    <xf numFmtId="0" fontId="14" fillId="17" borderId="98" xfId="0" applyFont="1" applyFill="1" applyBorder="1" applyAlignment="1">
      <alignment horizontal="center" vertical="center" wrapText="1"/>
    </xf>
    <xf numFmtId="173" fontId="14" fillId="17" borderId="98" xfId="12" applyNumberFormat="1" applyFont="1" applyFill="1" applyBorder="1" applyAlignment="1">
      <alignment horizontal="center" vertical="center" wrapText="1"/>
    </xf>
    <xf numFmtId="0" fontId="12" fillId="17" borderId="98" xfId="0" applyFont="1" applyFill="1" applyBorder="1" applyAlignment="1">
      <alignment horizontal="center" vertical="center"/>
    </xf>
    <xf numFmtId="167" fontId="14" fillId="41" borderId="98" xfId="13" applyNumberFormat="1" applyFont="1" applyFill="1" applyBorder="1" applyAlignment="1">
      <alignment vertical="center"/>
    </xf>
    <xf numFmtId="167" fontId="14" fillId="42" borderId="98" xfId="13" applyNumberFormat="1" applyFont="1" applyFill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177" fontId="0" fillId="29" borderId="97" xfId="13" applyNumberFormat="1" applyFont="1" applyFill="1" applyBorder="1" applyAlignment="1">
      <alignment vertical="center"/>
    </xf>
    <xf numFmtId="177" fontId="0" fillId="29" borderId="103" xfId="13" applyNumberFormat="1" applyFont="1" applyFill="1" applyBorder="1" applyAlignment="1">
      <alignment vertical="center"/>
    </xf>
    <xf numFmtId="177" fontId="0" fillId="29" borderId="101" xfId="13" applyNumberFormat="1" applyFont="1" applyFill="1" applyBorder="1" applyAlignment="1">
      <alignment vertical="center"/>
    </xf>
    <xf numFmtId="177" fontId="0" fillId="29" borderId="102" xfId="13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167" fontId="14" fillId="0" borderId="0" xfId="0" applyNumberFormat="1" applyFont="1" applyAlignment="1">
      <alignment vertical="center"/>
    </xf>
    <xf numFmtId="167" fontId="0" fillId="0" borderId="139" xfId="0" applyNumberFormat="1" applyBorder="1" applyAlignment="1">
      <alignment vertical="center"/>
    </xf>
    <xf numFmtId="167" fontId="14" fillId="35" borderId="140" xfId="0" applyNumberFormat="1" applyFont="1" applyFill="1" applyBorder="1" applyAlignment="1">
      <alignment horizontal="center" vertical="center" wrapText="1"/>
    </xf>
    <xf numFmtId="167" fontId="14" fillId="35" borderId="141" xfId="0" applyNumberFormat="1" applyFont="1" applyFill="1" applyBorder="1" applyAlignment="1">
      <alignment horizontal="center" vertical="center" wrapText="1"/>
    </xf>
    <xf numFmtId="167" fontId="14" fillId="35" borderId="142" xfId="0" applyNumberFormat="1" applyFont="1" applyFill="1" applyBorder="1" applyAlignment="1">
      <alignment horizontal="center" vertical="center" wrapText="1"/>
    </xf>
    <xf numFmtId="167" fontId="0" fillId="10" borderId="98" xfId="13" applyNumberFormat="1" applyFont="1" applyFill="1" applyBorder="1" applyAlignment="1">
      <alignment horizontal="right" vertical="center"/>
    </xf>
    <xf numFmtId="172" fontId="0" fillId="0" borderId="98" xfId="12" applyNumberFormat="1" applyFont="1" applyBorder="1" applyAlignment="1">
      <alignment vertical="center"/>
    </xf>
    <xf numFmtId="167" fontId="15" fillId="0" borderId="96" xfId="13" applyNumberFormat="1" applyBorder="1" applyAlignment="1">
      <alignment vertical="center"/>
    </xf>
    <xf numFmtId="167" fontId="0" fillId="10" borderId="96" xfId="13" applyNumberFormat="1" applyFont="1" applyFill="1" applyBorder="1" applyAlignment="1">
      <alignment horizontal="right" vertical="center"/>
    </xf>
    <xf numFmtId="167" fontId="14" fillId="40" borderId="144" xfId="0" applyNumberFormat="1" applyFont="1" applyFill="1" applyBorder="1" applyAlignment="1">
      <alignment vertical="center"/>
    </xf>
    <xf numFmtId="167" fontId="14" fillId="40" borderId="101" xfId="13" applyNumberFormat="1" applyFont="1" applyFill="1" applyBorder="1" applyAlignment="1">
      <alignment vertical="center"/>
    </xf>
    <xf numFmtId="167" fontId="14" fillId="40" borderId="101" xfId="13" applyNumberFormat="1" applyFont="1" applyFill="1" applyBorder="1" applyAlignment="1">
      <alignment horizontal="right" vertical="center"/>
    </xf>
    <xf numFmtId="167" fontId="0" fillId="0" borderId="96" xfId="13" applyNumberFormat="1" applyFont="1" applyBorder="1" applyAlignment="1">
      <alignment vertical="center"/>
    </xf>
    <xf numFmtId="167" fontId="15" fillId="0" borderId="48" xfId="13" applyNumberFormat="1" applyBorder="1" applyAlignment="1">
      <alignment vertical="center"/>
    </xf>
    <xf numFmtId="167" fontId="15" fillId="0" borderId="97" xfId="13" applyNumberFormat="1" applyBorder="1" applyAlignment="1">
      <alignment vertical="center"/>
    </xf>
    <xf numFmtId="172" fontId="0" fillId="0" borderId="99" xfId="12" applyNumberFormat="1" applyFont="1" applyBorder="1" applyAlignment="1">
      <alignment vertical="center"/>
    </xf>
    <xf numFmtId="172" fontId="0" fillId="0" borderId="100" xfId="12" applyNumberFormat="1" applyFont="1" applyBorder="1" applyAlignment="1">
      <alignment vertical="center"/>
    </xf>
    <xf numFmtId="167" fontId="14" fillId="40" borderId="103" xfId="13" applyNumberFormat="1" applyFont="1" applyFill="1" applyBorder="1" applyAlignment="1">
      <alignment vertical="center"/>
    </xf>
    <xf numFmtId="167" fontId="14" fillId="40" borderId="102" xfId="13" applyNumberFormat="1" applyFont="1" applyFill="1" applyBorder="1" applyAlignment="1">
      <alignment vertical="center"/>
    </xf>
    <xf numFmtId="167" fontId="0" fillId="10" borderId="130" xfId="13" applyNumberFormat="1" applyFont="1" applyFill="1" applyBorder="1" applyAlignment="1">
      <alignment horizontal="right" vertical="center"/>
    </xf>
    <xf numFmtId="167" fontId="0" fillId="10" borderId="115" xfId="13" applyNumberFormat="1" applyFont="1" applyFill="1" applyBorder="1" applyAlignment="1">
      <alignment horizontal="right" vertical="center"/>
    </xf>
    <xf numFmtId="167" fontId="14" fillId="40" borderId="114" xfId="13" applyNumberFormat="1" applyFont="1" applyFill="1" applyBorder="1" applyAlignment="1">
      <alignment horizontal="right" vertical="center"/>
    </xf>
    <xf numFmtId="167" fontId="15" fillId="43" borderId="53" xfId="13" applyNumberFormat="1" applyFill="1" applyBorder="1" applyAlignment="1">
      <alignment vertical="center"/>
    </xf>
    <xf numFmtId="172" fontId="0" fillId="12" borderId="108" xfId="12" applyNumberFormat="1" applyFont="1" applyFill="1" applyBorder="1" applyAlignment="1" applyProtection="1">
      <alignment vertical="center"/>
      <protection locked="0"/>
    </xf>
    <xf numFmtId="167" fontId="14" fillId="40" borderId="94" xfId="13" applyNumberFormat="1" applyFont="1" applyFill="1" applyBorder="1" applyAlignment="1">
      <alignment vertical="center"/>
    </xf>
    <xf numFmtId="167" fontId="14" fillId="40" borderId="124" xfId="13" applyNumberFormat="1" applyFont="1" applyFill="1" applyBorder="1" applyAlignment="1">
      <alignment horizontal="right" vertical="center"/>
    </xf>
    <xf numFmtId="0" fontId="14" fillId="15" borderId="129" xfId="0" applyFont="1" applyFill="1" applyBorder="1" applyAlignment="1">
      <alignment horizontal="center" vertical="center" wrapText="1"/>
    </xf>
    <xf numFmtId="167" fontId="19" fillId="36" borderId="86" xfId="0" applyNumberFormat="1" applyFont="1" applyFill="1" applyBorder="1" applyAlignment="1">
      <alignment horizontal="center" vertical="center" wrapText="1"/>
    </xf>
    <xf numFmtId="167" fontId="19" fillId="36" borderId="154" xfId="0" applyNumberFormat="1" applyFont="1" applyFill="1" applyBorder="1" applyAlignment="1">
      <alignment horizontal="center" vertical="center" wrapText="1"/>
    </xf>
    <xf numFmtId="0" fontId="19" fillId="36" borderId="85" xfId="0" applyFont="1" applyFill="1" applyBorder="1" applyAlignment="1">
      <alignment horizontal="center" vertical="center" wrapText="1"/>
    </xf>
    <xf numFmtId="0" fontId="19" fillId="25" borderId="155" xfId="0" applyFont="1" applyFill="1" applyBorder="1" applyAlignment="1">
      <alignment horizontal="center" vertical="center" wrapText="1"/>
    </xf>
    <xf numFmtId="0" fontId="19" fillId="25" borderId="152" xfId="0" applyFont="1" applyFill="1" applyBorder="1" applyAlignment="1">
      <alignment horizontal="center" vertical="center" wrapText="1"/>
    </xf>
    <xf numFmtId="0" fontId="19" fillId="25" borderId="86" xfId="0" applyFont="1" applyFill="1" applyBorder="1" applyAlignment="1">
      <alignment horizontal="center" vertical="center" wrapText="1"/>
    </xf>
    <xf numFmtId="0" fontId="14" fillId="15" borderId="89" xfId="0" applyFont="1" applyFill="1" applyBorder="1" applyAlignment="1">
      <alignment horizontal="center" vertical="center" wrapText="1"/>
    </xf>
    <xf numFmtId="0" fontId="14" fillId="0" borderId="156" xfId="0" applyFont="1" applyBorder="1" applyAlignment="1">
      <alignment horizontal="left" vertical="center"/>
    </xf>
    <xf numFmtId="167" fontId="0" fillId="29" borderId="136" xfId="13" applyNumberFormat="1" applyFont="1" applyFill="1" applyBorder="1" applyAlignment="1">
      <alignment vertical="center"/>
    </xf>
    <xf numFmtId="167" fontId="0" fillId="29" borderId="139" xfId="13" applyNumberFormat="1" applyFont="1" applyFill="1" applyBorder="1" applyAlignment="1">
      <alignment vertical="center"/>
    </xf>
    <xf numFmtId="167" fontId="14" fillId="29" borderId="157" xfId="13" applyNumberFormat="1" applyFont="1" applyFill="1" applyBorder="1" applyAlignment="1">
      <alignment vertical="center"/>
    </xf>
    <xf numFmtId="167" fontId="0" fillId="19" borderId="158" xfId="13" applyNumberFormat="1" applyFont="1" applyFill="1" applyBorder="1" applyAlignment="1">
      <alignment vertical="center"/>
    </xf>
    <xf numFmtId="167" fontId="0" fillId="19" borderId="159" xfId="13" applyNumberFormat="1" applyFont="1" applyFill="1" applyBorder="1" applyAlignment="1">
      <alignment vertical="center"/>
    </xf>
    <xf numFmtId="167" fontId="14" fillId="19" borderId="136" xfId="13" applyNumberFormat="1" applyFont="1" applyFill="1" applyBorder="1" applyAlignment="1">
      <alignment vertical="center"/>
    </xf>
    <xf numFmtId="167" fontId="14" fillId="0" borderId="160" xfId="13" applyNumberFormat="1" applyFont="1" applyBorder="1" applyAlignment="1">
      <alignment vertical="center"/>
    </xf>
    <xf numFmtId="0" fontId="14" fillId="15" borderId="161" xfId="0" applyFont="1" applyFill="1" applyBorder="1" applyAlignment="1">
      <alignment horizontal="center" vertical="center"/>
    </xf>
    <xf numFmtId="167" fontId="24" fillId="15" borderId="162" xfId="13" applyNumberFormat="1" applyFont="1" applyFill="1" applyBorder="1" applyAlignment="1">
      <alignment vertical="center"/>
    </xf>
    <xf numFmtId="167" fontId="24" fillId="15" borderId="163" xfId="13" applyNumberFormat="1" applyFont="1" applyFill="1" applyBorder="1" applyAlignment="1">
      <alignment vertical="center"/>
    </xf>
    <xf numFmtId="167" fontId="24" fillId="15" borderId="164" xfId="13" applyNumberFormat="1" applyFont="1" applyFill="1" applyBorder="1" applyAlignment="1">
      <alignment vertical="center"/>
    </xf>
    <xf numFmtId="167" fontId="14" fillId="40" borderId="165" xfId="13" applyNumberFormat="1" applyFont="1" applyFill="1" applyBorder="1" applyAlignment="1">
      <alignment horizontal="right" vertical="center"/>
    </xf>
    <xf numFmtId="167" fontId="14" fillId="40" borderId="166" xfId="13" applyNumberFormat="1" applyFont="1" applyFill="1" applyBorder="1" applyAlignment="1">
      <alignment vertical="center"/>
    </xf>
    <xf numFmtId="167" fontId="14" fillId="40" borderId="109" xfId="13" applyNumberFormat="1" applyFont="1" applyFill="1" applyBorder="1" applyAlignment="1">
      <alignment horizontal="right" vertical="center"/>
    </xf>
    <xf numFmtId="0" fontId="0" fillId="0" borderId="122" xfId="0" applyBorder="1" applyAlignment="1">
      <alignment horizontal="left" vertical="center"/>
    </xf>
    <xf numFmtId="0" fontId="0" fillId="0" borderId="124" xfId="0" applyBorder="1" applyAlignment="1">
      <alignment horizontal="left" vertical="center"/>
    </xf>
    <xf numFmtId="169" fontId="0" fillId="45" borderId="96" xfId="13" applyNumberFormat="1" applyFont="1" applyFill="1" applyBorder="1" applyAlignment="1">
      <alignment horizontal="center" vertical="center"/>
    </xf>
    <xf numFmtId="169" fontId="0" fillId="12" borderId="103" xfId="13" applyNumberFormat="1" applyFont="1" applyFill="1" applyBorder="1" applyAlignment="1" applyProtection="1">
      <alignment horizontal="center" vertical="center"/>
      <protection locked="0"/>
    </xf>
    <xf numFmtId="169" fontId="0" fillId="45" borderId="101" xfId="13" applyNumberFormat="1" applyFont="1" applyFill="1" applyBorder="1" applyAlignment="1">
      <alignment horizontal="center" vertical="center"/>
    </xf>
    <xf numFmtId="169" fontId="0" fillId="45" borderId="94" xfId="13" applyNumberFormat="1" applyFont="1" applyFill="1" applyBorder="1" applyAlignment="1">
      <alignment horizontal="center" vertical="center"/>
    </xf>
    <xf numFmtId="177" fontId="0" fillId="29" borderId="96" xfId="13" applyNumberFormat="1" applyFont="1" applyFill="1" applyBorder="1" applyAlignment="1">
      <alignment vertical="center"/>
    </xf>
    <xf numFmtId="166" fontId="0" fillId="0" borderId="105" xfId="13" applyNumberFormat="1" applyFont="1" applyBorder="1" applyAlignment="1">
      <alignment vertical="center"/>
    </xf>
    <xf numFmtId="166" fontId="0" fillId="0" borderId="106" xfId="13" applyNumberFormat="1" applyFont="1" applyBorder="1" applyAlignment="1">
      <alignment vertical="center"/>
    </xf>
    <xf numFmtId="167" fontId="0" fillId="29" borderId="96" xfId="13" applyNumberFormat="1" applyFont="1" applyFill="1" applyBorder="1" applyAlignment="1">
      <alignment vertical="center"/>
    </xf>
    <xf numFmtId="167" fontId="0" fillId="29" borderId="97" xfId="13" applyNumberFormat="1" applyFont="1" applyFill="1" applyBorder="1" applyAlignment="1">
      <alignment vertical="center"/>
    </xf>
    <xf numFmtId="167" fontId="0" fillId="29" borderId="103" xfId="13" applyNumberFormat="1" applyFont="1" applyFill="1" applyBorder="1" applyAlignment="1">
      <alignment vertical="center"/>
    </xf>
    <xf numFmtId="167" fontId="0" fillId="29" borderId="101" xfId="13" applyNumberFormat="1" applyFont="1" applyFill="1" applyBorder="1" applyAlignment="1">
      <alignment vertical="center"/>
    </xf>
    <xf numFmtId="167" fontId="0" fillId="29" borderId="102" xfId="13" applyNumberFormat="1" applyFont="1" applyFill="1" applyBorder="1" applyAlignment="1">
      <alignment vertical="center"/>
    </xf>
    <xf numFmtId="167" fontId="0" fillId="37" borderId="96" xfId="13" applyNumberFormat="1" applyFont="1" applyFill="1" applyBorder="1" applyAlignment="1">
      <alignment vertical="center"/>
    </xf>
    <xf numFmtId="167" fontId="0" fillId="37" borderId="103" xfId="13" applyNumberFormat="1" applyFont="1" applyFill="1" applyBorder="1" applyAlignment="1">
      <alignment vertical="center"/>
    </xf>
    <xf numFmtId="167" fontId="0" fillId="37" borderId="101" xfId="13" applyNumberFormat="1" applyFont="1" applyFill="1" applyBorder="1" applyAlignment="1">
      <alignment vertical="center"/>
    </xf>
    <xf numFmtId="167" fontId="0" fillId="0" borderId="101" xfId="13" applyNumberFormat="1" applyFont="1" applyBorder="1" applyAlignment="1">
      <alignment vertical="center"/>
    </xf>
    <xf numFmtId="167" fontId="0" fillId="0" borderId="94" xfId="13" applyNumberFormat="1" applyFont="1" applyBorder="1" applyAlignment="1">
      <alignment vertical="center"/>
    </xf>
    <xf numFmtId="169" fontId="0" fillId="0" borderId="96" xfId="0" applyNumberFormat="1" applyBorder="1" applyAlignment="1">
      <alignment horizontal="center" vertical="center"/>
    </xf>
    <xf numFmtId="169" fontId="0" fillId="0" borderId="97" xfId="0" applyNumberFormat="1" applyBorder="1" applyAlignment="1">
      <alignment horizontal="center" vertical="center"/>
    </xf>
    <xf numFmtId="169" fontId="0" fillId="0" borderId="103" xfId="0" applyNumberFormat="1" applyBorder="1" applyAlignment="1">
      <alignment horizontal="center" vertical="center"/>
    </xf>
    <xf numFmtId="169" fontId="0" fillId="0" borderId="101" xfId="0" applyNumberFormat="1" applyBorder="1" applyAlignment="1">
      <alignment horizontal="center" vertical="center"/>
    </xf>
    <xf numFmtId="169" fontId="0" fillId="0" borderId="102" xfId="0" applyNumberFormat="1" applyBorder="1" applyAlignment="1">
      <alignment horizontal="center" vertical="center"/>
    </xf>
    <xf numFmtId="167" fontId="14" fillId="35" borderId="169" xfId="0" applyNumberFormat="1" applyFont="1" applyFill="1" applyBorder="1" applyAlignment="1">
      <alignment horizontal="center" vertical="center" wrapText="1"/>
    </xf>
    <xf numFmtId="167" fontId="14" fillId="35" borderId="170" xfId="0" applyNumberFormat="1" applyFont="1" applyFill="1" applyBorder="1" applyAlignment="1">
      <alignment horizontal="center" vertical="center" wrapText="1"/>
    </xf>
    <xf numFmtId="167" fontId="14" fillId="35" borderId="171" xfId="0" applyNumberFormat="1" applyFont="1" applyFill="1" applyBorder="1" applyAlignment="1">
      <alignment horizontal="center" vertical="center" wrapText="1"/>
    </xf>
    <xf numFmtId="167" fontId="14" fillId="15" borderId="172" xfId="0" applyNumberFormat="1" applyFont="1" applyFill="1" applyBorder="1" applyAlignment="1">
      <alignment horizontal="center" vertical="center" wrapText="1"/>
    </xf>
    <xf numFmtId="167" fontId="14" fillId="15" borderId="170" xfId="0" applyNumberFormat="1" applyFont="1" applyFill="1" applyBorder="1" applyAlignment="1">
      <alignment horizontal="center" vertical="center" wrapText="1"/>
    </xf>
    <xf numFmtId="167" fontId="14" fillId="15" borderId="173" xfId="0" applyNumberFormat="1" applyFont="1" applyFill="1" applyBorder="1" applyAlignment="1">
      <alignment horizontal="center" vertical="center" wrapText="1"/>
    </xf>
    <xf numFmtId="0" fontId="14" fillId="15" borderId="169" xfId="0" applyFont="1" applyFill="1" applyBorder="1" applyAlignment="1">
      <alignment horizontal="center" vertical="center"/>
    </xf>
    <xf numFmtId="0" fontId="14" fillId="15" borderId="174" xfId="0" applyFont="1" applyFill="1" applyBorder="1" applyAlignment="1">
      <alignment horizontal="center" vertical="center"/>
    </xf>
    <xf numFmtId="167" fontId="0" fillId="29" borderId="122" xfId="13" applyNumberFormat="1" applyFont="1" applyFill="1" applyBorder="1" applyAlignment="1">
      <alignment vertical="center"/>
    </xf>
    <xf numFmtId="167" fontId="0" fillId="29" borderId="124" xfId="13" applyNumberFormat="1" applyFont="1" applyFill="1" applyBorder="1" applyAlignment="1">
      <alignment vertical="center"/>
    </xf>
    <xf numFmtId="167" fontId="15" fillId="0" borderId="53" xfId="13" applyNumberFormat="1" applyBorder="1" applyAlignment="1">
      <alignment vertical="center"/>
    </xf>
    <xf numFmtId="167" fontId="14" fillId="40" borderId="104" xfId="13" applyNumberFormat="1" applyFont="1" applyFill="1" applyBorder="1" applyAlignment="1">
      <alignment vertical="center"/>
    </xf>
    <xf numFmtId="167" fontId="14" fillId="40" borderId="165" xfId="13" applyNumberFormat="1" applyFont="1" applyFill="1" applyBorder="1" applyAlignment="1">
      <alignment vertical="center"/>
    </xf>
    <xf numFmtId="167" fontId="14" fillId="40" borderId="119" xfId="13" applyNumberFormat="1" applyFont="1" applyFill="1" applyBorder="1" applyAlignment="1">
      <alignment vertical="center"/>
    </xf>
    <xf numFmtId="172" fontId="0" fillId="0" borderId="108" xfId="12" applyNumberFormat="1" applyFont="1" applyBorder="1" applyAlignment="1">
      <alignment vertical="center"/>
    </xf>
    <xf numFmtId="167" fontId="24" fillId="32" borderId="176" xfId="13" applyNumberFormat="1" applyFont="1" applyFill="1" applyBorder="1" applyAlignment="1">
      <alignment vertical="center" wrapText="1"/>
    </xf>
    <xf numFmtId="167" fontId="24" fillId="32" borderId="177" xfId="13" applyNumberFormat="1" applyFont="1" applyFill="1" applyBorder="1" applyAlignment="1">
      <alignment vertical="center" wrapText="1"/>
    </xf>
    <xf numFmtId="167" fontId="24" fillId="32" borderId="178" xfId="13" applyNumberFormat="1" applyFont="1" applyFill="1" applyBorder="1" applyAlignment="1">
      <alignment vertical="center" wrapText="1"/>
    </xf>
    <xf numFmtId="167" fontId="24" fillId="32" borderId="49" xfId="13" applyNumberFormat="1" applyFont="1" applyFill="1" applyBorder="1" applyAlignment="1">
      <alignment vertical="center" wrapText="1"/>
    </xf>
    <xf numFmtId="167" fontId="24" fillId="32" borderId="50" xfId="13" applyNumberFormat="1" applyFont="1" applyFill="1" applyBorder="1" applyAlignment="1">
      <alignment vertical="center" wrapText="1"/>
    </xf>
    <xf numFmtId="167" fontId="24" fillId="32" borderId="54" xfId="13" applyNumberFormat="1" applyFont="1" applyFill="1" applyBorder="1" applyAlignment="1">
      <alignment vertical="center" wrapText="1"/>
    </xf>
    <xf numFmtId="177" fontId="0" fillId="45" borderId="96" xfId="13" applyNumberFormat="1" applyFont="1" applyFill="1" applyBorder="1" applyAlignment="1">
      <alignment vertical="center"/>
    </xf>
    <xf numFmtId="169" fontId="0" fillId="12" borderId="79" xfId="13" applyNumberFormat="1" applyFont="1" applyFill="1" applyBorder="1" applyAlignment="1" applyProtection="1">
      <alignment horizontal="center" vertical="center"/>
      <protection locked="0"/>
    </xf>
    <xf numFmtId="169" fontId="0" fillId="45" borderId="180" xfId="13" applyNumberFormat="1" applyFont="1" applyFill="1" applyBorder="1" applyAlignment="1">
      <alignment horizontal="center" vertical="center"/>
    </xf>
    <xf numFmtId="177" fontId="0" fillId="29" borderId="79" xfId="13" applyNumberFormat="1" applyFont="1" applyFill="1" applyBorder="1" applyAlignment="1">
      <alignment vertical="center"/>
    </xf>
    <xf numFmtId="177" fontId="0" fillId="45" borderId="181" xfId="13" applyNumberFormat="1" applyFont="1" applyFill="1" applyBorder="1" applyAlignment="1">
      <alignment vertical="center"/>
    </xf>
    <xf numFmtId="178" fontId="0" fillId="12" borderId="181" xfId="13" applyNumberFormat="1" applyFont="1" applyFill="1" applyBorder="1" applyAlignment="1" applyProtection="1">
      <alignment horizontal="center" vertical="center"/>
      <protection locked="0"/>
    </xf>
    <xf numFmtId="167" fontId="24" fillId="32" borderId="51" xfId="13" applyNumberFormat="1" applyFont="1" applyFill="1" applyBorder="1" applyAlignment="1">
      <alignment vertical="center" wrapText="1"/>
    </xf>
    <xf numFmtId="167" fontId="14" fillId="40" borderId="179" xfId="13" applyNumberFormat="1" applyFont="1" applyFill="1" applyBorder="1" applyAlignment="1">
      <alignment horizontal="right" vertical="center"/>
    </xf>
    <xf numFmtId="167" fontId="24" fillId="32" borderId="182" xfId="13" applyNumberFormat="1" applyFont="1" applyFill="1" applyBorder="1" applyAlignment="1">
      <alignment vertical="center" wrapText="1"/>
    </xf>
    <xf numFmtId="167" fontId="14" fillId="35" borderId="190" xfId="0" applyNumberFormat="1" applyFont="1" applyFill="1" applyBorder="1" applyAlignment="1">
      <alignment horizontal="center" vertical="center" wrapText="1"/>
    </xf>
    <xf numFmtId="167" fontId="14" fillId="35" borderId="191" xfId="0" applyNumberFormat="1" applyFont="1" applyFill="1" applyBorder="1" applyAlignment="1">
      <alignment horizontal="center" vertical="center" wrapText="1"/>
    </xf>
    <xf numFmtId="167" fontId="14" fillId="35" borderId="192" xfId="0" applyNumberFormat="1" applyFont="1" applyFill="1" applyBorder="1" applyAlignment="1">
      <alignment horizontal="center" vertical="center" wrapText="1"/>
    </xf>
    <xf numFmtId="167" fontId="14" fillId="15" borderId="190" xfId="0" applyNumberFormat="1" applyFont="1" applyFill="1" applyBorder="1" applyAlignment="1">
      <alignment horizontal="center" vertical="center" wrapText="1"/>
    </xf>
    <xf numFmtId="167" fontId="14" fillId="15" borderId="191" xfId="0" applyNumberFormat="1" applyFont="1" applyFill="1" applyBorder="1" applyAlignment="1">
      <alignment horizontal="center" vertical="center" wrapText="1"/>
    </xf>
    <xf numFmtId="167" fontId="14" fillId="15" borderId="192" xfId="0" applyNumberFormat="1" applyFont="1" applyFill="1" applyBorder="1" applyAlignment="1">
      <alignment horizontal="center" vertical="center" wrapText="1"/>
    </xf>
    <xf numFmtId="167" fontId="14" fillId="15" borderId="193" xfId="0" applyNumberFormat="1" applyFont="1" applyFill="1" applyBorder="1" applyAlignment="1">
      <alignment horizontal="center" vertical="center" wrapText="1"/>
    </xf>
    <xf numFmtId="167" fontId="14" fillId="15" borderId="194" xfId="0" applyNumberFormat="1" applyFont="1" applyFill="1" applyBorder="1" applyAlignment="1">
      <alignment horizontal="center" vertical="center" wrapText="1"/>
    </xf>
    <xf numFmtId="167" fontId="14" fillId="15" borderId="195" xfId="0" applyNumberFormat="1" applyFont="1" applyFill="1" applyBorder="1" applyAlignment="1">
      <alignment horizontal="center" vertical="center" wrapText="1"/>
    </xf>
    <xf numFmtId="167" fontId="0" fillId="29" borderId="79" xfId="13" applyNumberFormat="1" applyFont="1" applyFill="1" applyBorder="1" applyAlignment="1">
      <alignment vertical="center"/>
    </xf>
    <xf numFmtId="167" fontId="0" fillId="29" borderId="180" xfId="13" applyNumberFormat="1" applyFont="1" applyFill="1" applyBorder="1" applyAlignment="1">
      <alignment vertical="center"/>
    </xf>
    <xf numFmtId="167" fontId="0" fillId="37" borderId="79" xfId="13" applyNumberFormat="1" applyFont="1" applyFill="1" applyBorder="1" applyAlignment="1">
      <alignment vertical="center"/>
    </xf>
    <xf numFmtId="167" fontId="0" fillId="0" borderId="180" xfId="13" applyNumberFormat="1" applyFont="1" applyBorder="1" applyAlignment="1">
      <alignment vertical="center"/>
    </xf>
    <xf numFmtId="169" fontId="0" fillId="0" borderId="79" xfId="0" applyNumberFormat="1" applyBorder="1" applyAlignment="1">
      <alignment horizontal="center" vertical="center"/>
    </xf>
    <xf numFmtId="167" fontId="0" fillId="0" borderId="196" xfId="13" applyNumberFormat="1" applyFont="1" applyBorder="1" applyAlignment="1">
      <alignment vertical="center"/>
    </xf>
    <xf numFmtId="167" fontId="0" fillId="0" borderId="114" xfId="13" applyNumberFormat="1" applyFont="1" applyBorder="1" applyAlignment="1">
      <alignment vertical="center"/>
    </xf>
    <xf numFmtId="167" fontId="0" fillId="37" borderId="97" xfId="13" applyNumberFormat="1" applyFont="1" applyFill="1" applyBorder="1" applyAlignment="1">
      <alignment vertical="center"/>
    </xf>
    <xf numFmtId="167" fontId="0" fillId="37" borderId="102" xfId="13" applyNumberFormat="1" applyFont="1" applyFill="1" applyBorder="1" applyAlignment="1">
      <alignment vertical="center"/>
    </xf>
    <xf numFmtId="166" fontId="0" fillId="0" borderId="197" xfId="13" applyNumberFormat="1" applyFont="1" applyBorder="1" applyAlignment="1">
      <alignment vertical="center"/>
    </xf>
    <xf numFmtId="179" fontId="15" fillId="37" borderId="79" xfId="16" applyNumberFormat="1" applyFill="1" applyBorder="1" applyAlignment="1">
      <alignment horizontal="center" vertical="center"/>
    </xf>
    <xf numFmtId="0" fontId="0" fillId="12" borderId="79" xfId="0" applyFill="1" applyBorder="1" applyAlignment="1" applyProtection="1">
      <alignment horizontal="left" vertical="center"/>
      <protection locked="0"/>
    </xf>
    <xf numFmtId="166" fontId="0" fillId="0" borderId="198" xfId="13" applyNumberFormat="1" applyFont="1" applyBorder="1" applyAlignment="1">
      <alignment vertical="center"/>
    </xf>
    <xf numFmtId="167" fontId="0" fillId="48" borderId="98" xfId="13" applyNumberFormat="1" applyFont="1" applyFill="1" applyBorder="1" applyAlignment="1" applyProtection="1">
      <alignment vertical="center"/>
      <protection locked="0"/>
    </xf>
    <xf numFmtId="167" fontId="20" fillId="48" borderId="98" xfId="13" applyNumberFormat="1" applyFont="1" applyFill="1" applyBorder="1" applyAlignment="1" applyProtection="1">
      <alignment vertical="center"/>
      <protection locked="0"/>
    </xf>
    <xf numFmtId="175" fontId="20" fillId="48" borderId="98" xfId="12" applyNumberFormat="1" applyFont="1" applyFill="1" applyBorder="1" applyAlignment="1" applyProtection="1">
      <alignment vertical="center"/>
      <protection locked="0"/>
    </xf>
    <xf numFmtId="167" fontId="12" fillId="24" borderId="98" xfId="13" applyNumberFormat="1" applyFont="1" applyFill="1" applyBorder="1" applyAlignment="1">
      <alignment vertical="center"/>
    </xf>
    <xf numFmtId="167" fontId="12" fillId="22" borderId="98" xfId="13" applyNumberFormat="1" applyFont="1" applyFill="1" applyBorder="1" applyAlignment="1">
      <alignment vertical="center"/>
    </xf>
    <xf numFmtId="167" fontId="0" fillId="46" borderId="98" xfId="13" applyNumberFormat="1" applyFont="1" applyFill="1" applyBorder="1" applyAlignment="1">
      <alignment vertical="center"/>
    </xf>
    <xf numFmtId="180" fontId="15" fillId="46" borderId="98" xfId="13" applyNumberFormat="1" applyFill="1" applyBorder="1"/>
    <xf numFmtId="0" fontId="14" fillId="21" borderId="199" xfId="0" applyFont="1" applyFill="1" applyBorder="1" applyAlignment="1">
      <alignment horizontal="center" vertical="center"/>
    </xf>
    <xf numFmtId="0" fontId="12" fillId="23" borderId="200" xfId="0" applyFont="1" applyFill="1" applyBorder="1" applyAlignment="1">
      <alignment horizontal="left" vertical="center"/>
    </xf>
    <xf numFmtId="0" fontId="14" fillId="20" borderId="132" xfId="0" applyFont="1" applyFill="1" applyBorder="1" applyAlignment="1">
      <alignment horizontal="center" vertical="center" wrapText="1"/>
    </xf>
    <xf numFmtId="0" fontId="12" fillId="20" borderId="200" xfId="0" applyFont="1" applyFill="1" applyBorder="1" applyAlignment="1">
      <alignment horizontal="left" vertical="center"/>
    </xf>
    <xf numFmtId="1" fontId="0" fillId="0" borderId="132" xfId="0" applyNumberFormat="1" applyBorder="1" applyAlignment="1">
      <alignment horizontal="center" vertical="center" wrapText="1"/>
    </xf>
    <xf numFmtId="174" fontId="20" fillId="0" borderId="200" xfId="0" applyNumberFormat="1" applyFont="1" applyBorder="1" applyAlignment="1">
      <alignment horizontal="left"/>
    </xf>
    <xf numFmtId="167" fontId="0" fillId="45" borderId="98" xfId="13" applyNumberFormat="1" applyFont="1" applyFill="1" applyBorder="1" applyAlignment="1">
      <alignment vertical="center"/>
    </xf>
    <xf numFmtId="167" fontId="20" fillId="1" borderId="98" xfId="13" applyNumberFormat="1" applyFont="1" applyFill="1" applyBorder="1" applyAlignment="1">
      <alignment vertical="center"/>
    </xf>
    <xf numFmtId="175" fontId="20" fillId="1" borderId="98" xfId="12" applyNumberFormat="1" applyFont="1" applyFill="1" applyBorder="1" applyAlignment="1">
      <alignment vertical="center"/>
    </xf>
    <xf numFmtId="1" fontId="0" fillId="0" borderId="131" xfId="0" applyNumberFormat="1" applyBorder="1" applyAlignment="1">
      <alignment horizontal="center"/>
    </xf>
    <xf numFmtId="1" fontId="0" fillId="0" borderId="135" xfId="0" applyNumberFormat="1" applyBorder="1"/>
    <xf numFmtId="174" fontId="32" fillId="0" borderId="200" xfId="0" applyNumberFormat="1" applyFont="1" applyBorder="1" applyAlignment="1">
      <alignment horizontal="left"/>
    </xf>
    <xf numFmtId="1" fontId="0" fillId="43" borderId="132" xfId="0" applyNumberFormat="1" applyFill="1" applyBorder="1" applyAlignment="1">
      <alignment horizontal="center" vertical="center" wrapText="1"/>
    </xf>
    <xf numFmtId="1" fontId="0" fillId="0" borderId="74" xfId="0" applyNumberFormat="1" applyBorder="1" applyAlignment="1">
      <alignment horizontal="center" vertical="center" wrapText="1"/>
    </xf>
    <xf numFmtId="174" fontId="20" fillId="0" borderId="201" xfId="0" applyNumberFormat="1" applyFont="1" applyBorder="1" applyAlignment="1">
      <alignment horizontal="left"/>
    </xf>
    <xf numFmtId="0" fontId="14" fillId="31" borderId="202" xfId="0" applyFont="1" applyFill="1" applyBorder="1" applyAlignment="1">
      <alignment horizontal="center" vertical="center" wrapText="1"/>
    </xf>
    <xf numFmtId="0" fontId="14" fillId="32" borderId="203" xfId="0" applyFont="1" applyFill="1" applyBorder="1" applyAlignment="1">
      <alignment vertical="center"/>
    </xf>
    <xf numFmtId="166" fontId="14" fillId="33" borderId="98" xfId="13" applyNumberFormat="1" applyFont="1" applyFill="1" applyBorder="1" applyAlignment="1">
      <alignment vertical="center"/>
    </xf>
    <xf numFmtId="167" fontId="0" fillId="0" borderId="85" xfId="0" applyNumberFormat="1" applyBorder="1" applyAlignment="1">
      <alignment vertical="center"/>
    </xf>
    <xf numFmtId="0" fontId="14" fillId="12" borderId="98" xfId="0" applyFont="1" applyFill="1" applyBorder="1" applyAlignment="1">
      <alignment horizontal="center" vertical="center"/>
    </xf>
    <xf numFmtId="167" fontId="14" fillId="50" borderId="98" xfId="13" applyNumberFormat="1" applyFont="1" applyFill="1" applyBorder="1" applyAlignment="1">
      <alignment horizontal="center" vertical="center"/>
    </xf>
    <xf numFmtId="0" fontId="35" fillId="51" borderId="204" xfId="31" applyFont="1" applyFill="1" applyBorder="1" applyAlignment="1">
      <alignment horizontal="center" vertical="center"/>
    </xf>
    <xf numFmtId="0" fontId="35" fillId="52" borderId="204" xfId="31" applyFont="1" applyFill="1" applyBorder="1" applyAlignment="1">
      <alignment horizontal="center" vertical="center" wrapText="1"/>
    </xf>
    <xf numFmtId="0" fontId="2" fillId="43" borderId="0" xfId="31" applyFill="1"/>
    <xf numFmtId="0" fontId="35" fillId="43" borderId="0" xfId="31" applyFont="1" applyFill="1" applyAlignment="1">
      <alignment horizontal="right"/>
    </xf>
    <xf numFmtId="185" fontId="35" fillId="43" borderId="0" xfId="31" applyNumberFormat="1" applyFont="1" applyFill="1"/>
    <xf numFmtId="0" fontId="2" fillId="43" borderId="0" xfId="31" applyFill="1" applyAlignment="1">
      <alignment horizontal="left" indent="2"/>
    </xf>
    <xf numFmtId="185" fontId="2" fillId="43" borderId="0" xfId="31" applyNumberFormat="1" applyFill="1"/>
    <xf numFmtId="0" fontId="35" fillId="49" borderId="78" xfId="31" applyFont="1" applyFill="1" applyBorder="1" applyAlignment="1">
      <alignment horizontal="left" indent="2"/>
    </xf>
    <xf numFmtId="185" fontId="35" fillId="49" borderId="78" xfId="31" applyNumberFormat="1" applyFont="1" applyFill="1" applyBorder="1"/>
    <xf numFmtId="1" fontId="36" fillId="43" borderId="204" xfId="32" applyNumberFormat="1" applyFont="1" applyFill="1" applyBorder="1" applyAlignment="1">
      <alignment horizontal="center" vertical="center"/>
    </xf>
    <xf numFmtId="1" fontId="36" fillId="43" borderId="0" xfId="32" applyNumberFormat="1" applyFont="1" applyFill="1" applyBorder="1" applyAlignment="1">
      <alignment horizontal="center" vertical="center"/>
    </xf>
    <xf numFmtId="0" fontId="35" fillId="46" borderId="0" xfId="31" applyFont="1" applyFill="1" applyAlignment="1">
      <alignment horizontal="left" vertical="center" indent="1"/>
    </xf>
    <xf numFmtId="178" fontId="0" fillId="28" borderId="77" xfId="0" applyNumberFormat="1" applyFill="1" applyBorder="1"/>
    <xf numFmtId="0" fontId="27" fillId="11" borderId="0" xfId="0" applyFont="1" applyFill="1" applyAlignment="1">
      <alignment vertical="center"/>
    </xf>
    <xf numFmtId="177" fontId="0" fillId="12" borderId="206" xfId="13" applyNumberFormat="1" applyFont="1" applyFill="1" applyBorder="1" applyAlignment="1" applyProtection="1">
      <alignment vertical="center"/>
      <protection locked="0"/>
    </xf>
    <xf numFmtId="176" fontId="0" fillId="29" borderId="108" xfId="0" applyNumberFormat="1" applyFill="1" applyBorder="1" applyAlignment="1">
      <alignment horizontal="right" vertical="center"/>
    </xf>
    <xf numFmtId="176" fontId="0" fillId="29" borderId="94" xfId="0" applyNumberFormat="1" applyFill="1" applyBorder="1" applyAlignment="1">
      <alignment horizontal="right" vertical="center"/>
    </xf>
    <xf numFmtId="0" fontId="0" fillId="12" borderId="206" xfId="0" applyFill="1" applyBorder="1" applyAlignment="1" applyProtection="1">
      <alignment horizontal="left" vertical="center"/>
      <protection locked="0"/>
    </xf>
    <xf numFmtId="177" fontId="0" fillId="49" borderId="206" xfId="13" applyNumberFormat="1" applyFont="1" applyFill="1" applyBorder="1" applyAlignment="1" applyProtection="1">
      <alignment vertical="center"/>
      <protection locked="0"/>
    </xf>
    <xf numFmtId="176" fontId="0" fillId="29" borderId="110" xfId="0" applyNumberFormat="1" applyFill="1" applyBorder="1" applyAlignment="1">
      <alignment horizontal="right" vertical="center"/>
    </xf>
    <xf numFmtId="177" fontId="14" fillId="46" borderId="77" xfId="0" applyNumberFormat="1" applyFont="1" applyFill="1" applyBorder="1"/>
    <xf numFmtId="178" fontId="14" fillId="29" borderId="183" xfId="0" applyNumberFormat="1" applyFont="1" applyFill="1" applyBorder="1" applyAlignment="1">
      <alignment vertical="center"/>
    </xf>
    <xf numFmtId="178" fontId="14" fillId="29" borderId="72" xfId="0" applyNumberFormat="1" applyFont="1" applyFill="1" applyBorder="1" applyAlignment="1">
      <alignment vertical="center"/>
    </xf>
    <xf numFmtId="178" fontId="0" fillId="12" borderId="48" xfId="13" applyNumberFormat="1" applyFont="1" applyFill="1" applyBorder="1" applyAlignment="1" applyProtection="1">
      <alignment horizontal="center" vertical="center"/>
      <protection locked="0"/>
    </xf>
    <xf numFmtId="178" fontId="0" fillId="12" borderId="97" xfId="13" applyNumberFormat="1" applyFont="1" applyFill="1" applyBorder="1" applyAlignment="1" applyProtection="1">
      <alignment horizontal="center" vertical="center"/>
      <protection locked="0"/>
    </xf>
    <xf numFmtId="178" fontId="0" fillId="12" borderId="81" xfId="13" applyNumberFormat="1" applyFont="1" applyFill="1" applyBorder="1" applyAlignment="1" applyProtection="1">
      <alignment horizontal="center" vertical="center"/>
      <protection locked="0"/>
    </xf>
    <xf numFmtId="178" fontId="0" fillId="12" borderId="118" xfId="13" applyNumberFormat="1" applyFont="1" applyFill="1" applyBorder="1" applyAlignment="1" applyProtection="1">
      <alignment horizontal="center" vertical="center"/>
      <protection locked="0"/>
    </xf>
    <xf numFmtId="167" fontId="0" fillId="29" borderId="98" xfId="13" applyNumberFormat="1" applyFont="1" applyFill="1" applyBorder="1" applyAlignment="1">
      <alignment vertical="center"/>
    </xf>
    <xf numFmtId="175" fontId="20" fillId="29" borderId="98" xfId="12" applyNumberFormat="1" applyFont="1" applyFill="1" applyBorder="1" applyAlignment="1">
      <alignment vertical="center"/>
    </xf>
    <xf numFmtId="0" fontId="0" fillId="45" borderId="180" xfId="0" applyFill="1" applyBorder="1" applyAlignment="1">
      <alignment horizontal="left" vertical="center"/>
    </xf>
    <xf numFmtId="0" fontId="0" fillId="45" borderId="82" xfId="0" applyFill="1" applyBorder="1" applyAlignment="1">
      <alignment horizontal="left" vertical="center"/>
    </xf>
    <xf numFmtId="177" fontId="0" fillId="45" borderId="48" xfId="13" applyNumberFormat="1" applyFont="1" applyFill="1" applyBorder="1" applyAlignment="1">
      <alignment vertical="center"/>
    </xf>
    <xf numFmtId="177" fontId="0" fillId="45" borderId="97" xfId="13" applyNumberFormat="1" applyFont="1" applyFill="1" applyBorder="1" applyAlignment="1">
      <alignment vertical="center"/>
    </xf>
    <xf numFmtId="177" fontId="0" fillId="45" borderId="81" xfId="13" applyNumberFormat="1" applyFont="1" applyFill="1" applyBorder="1" applyAlignment="1">
      <alignment vertical="center"/>
    </xf>
    <xf numFmtId="177" fontId="0" fillId="45" borderId="118" xfId="13" applyNumberFormat="1" applyFont="1" applyFill="1" applyBorder="1" applyAlignment="1">
      <alignment vertical="center"/>
    </xf>
    <xf numFmtId="0" fontId="0" fillId="53" borderId="0" xfId="0" applyFill="1"/>
    <xf numFmtId="0" fontId="14" fillId="53" borderId="0" xfId="0" applyFont="1" applyFill="1" applyAlignment="1">
      <alignment horizontal="center" vertical="center"/>
    </xf>
    <xf numFmtId="0" fontId="0" fillId="53" borderId="0" xfId="0" applyFill="1" applyAlignment="1">
      <alignment horizontal="center" vertical="center"/>
    </xf>
    <xf numFmtId="0" fontId="15" fillId="0" borderId="19" xfId="16" applyNumberFormat="1" applyBorder="1" applyAlignment="1">
      <alignment horizontal="center" vertical="center"/>
    </xf>
    <xf numFmtId="0" fontId="14" fillId="0" borderId="0" xfId="27" applyFont="1" applyAlignment="1">
      <alignment vertical="center"/>
    </xf>
    <xf numFmtId="0" fontId="14" fillId="0" borderId="0" xfId="27" applyFont="1" applyAlignment="1">
      <alignment horizontal="center" vertical="center"/>
    </xf>
    <xf numFmtId="0" fontId="15" fillId="0" borderId="0" xfId="27"/>
    <xf numFmtId="9" fontId="17" fillId="0" borderId="0" xfId="30" applyFont="1" applyBorder="1" applyAlignment="1" applyProtection="1">
      <alignment vertical="center"/>
    </xf>
    <xf numFmtId="0" fontId="14" fillId="0" borderId="74" xfId="27" applyFont="1" applyBorder="1" applyAlignment="1">
      <alignment horizontal="right" vertical="center"/>
    </xf>
    <xf numFmtId="0" fontId="25" fillId="12" borderId="200" xfId="27" applyFont="1" applyFill="1" applyBorder="1" applyAlignment="1" applyProtection="1">
      <alignment horizontal="center" vertical="center"/>
      <protection locked="0"/>
    </xf>
    <xf numFmtId="0" fontId="25" fillId="0" borderId="73" xfId="27" applyFont="1" applyBorder="1" applyAlignment="1">
      <alignment horizontal="center" vertical="center"/>
    </xf>
    <xf numFmtId="0" fontId="25" fillId="0" borderId="0" xfId="27" applyFont="1" applyAlignment="1">
      <alignment horizontal="center" vertical="center"/>
    </xf>
    <xf numFmtId="9" fontId="0" fillId="0" borderId="0" xfId="30" applyFont="1" applyProtection="1"/>
    <xf numFmtId="0" fontId="14" fillId="0" borderId="0" xfId="27" applyFont="1" applyAlignment="1">
      <alignment horizontal="right" vertical="center"/>
    </xf>
    <xf numFmtId="0" fontId="15" fillId="11" borderId="0" xfId="27" applyFill="1"/>
    <xf numFmtId="0" fontId="15" fillId="11" borderId="0" xfId="27" applyFill="1" applyAlignment="1">
      <alignment horizontal="left" vertical="center"/>
    </xf>
    <xf numFmtId="176" fontId="14" fillId="11" borderId="0" xfId="27" applyNumberFormat="1" applyFont="1" applyFill="1" applyAlignment="1">
      <alignment horizontal="right" vertical="center"/>
    </xf>
    <xf numFmtId="0" fontId="15" fillId="11" borderId="167" xfId="27" applyFill="1" applyBorder="1"/>
    <xf numFmtId="0" fontId="15" fillId="11" borderId="36" xfId="27" applyFill="1" applyBorder="1"/>
    <xf numFmtId="0" fontId="15" fillId="11" borderId="207" xfId="27" applyFill="1" applyBorder="1"/>
    <xf numFmtId="0" fontId="15" fillId="11" borderId="111" xfId="27" applyFill="1" applyBorder="1"/>
    <xf numFmtId="0" fontId="15" fillId="11" borderId="76" xfId="27" applyFill="1" applyBorder="1"/>
    <xf numFmtId="0" fontId="27" fillId="0" borderId="0" xfId="27" applyFont="1" applyAlignment="1">
      <alignment horizontal="left" vertical="center" indent="2"/>
    </xf>
    <xf numFmtId="0" fontId="27" fillId="0" borderId="0" xfId="27" applyFont="1" applyAlignment="1">
      <alignment vertical="center"/>
    </xf>
    <xf numFmtId="0" fontId="27" fillId="0" borderId="111" xfId="27" applyFont="1" applyBorder="1" applyAlignment="1">
      <alignment vertical="center"/>
    </xf>
    <xf numFmtId="0" fontId="14" fillId="26" borderId="98" xfId="27" applyFont="1" applyFill="1" applyBorder="1" applyAlignment="1">
      <alignment horizontal="center" vertical="center"/>
    </xf>
    <xf numFmtId="9" fontId="15" fillId="19" borderId="98" xfId="27" applyNumberFormat="1" applyFill="1" applyBorder="1" applyAlignment="1">
      <alignment horizontal="center"/>
    </xf>
    <xf numFmtId="176" fontId="15" fillId="26" borderId="98" xfId="27" applyNumberFormat="1" applyFill="1" applyBorder="1" applyAlignment="1">
      <alignment horizontal="center" vertical="center"/>
    </xf>
    <xf numFmtId="169" fontId="14" fillId="19" borderId="98" xfId="30" applyNumberFormat="1" applyFont="1" applyFill="1" applyBorder="1" applyAlignment="1" applyProtection="1">
      <alignment horizontal="center" vertical="center"/>
    </xf>
    <xf numFmtId="0" fontId="14" fillId="16" borderId="94" xfId="27" applyFont="1" applyFill="1" applyBorder="1" applyAlignment="1">
      <alignment horizontal="center" vertical="center" wrapText="1"/>
    </xf>
    <xf numFmtId="0" fontId="14" fillId="16" borderId="101" xfId="27" applyFont="1" applyFill="1" applyBorder="1" applyAlignment="1">
      <alignment horizontal="center" vertical="center" wrapText="1"/>
    </xf>
    <xf numFmtId="0" fontId="14" fillId="16" borderId="102" xfId="27" applyFont="1" applyFill="1" applyBorder="1" applyAlignment="1">
      <alignment horizontal="center" vertical="center" wrapText="1"/>
    </xf>
    <xf numFmtId="0" fontId="11" fillId="14" borderId="103" xfId="27" applyFont="1" applyFill="1" applyBorder="1" applyAlignment="1">
      <alignment horizontal="center" vertical="center"/>
    </xf>
    <xf numFmtId="0" fontId="11" fillId="14" borderId="94" xfId="27" applyFont="1" applyFill="1" applyBorder="1" applyAlignment="1">
      <alignment horizontal="center" vertical="center"/>
    </xf>
    <xf numFmtId="0" fontId="11" fillId="47" borderId="103" xfId="27" applyFont="1" applyFill="1" applyBorder="1" applyAlignment="1">
      <alignment horizontal="center" vertical="center"/>
    </xf>
    <xf numFmtId="0" fontId="11" fillId="47" borderId="102" xfId="27" applyFont="1" applyFill="1" applyBorder="1" applyAlignment="1">
      <alignment horizontal="center" vertical="center"/>
    </xf>
    <xf numFmtId="0" fontId="11" fillId="46" borderId="114" xfId="27" applyFont="1" applyFill="1" applyBorder="1" applyAlignment="1">
      <alignment horizontal="center" vertical="center"/>
    </xf>
    <xf numFmtId="0" fontId="11" fillId="46" borderId="94" xfId="27" applyFont="1" applyFill="1" applyBorder="1" applyAlignment="1">
      <alignment horizontal="center" vertical="center"/>
    </xf>
    <xf numFmtId="0" fontId="11" fillId="46" borderId="102" xfId="27" applyFont="1" applyFill="1" applyBorder="1" applyAlignment="1">
      <alignment horizontal="center" vertical="center"/>
    </xf>
    <xf numFmtId="0" fontId="11" fillId="14" borderId="104" xfId="27" applyFont="1" applyFill="1" applyBorder="1" applyAlignment="1">
      <alignment horizontal="center" vertical="center"/>
    </xf>
    <xf numFmtId="0" fontId="11" fillId="14" borderId="119" xfId="27" applyFont="1" applyFill="1" applyBorder="1" applyAlignment="1">
      <alignment horizontal="center" vertical="center"/>
    </xf>
    <xf numFmtId="0" fontId="11" fillId="47" borderId="104" xfId="27" applyFont="1" applyFill="1" applyBorder="1" applyAlignment="1">
      <alignment horizontal="center" vertical="center"/>
    </xf>
    <xf numFmtId="0" fontId="11" fillId="47" borderId="119" xfId="27" applyFont="1" applyFill="1" applyBorder="1" applyAlignment="1">
      <alignment horizontal="center" vertical="center"/>
    </xf>
    <xf numFmtId="0" fontId="11" fillId="46" borderId="104" xfId="27" applyFont="1" applyFill="1" applyBorder="1" applyAlignment="1">
      <alignment horizontal="center" vertical="center"/>
    </xf>
    <xf numFmtId="0" fontId="11" fillId="46" borderId="119" xfId="27" applyFont="1" applyFill="1" applyBorder="1" applyAlignment="1">
      <alignment horizontal="center" vertical="center"/>
    </xf>
    <xf numFmtId="0" fontId="15" fillId="12" borderId="80" xfId="27" applyFill="1" applyBorder="1" applyAlignment="1" applyProtection="1">
      <alignment horizontal="left" vertical="center"/>
      <protection locked="0"/>
    </xf>
    <xf numFmtId="0" fontId="15" fillId="12" borderId="96" xfId="27" applyFill="1" applyBorder="1" applyAlignment="1" applyProtection="1">
      <alignment horizontal="left" vertical="center"/>
      <protection locked="0"/>
    </xf>
    <xf numFmtId="0" fontId="15" fillId="12" borderId="96" xfId="27" applyFill="1" applyBorder="1" applyProtection="1">
      <protection locked="0"/>
    </xf>
    <xf numFmtId="0" fontId="15" fillId="12" borderId="180" xfId="27" applyFill="1" applyBorder="1" applyProtection="1">
      <protection locked="0"/>
    </xf>
    <xf numFmtId="177" fontId="0" fillId="12" borderId="98" xfId="33" applyNumberFormat="1" applyFont="1" applyFill="1" applyBorder="1" applyAlignment="1" applyProtection="1">
      <alignment vertical="center"/>
      <protection locked="0"/>
    </xf>
    <xf numFmtId="177" fontId="0" fillId="12" borderId="96" xfId="33" applyNumberFormat="1" applyFont="1" applyFill="1" applyBorder="1" applyAlignment="1" applyProtection="1">
      <alignment vertical="center"/>
      <protection locked="0"/>
    </xf>
    <xf numFmtId="177" fontId="0" fillId="12" borderId="180" xfId="33" applyNumberFormat="1" applyFont="1" applyFill="1" applyBorder="1" applyAlignment="1" applyProtection="1">
      <alignment vertical="center"/>
      <protection locked="0"/>
    </xf>
    <xf numFmtId="176" fontId="15" fillId="29" borderId="105" xfId="27" applyNumberFormat="1" applyFill="1" applyBorder="1" applyAlignment="1">
      <alignment horizontal="right" vertical="center"/>
    </xf>
    <xf numFmtId="176" fontId="15" fillId="0" borderId="122" xfId="27" applyNumberFormat="1" applyBorder="1" applyAlignment="1">
      <alignment horizontal="right" vertical="center"/>
    </xf>
    <xf numFmtId="9" fontId="15" fillId="12" borderId="79" xfId="27" applyNumberFormat="1" applyFill="1" applyBorder="1" applyAlignment="1" applyProtection="1">
      <alignment horizontal="center" vertical="center"/>
      <protection locked="0"/>
    </xf>
    <xf numFmtId="176" fontId="15" fillId="0" borderId="108" xfId="27" applyNumberFormat="1" applyBorder="1" applyAlignment="1">
      <alignment horizontal="right" vertical="center"/>
    </xf>
    <xf numFmtId="176" fontId="15" fillId="0" borderId="97" xfId="27" applyNumberFormat="1" applyBorder="1" applyAlignment="1">
      <alignment horizontal="right" vertical="center"/>
    </xf>
    <xf numFmtId="9" fontId="0" fillId="12" borderId="80" xfId="30" applyFont="1" applyFill="1" applyBorder="1" applyAlignment="1" applyProtection="1">
      <alignment horizontal="center" vertical="center"/>
      <protection locked="0"/>
    </xf>
    <xf numFmtId="176" fontId="15" fillId="0" borderId="180" xfId="27" applyNumberFormat="1" applyBorder="1" applyAlignment="1">
      <alignment horizontal="right" vertical="center"/>
    </xf>
    <xf numFmtId="9" fontId="15" fillId="26" borderId="122" xfId="27" applyNumberFormat="1" applyFill="1" applyBorder="1" applyAlignment="1">
      <alignment horizontal="center" vertical="center"/>
    </xf>
    <xf numFmtId="0" fontId="14" fillId="21" borderId="98" xfId="27" applyFont="1" applyFill="1" applyBorder="1" applyAlignment="1">
      <alignment horizontal="center" vertical="center"/>
    </xf>
    <xf numFmtId="0" fontId="12" fillId="23" borderId="98" xfId="27" applyFont="1" applyFill="1" applyBorder="1" applyAlignment="1">
      <alignment horizontal="left" vertical="center"/>
    </xf>
    <xf numFmtId="167" fontId="12" fillId="23" borderId="98" xfId="33" applyNumberFormat="1" applyFont="1" applyFill="1" applyBorder="1" applyAlignment="1" applyProtection="1">
      <alignment horizontal="center" vertical="center"/>
    </xf>
    <xf numFmtId="9" fontId="32" fillId="0" borderId="81" xfId="30" applyFont="1" applyFill="1" applyBorder="1" applyAlignment="1" applyProtection="1">
      <alignment horizontal="center" vertical="center"/>
    </xf>
    <xf numFmtId="176" fontId="15" fillId="27" borderId="82" xfId="27" applyNumberFormat="1" applyFill="1" applyBorder="1" applyAlignment="1">
      <alignment horizontal="right" vertical="center"/>
    </xf>
    <xf numFmtId="176" fontId="15" fillId="27" borderId="118" xfId="27" applyNumberFormat="1" applyFill="1" applyBorder="1" applyAlignment="1">
      <alignment horizontal="right" vertical="center"/>
    </xf>
    <xf numFmtId="9" fontId="32" fillId="0" borderId="209" xfId="30" applyFont="1" applyFill="1" applyBorder="1" applyAlignment="1" applyProtection="1">
      <alignment horizontal="center" vertical="center"/>
    </xf>
    <xf numFmtId="9" fontId="15" fillId="43" borderId="49" xfId="27" applyNumberFormat="1" applyFill="1" applyBorder="1" applyAlignment="1">
      <alignment horizontal="center" vertical="center"/>
    </xf>
    <xf numFmtId="176" fontId="15" fillId="26" borderId="50" xfId="27" applyNumberFormat="1" applyFill="1" applyBorder="1" applyAlignment="1">
      <alignment horizontal="right" vertical="center"/>
    </xf>
    <xf numFmtId="9" fontId="15" fillId="43" borderId="50" xfId="27" applyNumberFormat="1" applyFill="1" applyBorder="1" applyAlignment="1">
      <alignment horizontal="center" vertical="center"/>
    </xf>
    <xf numFmtId="9" fontId="0" fillId="43" borderId="50" xfId="30" applyFont="1" applyFill="1" applyBorder="1" applyAlignment="1" applyProtection="1">
      <alignment horizontal="center" vertical="center"/>
    </xf>
    <xf numFmtId="176" fontId="15" fillId="26" borderId="51" xfId="27" applyNumberFormat="1" applyFill="1" applyBorder="1" applyAlignment="1">
      <alignment horizontal="right" vertical="center"/>
    </xf>
    <xf numFmtId="0" fontId="15" fillId="12" borderId="115" xfId="27" applyFill="1" applyBorder="1" applyAlignment="1" applyProtection="1">
      <alignment horizontal="left" vertical="center"/>
      <protection locked="0"/>
    </xf>
    <xf numFmtId="0" fontId="15" fillId="12" borderId="98" xfId="27" applyFill="1" applyBorder="1" applyAlignment="1" applyProtection="1">
      <alignment horizontal="left" vertical="center"/>
      <protection locked="0"/>
    </xf>
    <xf numFmtId="0" fontId="15" fillId="12" borderId="98" xfId="27" applyFill="1" applyBorder="1" applyProtection="1">
      <protection locked="0"/>
    </xf>
    <xf numFmtId="0" fontId="15" fillId="12" borderId="108" xfId="27" applyFill="1" applyBorder="1" applyProtection="1">
      <protection locked="0"/>
    </xf>
    <xf numFmtId="177" fontId="0" fillId="12" borderId="98" xfId="33" applyNumberFormat="1" applyFont="1" applyFill="1" applyBorder="1" applyAlignment="1">
      <alignment vertical="center"/>
    </xf>
    <xf numFmtId="177" fontId="0" fillId="12" borderId="108" xfId="33" applyNumberFormat="1" applyFont="1" applyFill="1" applyBorder="1" applyAlignment="1">
      <alignment vertical="center"/>
    </xf>
    <xf numFmtId="176" fontId="15" fillId="29" borderId="211" xfId="27" applyNumberFormat="1" applyFill="1" applyBorder="1" applyAlignment="1">
      <alignment horizontal="right" vertical="center"/>
    </xf>
    <xf numFmtId="176" fontId="15" fillId="0" borderId="123" xfId="27" applyNumberFormat="1" applyBorder="1" applyAlignment="1">
      <alignment horizontal="right" vertical="center"/>
    </xf>
    <xf numFmtId="9" fontId="15" fillId="12" borderId="99" xfId="27" applyNumberFormat="1" applyFill="1" applyBorder="1" applyAlignment="1" applyProtection="1">
      <alignment horizontal="center" vertical="center"/>
      <protection locked="0"/>
    </xf>
    <xf numFmtId="176" fontId="15" fillId="0" borderId="100" xfId="27" applyNumberFormat="1" applyBorder="1" applyAlignment="1">
      <alignment horizontal="right" vertical="center"/>
    </xf>
    <xf numFmtId="9" fontId="0" fillId="12" borderId="115" xfId="30" applyFont="1" applyFill="1" applyBorder="1" applyAlignment="1" applyProtection="1">
      <alignment horizontal="center" vertical="center"/>
      <protection locked="0"/>
    </xf>
    <xf numFmtId="9" fontId="15" fillId="26" borderId="123" xfId="27" applyNumberFormat="1" applyFill="1" applyBorder="1" applyAlignment="1">
      <alignment horizontal="center" vertical="center"/>
    </xf>
    <xf numFmtId="0" fontId="14" fillId="20" borderId="98" xfId="27" applyFont="1" applyFill="1" applyBorder="1" applyAlignment="1">
      <alignment horizontal="center" vertical="center" wrapText="1"/>
    </xf>
    <xf numFmtId="0" fontId="12" fillId="20" borderId="98" xfId="27" applyFont="1" applyFill="1" applyBorder="1" applyAlignment="1">
      <alignment horizontal="left" vertical="center"/>
    </xf>
    <xf numFmtId="167" fontId="12" fillId="20" borderId="98" xfId="33" applyNumberFormat="1" applyFont="1" applyFill="1" applyBorder="1" applyAlignment="1" applyProtection="1">
      <alignment horizontal="center" vertical="center"/>
    </xf>
    <xf numFmtId="177" fontId="0" fillId="12" borderId="108" xfId="33" applyNumberFormat="1" applyFont="1" applyFill="1" applyBorder="1" applyAlignment="1" applyProtection="1">
      <alignment vertical="center"/>
      <protection locked="0"/>
    </xf>
    <xf numFmtId="1" fontId="15" fillId="0" borderId="98" xfId="27" applyNumberFormat="1" applyBorder="1" applyAlignment="1">
      <alignment horizontal="center" vertical="center" wrapText="1"/>
    </xf>
    <xf numFmtId="174" fontId="20" fillId="0" borderId="98" xfId="27" applyNumberFormat="1" applyFont="1" applyBorder="1" applyAlignment="1">
      <alignment horizontal="left"/>
    </xf>
    <xf numFmtId="167" fontId="0" fillId="12" borderId="98" xfId="33" applyNumberFormat="1" applyFont="1" applyFill="1" applyBorder="1" applyAlignment="1" applyProtection="1">
      <alignment vertical="center"/>
      <protection locked="0"/>
    </xf>
    <xf numFmtId="0" fontId="15" fillId="11" borderId="168" xfId="27" applyFill="1" applyBorder="1"/>
    <xf numFmtId="0" fontId="15" fillId="11" borderId="117" xfId="27" applyFill="1" applyBorder="1"/>
    <xf numFmtId="0" fontId="15" fillId="11" borderId="72" xfId="27" applyFill="1" applyBorder="1"/>
    <xf numFmtId="177" fontId="0" fillId="12" borderId="206" xfId="33" applyNumberFormat="1" applyFont="1" applyFill="1" applyBorder="1" applyAlignment="1" applyProtection="1">
      <alignment vertical="center"/>
      <protection locked="0"/>
    </xf>
    <xf numFmtId="177" fontId="0" fillId="12" borderId="212" xfId="33" applyNumberFormat="1" applyFont="1" applyFill="1" applyBorder="1" applyAlignment="1" applyProtection="1">
      <alignment vertical="center"/>
      <protection locked="0"/>
    </xf>
    <xf numFmtId="167" fontId="15" fillId="12" borderId="98" xfId="34" applyNumberFormat="1" applyFill="1" applyBorder="1" applyAlignment="1" applyProtection="1">
      <alignment vertical="center"/>
      <protection locked="0"/>
    </xf>
    <xf numFmtId="0" fontId="15" fillId="12" borderId="114" xfId="27" applyFill="1" applyBorder="1" applyAlignment="1" applyProtection="1">
      <alignment horizontal="left" vertical="center"/>
      <protection locked="0"/>
    </xf>
    <xf numFmtId="0" fontId="15" fillId="12" borderId="101" xfId="27" applyFill="1" applyBorder="1" applyAlignment="1" applyProtection="1">
      <alignment horizontal="left" vertical="center"/>
      <protection locked="0"/>
    </xf>
    <xf numFmtId="0" fontId="15" fillId="12" borderId="101" xfId="27" applyFill="1" applyBorder="1" applyProtection="1">
      <protection locked="0"/>
    </xf>
    <xf numFmtId="0" fontId="15" fillId="12" borderId="94" xfId="27" applyFill="1" applyBorder="1" applyProtection="1">
      <protection locked="0"/>
    </xf>
    <xf numFmtId="177" fontId="0" fillId="12" borderId="101" xfId="33" applyNumberFormat="1" applyFont="1" applyFill="1" applyBorder="1" applyAlignment="1" applyProtection="1">
      <alignment vertical="center"/>
      <protection locked="0"/>
    </xf>
    <xf numFmtId="177" fontId="0" fillId="12" borderId="94" xfId="33" applyNumberFormat="1" applyFont="1" applyFill="1" applyBorder="1" applyAlignment="1" applyProtection="1">
      <alignment vertical="center"/>
      <protection locked="0"/>
    </xf>
    <xf numFmtId="176" fontId="15" fillId="29" borderId="106" xfId="27" applyNumberFormat="1" applyFill="1" applyBorder="1" applyAlignment="1">
      <alignment horizontal="right" vertical="center"/>
    </xf>
    <xf numFmtId="176" fontId="15" fillId="0" borderId="124" xfId="27" applyNumberFormat="1" applyBorder="1" applyAlignment="1">
      <alignment horizontal="right" vertical="center"/>
    </xf>
    <xf numFmtId="9" fontId="15" fillId="12" borderId="103" xfId="27" applyNumberFormat="1" applyFill="1" applyBorder="1" applyAlignment="1" applyProtection="1">
      <alignment horizontal="center" vertical="center"/>
      <protection locked="0"/>
    </xf>
    <xf numFmtId="176" fontId="15" fillId="0" borderId="94" xfId="27" applyNumberFormat="1" applyBorder="1" applyAlignment="1">
      <alignment horizontal="right" vertical="center"/>
    </xf>
    <xf numFmtId="176" fontId="15" fillId="0" borderId="102" xfId="27" applyNumberFormat="1" applyBorder="1" applyAlignment="1">
      <alignment horizontal="right" vertical="center"/>
    </xf>
    <xf numFmtId="9" fontId="0" fillId="12" borderId="114" xfId="30" applyFont="1" applyFill="1" applyBorder="1" applyAlignment="1" applyProtection="1">
      <alignment horizontal="center" vertical="center"/>
      <protection locked="0"/>
    </xf>
    <xf numFmtId="9" fontId="15" fillId="26" borderId="124" xfId="27" applyNumberFormat="1" applyFill="1" applyBorder="1" applyAlignment="1">
      <alignment horizontal="center" vertical="center"/>
    </xf>
    <xf numFmtId="176" fontId="15" fillId="29" borderId="122" xfId="27" applyNumberFormat="1" applyFill="1" applyBorder="1" applyAlignment="1">
      <alignment horizontal="right" vertical="center"/>
    </xf>
    <xf numFmtId="176" fontId="15" fillId="0" borderId="213" xfId="27" applyNumberFormat="1" applyBorder="1" applyAlignment="1">
      <alignment horizontal="right" vertical="center"/>
    </xf>
    <xf numFmtId="176" fontId="15" fillId="29" borderId="123" xfId="27" applyNumberFormat="1" applyFill="1" applyBorder="1" applyAlignment="1">
      <alignment horizontal="right" vertical="center"/>
    </xf>
    <xf numFmtId="176" fontId="15" fillId="29" borderId="124" xfId="27" applyNumberFormat="1" applyFill="1" applyBorder="1" applyAlignment="1">
      <alignment horizontal="right" vertical="center"/>
    </xf>
    <xf numFmtId="0" fontId="15" fillId="12" borderId="208" xfId="27" applyFill="1" applyBorder="1" applyAlignment="1" applyProtection="1">
      <alignment horizontal="left" vertical="center"/>
      <protection locked="0"/>
    </xf>
    <xf numFmtId="0" fontId="15" fillId="12" borderId="177" xfId="27" applyFill="1" applyBorder="1" applyAlignment="1" applyProtection="1">
      <alignment horizontal="left" vertical="center"/>
      <protection locked="0"/>
    </xf>
    <xf numFmtId="0" fontId="15" fillId="12" borderId="177" xfId="27" applyFill="1" applyBorder="1" applyProtection="1">
      <protection locked="0"/>
    </xf>
    <xf numFmtId="0" fontId="15" fillId="12" borderId="178" xfId="27" applyFill="1" applyBorder="1" applyProtection="1">
      <protection locked="0"/>
    </xf>
    <xf numFmtId="176" fontId="15" fillId="29" borderId="112" xfId="27" applyNumberFormat="1" applyFill="1" applyBorder="1" applyAlignment="1">
      <alignment horizontal="right" vertical="center"/>
    </xf>
    <xf numFmtId="176" fontId="15" fillId="0" borderId="112" xfId="27" applyNumberFormat="1" applyBorder="1" applyAlignment="1">
      <alignment horizontal="right" vertical="center"/>
    </xf>
    <xf numFmtId="0" fontId="15" fillId="12" borderId="31" xfId="27" applyFill="1" applyBorder="1" applyAlignment="1" applyProtection="1">
      <alignment horizontal="left" vertical="center"/>
      <protection locked="0"/>
    </xf>
    <xf numFmtId="0" fontId="15" fillId="12" borderId="165" xfId="27" applyFill="1" applyBorder="1" applyAlignment="1" applyProtection="1">
      <alignment horizontal="left" vertical="center"/>
      <protection locked="0"/>
    </xf>
    <xf numFmtId="0" fontId="15" fillId="12" borderId="165" xfId="27" applyFill="1" applyBorder="1" applyProtection="1">
      <protection locked="0"/>
    </xf>
    <xf numFmtId="0" fontId="15" fillId="12" borderId="47" xfId="27" applyFill="1" applyBorder="1" applyProtection="1">
      <protection locked="0"/>
    </xf>
    <xf numFmtId="176" fontId="15" fillId="29" borderId="109" xfId="27" applyNumberFormat="1" applyFill="1" applyBorder="1" applyAlignment="1">
      <alignment horizontal="right" vertical="center"/>
    </xf>
    <xf numFmtId="176" fontId="15" fillId="0" borderId="109" xfId="27" applyNumberFormat="1" applyBorder="1" applyAlignment="1">
      <alignment horizontal="right" vertical="center"/>
    </xf>
    <xf numFmtId="167" fontId="15" fillId="12" borderId="98" xfId="35" applyNumberFormat="1" applyFill="1" applyBorder="1" applyAlignment="1" applyProtection="1">
      <alignment vertical="center"/>
      <protection locked="0"/>
    </xf>
    <xf numFmtId="176" fontId="25" fillId="26" borderId="46" xfId="27" applyNumberFormat="1" applyFont="1" applyFill="1" applyBorder="1" applyAlignment="1">
      <alignment horizontal="right" vertical="center"/>
    </xf>
    <xf numFmtId="9" fontId="16" fillId="19" borderId="49" xfId="30" applyFont="1" applyFill="1" applyBorder="1" applyAlignment="1" applyProtection="1">
      <alignment horizontal="center" vertical="center"/>
    </xf>
    <xf numFmtId="176" fontId="25" fillId="26" borderId="51" xfId="27" applyNumberFormat="1" applyFont="1" applyFill="1" applyBorder="1" applyAlignment="1">
      <alignment horizontal="right" vertical="center"/>
    </xf>
    <xf numFmtId="9" fontId="16" fillId="19" borderId="6" xfId="30" applyFont="1" applyFill="1" applyBorder="1" applyAlignment="1" applyProtection="1">
      <alignment horizontal="center" vertical="center"/>
    </xf>
    <xf numFmtId="0" fontId="15" fillId="12" borderId="15" xfId="27" applyFill="1" applyBorder="1" applyAlignment="1" applyProtection="1">
      <alignment horizontal="left" vertical="center"/>
      <protection locked="0"/>
    </xf>
    <xf numFmtId="0" fontId="15" fillId="12" borderId="206" xfId="27" applyFill="1" applyBorder="1" applyAlignment="1" applyProtection="1">
      <alignment horizontal="left" vertical="center"/>
      <protection locked="0"/>
    </xf>
    <xf numFmtId="0" fontId="15" fillId="12" borderId="206" xfId="27" applyFill="1" applyBorder="1" applyProtection="1">
      <protection locked="0"/>
    </xf>
    <xf numFmtId="0" fontId="15" fillId="12" borderId="212" xfId="27" applyFill="1" applyBorder="1" applyProtection="1">
      <protection locked="0"/>
    </xf>
    <xf numFmtId="0" fontId="15" fillId="11" borderId="0" xfId="27" applyFill="1" applyAlignment="1">
      <alignment horizontal="center" vertical="center"/>
    </xf>
    <xf numFmtId="167" fontId="15" fillId="12" borderId="98" xfId="36" applyNumberFormat="1" applyFill="1" applyBorder="1" applyAlignment="1" applyProtection="1">
      <alignment vertical="center"/>
      <protection locked="0"/>
    </xf>
    <xf numFmtId="176" fontId="15" fillId="11" borderId="0" xfId="27" applyNumberFormat="1" applyFill="1"/>
    <xf numFmtId="176" fontId="25" fillId="26" borderId="77" xfId="27" applyNumberFormat="1" applyFont="1" applyFill="1" applyBorder="1" applyAlignment="1">
      <alignment horizontal="right" vertical="center"/>
    </xf>
    <xf numFmtId="0" fontId="14" fillId="31" borderId="98" xfId="27" applyFont="1" applyFill="1" applyBorder="1" applyAlignment="1">
      <alignment horizontal="center" vertical="center" wrapText="1"/>
    </xf>
    <xf numFmtId="0" fontId="14" fillId="32" borderId="98" xfId="27" applyFont="1" applyFill="1" applyBorder="1" applyAlignment="1">
      <alignment horizontal="left" vertical="center"/>
    </xf>
    <xf numFmtId="167" fontId="14" fillId="31" borderId="98" xfId="27" applyNumberFormat="1" applyFont="1" applyFill="1" applyBorder="1" applyAlignment="1">
      <alignment horizontal="center" vertical="center" wrapText="1"/>
    </xf>
    <xf numFmtId="181" fontId="15" fillId="11" borderId="0" xfId="27" applyNumberFormat="1" applyFill="1"/>
    <xf numFmtId="180" fontId="1" fillId="0" borderId="0" xfId="33" applyNumberFormat="1" applyProtection="1"/>
    <xf numFmtId="180" fontId="15" fillId="11" borderId="0" xfId="27" applyNumberFormat="1" applyFill="1"/>
    <xf numFmtId="0" fontId="23" fillId="0" borderId="0" xfId="20"/>
    <xf numFmtId="0" fontId="0" fillId="0" borderId="0" xfId="0"/>
    <xf numFmtId="0" fontId="23" fillId="0" borderId="0" xfId="20" applyBorder="1" applyAlignment="1" applyProtection="1">
      <alignment horizontal="left" vertical="center"/>
    </xf>
    <xf numFmtId="0" fontId="23" fillId="0" borderId="0" xfId="20" applyBorder="1" applyAlignment="1" applyProtection="1">
      <alignment horizontal="left" vertical="center" wrapText="1"/>
    </xf>
    <xf numFmtId="0" fontId="23" fillId="0" borderId="0" xfId="20" applyBorder="1" applyAlignment="1" applyProtection="1">
      <alignment horizontal="left" vertical="center" indent="2"/>
    </xf>
    <xf numFmtId="0" fontId="23" fillId="0" borderId="0" xfId="20" applyAlignment="1" applyProtection="1">
      <alignment horizontal="center"/>
    </xf>
    <xf numFmtId="0" fontId="0" fillId="0" borderId="147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67" fontId="24" fillId="32" borderId="138" xfId="0" applyNumberFormat="1" applyFont="1" applyFill="1" applyBorder="1" applyAlignment="1">
      <alignment horizontal="center" vertical="center"/>
    </xf>
    <xf numFmtId="0" fontId="25" fillId="0" borderId="150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167" fontId="24" fillId="32" borderId="83" xfId="0" applyNumberFormat="1" applyFont="1" applyFill="1" applyBorder="1" applyAlignment="1">
      <alignment horizontal="right" vertical="center"/>
    </xf>
    <xf numFmtId="167" fontId="24" fillId="32" borderId="138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25" fillId="12" borderId="3" xfId="0" applyFont="1" applyFill="1" applyBorder="1" applyAlignment="1" applyProtection="1">
      <alignment horizontal="center" vertical="center"/>
      <protection locked="0"/>
    </xf>
    <xf numFmtId="0" fontId="25" fillId="12" borderId="41" xfId="0" applyFont="1" applyFill="1" applyBorder="1" applyAlignment="1" applyProtection="1">
      <alignment horizontal="center" vertical="center"/>
      <protection locked="0"/>
    </xf>
    <xf numFmtId="0" fontId="25" fillId="12" borderId="4" xfId="0" applyFont="1" applyFill="1" applyBorder="1" applyAlignment="1" applyProtection="1">
      <alignment horizontal="center" vertical="center"/>
      <protection locked="0"/>
    </xf>
    <xf numFmtId="167" fontId="14" fillId="15" borderId="151" xfId="0" applyNumberFormat="1" applyFont="1" applyFill="1" applyBorder="1" applyAlignment="1">
      <alignment horizontal="center" vertical="center"/>
    </xf>
    <xf numFmtId="167" fontId="14" fillId="15" borderId="137" xfId="0" applyNumberFormat="1" applyFont="1" applyFill="1" applyBorder="1" applyAlignment="1">
      <alignment horizontal="center" vertical="center"/>
    </xf>
    <xf numFmtId="167" fontId="25" fillId="39" borderId="84" xfId="0" applyNumberFormat="1" applyFont="1" applyFill="1" applyBorder="1" applyAlignment="1">
      <alignment horizontal="center" vertical="center" wrapText="1"/>
    </xf>
    <xf numFmtId="167" fontId="25" fillId="39" borderId="86" xfId="0" applyNumberFormat="1" applyFont="1" applyFill="1" applyBorder="1" applyAlignment="1">
      <alignment horizontal="center" vertical="center" wrapText="1"/>
    </xf>
    <xf numFmtId="167" fontId="25" fillId="39" borderId="89" xfId="0" applyNumberFormat="1" applyFont="1" applyFill="1" applyBorder="1" applyAlignment="1">
      <alignment horizontal="center" vertical="center" wrapText="1"/>
    </xf>
    <xf numFmtId="167" fontId="26" fillId="34" borderId="84" xfId="0" applyNumberFormat="1" applyFont="1" applyFill="1" applyBorder="1" applyAlignment="1">
      <alignment horizontal="center" vertical="center" wrapText="1"/>
    </xf>
    <xf numFmtId="167" fontId="26" fillId="34" borderId="86" xfId="0" applyNumberFormat="1" applyFont="1" applyFill="1" applyBorder="1" applyAlignment="1">
      <alignment horizontal="center" vertical="center" wrapText="1"/>
    </xf>
    <xf numFmtId="167" fontId="26" fillId="34" borderId="8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14" fillId="15" borderId="148" xfId="0" applyFont="1" applyFill="1" applyBorder="1" applyAlignment="1">
      <alignment horizontal="center" vertical="center" wrapText="1"/>
    </xf>
    <xf numFmtId="0" fontId="14" fillId="15" borderId="149" xfId="0" applyFont="1" applyFill="1" applyBorder="1" applyAlignment="1">
      <alignment horizontal="center" vertical="center" wrapText="1"/>
    </xf>
    <xf numFmtId="0" fontId="14" fillId="15" borderId="145" xfId="0" applyFont="1" applyFill="1" applyBorder="1" applyAlignment="1">
      <alignment horizontal="center" vertical="center" wrapText="1"/>
    </xf>
    <xf numFmtId="0" fontId="14" fillId="15" borderId="146" xfId="0" applyFont="1" applyFill="1" applyBorder="1" applyAlignment="1">
      <alignment horizontal="center" vertical="center" wrapText="1"/>
    </xf>
    <xf numFmtId="167" fontId="0" fillId="9" borderId="122" xfId="13" applyNumberFormat="1" applyFont="1" applyFill="1" applyBorder="1" applyAlignment="1">
      <alignment horizontal="right" vertical="center"/>
    </xf>
    <xf numFmtId="167" fontId="0" fillId="9" borderId="123" xfId="13" applyNumberFormat="1" applyFont="1" applyFill="1" applyBorder="1" applyAlignment="1">
      <alignment horizontal="right" vertical="center"/>
    </xf>
    <xf numFmtId="167" fontId="29" fillId="44" borderId="153" xfId="0" applyNumberFormat="1" applyFont="1" applyFill="1" applyBorder="1" applyAlignment="1">
      <alignment horizontal="center" vertical="center" wrapText="1"/>
    </xf>
    <xf numFmtId="167" fontId="29" fillId="44" borderId="73" xfId="0" applyNumberFormat="1" applyFont="1" applyFill="1" applyBorder="1" applyAlignment="1">
      <alignment horizontal="center" vertical="center" wrapText="1"/>
    </xf>
    <xf numFmtId="167" fontId="19" fillId="34" borderId="75" xfId="0" applyNumberFormat="1" applyFont="1" applyFill="1" applyBorder="1" applyAlignment="1">
      <alignment horizontal="center" vertical="center" wrapText="1"/>
    </xf>
    <xf numFmtId="167" fontId="19" fillId="34" borderId="74" xfId="0" applyNumberFormat="1" applyFont="1" applyFill="1" applyBorder="1" applyAlignment="1">
      <alignment horizontal="center" vertical="center" wrapText="1"/>
    </xf>
    <xf numFmtId="167" fontId="19" fillId="34" borderId="23" xfId="0" applyNumberFormat="1" applyFont="1" applyFill="1" applyBorder="1" applyAlignment="1">
      <alignment horizontal="center" vertical="center" wrapText="1"/>
    </xf>
    <xf numFmtId="167" fontId="19" fillId="34" borderId="69" xfId="0" applyNumberFormat="1" applyFont="1" applyFill="1" applyBorder="1" applyAlignment="1">
      <alignment horizontal="center" vertical="center" wrapText="1"/>
    </xf>
    <xf numFmtId="167" fontId="19" fillId="34" borderId="112" xfId="0" applyNumberFormat="1" applyFont="1" applyFill="1" applyBorder="1" applyAlignment="1">
      <alignment horizontal="center" vertical="center" wrapText="1"/>
    </xf>
    <xf numFmtId="167" fontId="19" fillId="34" borderId="107" xfId="0" applyNumberFormat="1" applyFont="1" applyFill="1" applyBorder="1" applyAlignment="1">
      <alignment horizontal="center" vertical="center" wrapText="1"/>
    </xf>
    <xf numFmtId="0" fontId="24" fillId="0" borderId="105" xfId="0" applyFont="1" applyBorder="1" applyAlignment="1">
      <alignment horizontal="center" vertical="center" wrapText="1"/>
    </xf>
    <xf numFmtId="0" fontId="24" fillId="0" borderId="168" xfId="0" applyFont="1" applyBorder="1" applyAlignment="1">
      <alignment horizontal="center" vertical="center" wrapText="1"/>
    </xf>
    <xf numFmtId="0" fontId="25" fillId="13" borderId="120" xfId="0" applyFont="1" applyFill="1" applyBorder="1" applyAlignment="1" applyProtection="1">
      <alignment horizontal="center" vertical="center"/>
      <protection locked="0"/>
    </xf>
    <xf numFmtId="0" fontId="25" fillId="13" borderId="121" xfId="0" applyFont="1" applyFill="1" applyBorder="1" applyAlignment="1" applyProtection="1">
      <alignment horizontal="center" vertical="center"/>
      <protection locked="0"/>
    </xf>
    <xf numFmtId="167" fontId="26" fillId="34" borderId="38" xfId="0" applyNumberFormat="1" applyFont="1" applyFill="1" applyBorder="1" applyAlignment="1">
      <alignment horizontal="center" vertical="center" wrapText="1"/>
    </xf>
    <xf numFmtId="167" fontId="26" fillId="34" borderId="39" xfId="0" applyNumberFormat="1" applyFont="1" applyFill="1" applyBorder="1" applyAlignment="1">
      <alignment horizontal="center" vertical="center" wrapText="1"/>
    </xf>
    <xf numFmtId="167" fontId="26" fillId="34" borderId="40" xfId="0" applyNumberFormat="1" applyFont="1" applyFill="1" applyBorder="1" applyAlignment="1">
      <alignment horizontal="center" vertical="center" wrapText="1"/>
    </xf>
    <xf numFmtId="0" fontId="25" fillId="16" borderId="33" xfId="0" applyFont="1" applyFill="1" applyBorder="1" applyAlignment="1">
      <alignment horizontal="center" vertical="center" wrapText="1"/>
    </xf>
    <xf numFmtId="0" fontId="25" fillId="16" borderId="43" xfId="0" applyFont="1" applyFill="1" applyBorder="1" applyAlignment="1">
      <alignment horizontal="center" vertical="center" wrapText="1"/>
    </xf>
    <xf numFmtId="167" fontId="26" fillId="34" borderId="21" xfId="0" applyNumberFormat="1" applyFont="1" applyFill="1" applyBorder="1" applyAlignment="1">
      <alignment horizontal="center" vertical="center" wrapText="1"/>
    </xf>
    <xf numFmtId="167" fontId="26" fillId="34" borderId="22" xfId="0" applyNumberFormat="1" applyFont="1" applyFill="1" applyBorder="1" applyAlignment="1">
      <alignment horizontal="center" vertical="center" wrapText="1"/>
    </xf>
    <xf numFmtId="167" fontId="26" fillId="34" borderId="61" xfId="0" applyNumberFormat="1" applyFont="1" applyFill="1" applyBorder="1" applyAlignment="1">
      <alignment horizontal="center" vertical="center" wrapText="1"/>
    </xf>
    <xf numFmtId="0" fontId="27" fillId="11" borderId="0" xfId="0" applyFont="1" applyFill="1" applyAlignment="1">
      <alignment horizontal="left" vertical="center" indent="2"/>
    </xf>
    <xf numFmtId="0" fontId="25" fillId="15" borderId="25" xfId="0" applyFont="1" applyFill="1" applyBorder="1" applyAlignment="1">
      <alignment horizontal="center" vertical="center" wrapText="1"/>
    </xf>
    <xf numFmtId="0" fontId="25" fillId="15" borderId="42" xfId="0" applyFont="1" applyFill="1" applyBorder="1" applyAlignment="1">
      <alignment horizontal="center" vertical="center" wrapText="1"/>
    </xf>
    <xf numFmtId="0" fontId="25" fillId="16" borderId="125" xfId="0" applyFont="1" applyFill="1" applyBorder="1" applyAlignment="1">
      <alignment horizontal="center" vertical="center" wrapText="1"/>
    </xf>
    <xf numFmtId="0" fontId="25" fillId="16" borderId="126" xfId="0" applyFont="1" applyFill="1" applyBorder="1" applyAlignment="1">
      <alignment horizontal="center" vertical="center" wrapText="1"/>
    </xf>
    <xf numFmtId="0" fontId="25" fillId="15" borderId="122" xfId="0" applyFont="1" applyFill="1" applyBorder="1" applyAlignment="1">
      <alignment horizontal="center" vertical="center" wrapText="1"/>
    </xf>
    <xf numFmtId="0" fontId="25" fillId="15" borderId="109" xfId="0" applyFont="1" applyFill="1" applyBorder="1" applyAlignment="1">
      <alignment horizontal="center" vertical="center" wrapText="1"/>
    </xf>
    <xf numFmtId="167" fontId="26" fillId="34" borderId="55" xfId="0" applyNumberFormat="1" applyFont="1" applyFill="1" applyBorder="1" applyAlignment="1">
      <alignment horizontal="center" vertical="center" wrapText="1"/>
    </xf>
    <xf numFmtId="167" fontId="26" fillId="34" borderId="56" xfId="0" applyNumberFormat="1" applyFont="1" applyFill="1" applyBorder="1" applyAlignment="1">
      <alignment horizontal="center" vertical="center" wrapText="1"/>
    </xf>
    <xf numFmtId="167" fontId="26" fillId="34" borderId="57" xfId="0" applyNumberFormat="1" applyFont="1" applyFill="1" applyBorder="1" applyAlignment="1">
      <alignment horizontal="center" vertical="center" wrapText="1"/>
    </xf>
    <xf numFmtId="167" fontId="14" fillId="15" borderId="62" xfId="0" applyNumberFormat="1" applyFont="1" applyFill="1" applyBorder="1" applyAlignment="1">
      <alignment horizontal="center" vertical="center" wrapText="1"/>
    </xf>
    <xf numFmtId="167" fontId="14" fillId="15" borderId="63" xfId="0" applyNumberFormat="1" applyFont="1" applyFill="1" applyBorder="1" applyAlignment="1">
      <alignment horizontal="center" vertical="center" wrapText="1"/>
    </xf>
    <xf numFmtId="167" fontId="14" fillId="15" borderId="64" xfId="0" applyNumberFormat="1" applyFont="1" applyFill="1" applyBorder="1" applyAlignment="1">
      <alignment horizontal="center" vertical="center" wrapText="1"/>
    </xf>
    <xf numFmtId="0" fontId="24" fillId="45" borderId="79" xfId="0" applyFont="1" applyFill="1" applyBorder="1" applyAlignment="1">
      <alignment horizontal="center" vertical="center" wrapText="1"/>
    </xf>
    <xf numFmtId="0" fontId="24" fillId="45" borderId="8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173" fontId="26" fillId="30" borderId="16" xfId="12" applyNumberFormat="1" applyFont="1" applyFill="1" applyBorder="1" applyAlignment="1">
      <alignment horizontal="right" vertical="center" wrapText="1"/>
    </xf>
    <xf numFmtId="173" fontId="26" fillId="30" borderId="24" xfId="12" applyNumberFormat="1" applyFont="1" applyFill="1" applyBorder="1" applyAlignment="1">
      <alignment horizontal="right" vertical="center" wrapText="1"/>
    </xf>
    <xf numFmtId="0" fontId="25" fillId="0" borderId="20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37" xfId="0" applyFont="1" applyBorder="1" applyAlignment="1">
      <alignment horizontal="center" vertical="top" wrapText="1"/>
    </xf>
    <xf numFmtId="0" fontId="25" fillId="12" borderId="29" xfId="0" applyFont="1" applyFill="1" applyBorder="1" applyAlignment="1" applyProtection="1">
      <alignment horizontal="center" vertical="center"/>
      <protection locked="0"/>
    </xf>
    <xf numFmtId="0" fontId="25" fillId="12" borderId="18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7" borderId="98" xfId="0" applyFont="1" applyFill="1" applyBorder="1" applyAlignment="1">
      <alignment horizontal="center" vertical="center"/>
    </xf>
    <xf numFmtId="0" fontId="12" fillId="16" borderId="98" xfId="0" applyFont="1" applyFill="1" applyBorder="1" applyAlignment="1">
      <alignment horizontal="center" vertical="center" wrapText="1"/>
    </xf>
    <xf numFmtId="165" fontId="14" fillId="18" borderId="128" xfId="13" applyFont="1" applyFill="1" applyBorder="1" applyAlignment="1">
      <alignment horizontal="center" vertical="center" wrapText="1"/>
    </xf>
    <xf numFmtId="165" fontId="14" fillId="18" borderId="74" xfId="13" applyFont="1" applyFill="1" applyBorder="1" applyAlignment="1">
      <alignment horizontal="center" vertical="center" wrapText="1"/>
    </xf>
    <xf numFmtId="0" fontId="12" fillId="15" borderId="95" xfId="0" applyFont="1" applyFill="1" applyBorder="1" applyAlignment="1">
      <alignment horizontal="center" vertical="center"/>
    </xf>
    <xf numFmtId="0" fontId="12" fillId="15" borderId="134" xfId="0" applyFont="1" applyFill="1" applyBorder="1" applyAlignment="1">
      <alignment horizontal="center" vertical="center"/>
    </xf>
    <xf numFmtId="0" fontId="14" fillId="17" borderId="8" xfId="0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horizontal="center" vertical="center"/>
    </xf>
    <xf numFmtId="0" fontId="19" fillId="14" borderId="105" xfId="27" applyFont="1" applyFill="1" applyBorder="1" applyAlignment="1">
      <alignment horizontal="center" vertical="center"/>
    </xf>
    <xf numFmtId="0" fontId="19" fillId="14" borderId="183" xfId="27" applyFont="1" applyFill="1" applyBorder="1" applyAlignment="1">
      <alignment horizontal="center" vertical="center"/>
    </xf>
    <xf numFmtId="176" fontId="15" fillId="26" borderId="83" xfId="27" applyNumberFormat="1" applyFill="1" applyBorder="1" applyAlignment="1">
      <alignment horizontal="center" vertical="center"/>
    </xf>
    <xf numFmtId="176" fontId="15" fillId="26" borderId="210" xfId="27" applyNumberFormat="1" applyFill="1" applyBorder="1" applyAlignment="1">
      <alignment horizontal="center" vertical="center"/>
    </xf>
    <xf numFmtId="0" fontId="11" fillId="47" borderId="106" xfId="27" applyFont="1" applyFill="1" applyBorder="1" applyAlignment="1">
      <alignment horizontal="center" vertical="center"/>
    </xf>
    <xf numFmtId="0" fontId="11" fillId="47" borderId="116" xfId="27" applyFont="1" applyFill="1" applyBorder="1" applyAlignment="1">
      <alignment horizontal="center" vertical="center"/>
    </xf>
    <xf numFmtId="0" fontId="11" fillId="46" borderId="106" xfId="27" applyFont="1" applyFill="1" applyBorder="1" applyAlignment="1">
      <alignment horizontal="center" vertical="center"/>
    </xf>
    <xf numFmtId="0" fontId="11" fillId="46" borderId="116" xfId="27" applyFont="1" applyFill="1" applyBorder="1" applyAlignment="1">
      <alignment horizontal="center" vertical="center"/>
    </xf>
    <xf numFmtId="0" fontId="25" fillId="46" borderId="112" xfId="27" applyFont="1" applyFill="1" applyBorder="1" applyAlignment="1">
      <alignment horizontal="center" vertical="center" textRotation="90" wrapText="1"/>
    </xf>
    <xf numFmtId="0" fontId="25" fillId="46" borderId="107" xfId="27" applyFont="1" applyFill="1" applyBorder="1" applyAlignment="1">
      <alignment horizontal="center" vertical="center" textRotation="90" wrapText="1"/>
    </xf>
    <xf numFmtId="0" fontId="25" fillId="46" borderId="46" xfId="27" applyFont="1" applyFill="1" applyBorder="1" applyAlignment="1">
      <alignment horizontal="center" vertical="center" textRotation="90" wrapText="1"/>
    </xf>
    <xf numFmtId="0" fontId="25" fillId="46" borderId="112" xfId="27" applyFont="1" applyFill="1" applyBorder="1" applyAlignment="1">
      <alignment horizontal="left" vertical="center" wrapText="1"/>
    </xf>
    <xf numFmtId="0" fontId="25" fillId="46" borderId="107" xfId="27" applyFont="1" applyFill="1" applyBorder="1" applyAlignment="1">
      <alignment horizontal="left" vertical="center" wrapText="1"/>
    </xf>
    <xf numFmtId="0" fontId="25" fillId="46" borderId="46" xfId="27" applyFont="1" applyFill="1" applyBorder="1" applyAlignment="1">
      <alignment horizontal="left" vertical="center" wrapText="1"/>
    </xf>
    <xf numFmtId="0" fontId="14" fillId="16" borderId="112" xfId="27" applyFont="1" applyFill="1" applyBorder="1" applyAlignment="1">
      <alignment horizontal="center" vertical="center" wrapText="1"/>
    </xf>
    <xf numFmtId="0" fontId="14" fillId="16" borderId="46" xfId="27" applyFont="1" applyFill="1" applyBorder="1" applyAlignment="1">
      <alignment horizontal="center" vertical="center" wrapText="1"/>
    </xf>
    <xf numFmtId="0" fontId="27" fillId="0" borderId="0" xfId="27" applyFont="1" applyAlignment="1">
      <alignment horizontal="center" vertical="center" wrapText="1"/>
    </xf>
    <xf numFmtId="0" fontId="12" fillId="16" borderId="98" xfId="27" applyFont="1" applyFill="1" applyBorder="1" applyAlignment="1">
      <alignment horizontal="center" vertical="center" wrapText="1"/>
    </xf>
    <xf numFmtId="0" fontId="19" fillId="47" borderId="105" xfId="27" applyFont="1" applyFill="1" applyBorder="1" applyAlignment="1">
      <alignment horizontal="center" vertical="center"/>
    </xf>
    <xf numFmtId="0" fontId="19" fillId="47" borderId="183" xfId="27" applyFont="1" applyFill="1" applyBorder="1" applyAlignment="1">
      <alignment horizontal="center" vertical="center"/>
    </xf>
    <xf numFmtId="0" fontId="19" fillId="46" borderId="105" xfId="27" applyFont="1" applyFill="1" applyBorder="1" applyAlignment="1">
      <alignment horizontal="center" vertical="center"/>
    </xf>
    <xf numFmtId="0" fontId="19" fillId="46" borderId="183" xfId="27" applyFont="1" applyFill="1" applyBorder="1" applyAlignment="1">
      <alignment horizontal="center" vertical="center"/>
    </xf>
    <xf numFmtId="0" fontId="11" fillId="14" borderId="106" xfId="27" applyFont="1" applyFill="1" applyBorder="1" applyAlignment="1">
      <alignment horizontal="center" vertical="center"/>
    </xf>
    <xf numFmtId="0" fontId="11" fillId="14" borderId="116" xfId="27" applyFont="1" applyFill="1" applyBorder="1" applyAlignment="1">
      <alignment horizontal="center" vertical="center"/>
    </xf>
    <xf numFmtId="0" fontId="19" fillId="14" borderId="79" xfId="27" applyFont="1" applyFill="1" applyBorder="1" applyAlignment="1">
      <alignment horizontal="center" vertical="center"/>
    </xf>
    <xf numFmtId="0" fontId="19" fillId="14" borderId="180" xfId="27" applyFont="1" applyFill="1" applyBorder="1" applyAlignment="1">
      <alignment horizontal="center" vertical="center"/>
    </xf>
    <xf numFmtId="0" fontId="19" fillId="47" borderId="79" xfId="27" applyFont="1" applyFill="1" applyBorder="1" applyAlignment="1">
      <alignment horizontal="center" vertical="center"/>
    </xf>
    <xf numFmtId="0" fontId="19" fillId="47" borderId="97" xfId="27" applyFont="1" applyFill="1" applyBorder="1" applyAlignment="1">
      <alignment horizontal="center" vertical="center"/>
    </xf>
    <xf numFmtId="0" fontId="19" fillId="46" borderId="80" xfId="27" applyFont="1" applyFill="1" applyBorder="1" applyAlignment="1">
      <alignment horizontal="center" vertical="center"/>
    </xf>
    <xf numFmtId="0" fontId="19" fillId="46" borderId="97" xfId="27" applyFont="1" applyFill="1" applyBorder="1" applyAlignment="1">
      <alignment horizontal="center" vertical="center"/>
    </xf>
    <xf numFmtId="0" fontId="14" fillId="17" borderId="165" xfId="27" applyFont="1" applyFill="1" applyBorder="1" applyAlignment="1">
      <alignment horizontal="center" vertical="center" wrapText="1"/>
    </xf>
    <xf numFmtId="0" fontId="14" fillId="17" borderId="206" xfId="27" applyFont="1" applyFill="1" applyBorder="1" applyAlignment="1">
      <alignment horizontal="center" vertical="center" wrapText="1"/>
    </xf>
    <xf numFmtId="0" fontId="12" fillId="15" borderId="165" xfId="27" applyFont="1" applyFill="1" applyBorder="1" applyAlignment="1">
      <alignment horizontal="center" vertical="center" wrapText="1"/>
    </xf>
    <xf numFmtId="0" fontId="12" fillId="15" borderId="206" xfId="27" applyFont="1" applyFill="1" applyBorder="1" applyAlignment="1">
      <alignment horizontal="center" vertical="center" wrapText="1"/>
    </xf>
    <xf numFmtId="0" fontId="14" fillId="26" borderId="112" xfId="27" applyFont="1" applyFill="1" applyBorder="1" applyAlignment="1">
      <alignment horizontal="center" vertical="center" wrapText="1"/>
    </xf>
    <xf numFmtId="0" fontId="14" fillId="26" borderId="107" xfId="27" applyFont="1" applyFill="1" applyBorder="1" applyAlignment="1">
      <alignment horizontal="center" vertical="center" wrapText="1"/>
    </xf>
    <xf numFmtId="0" fontId="19" fillId="14" borderId="113" xfId="27" applyFont="1" applyFill="1" applyBorder="1" applyAlignment="1">
      <alignment horizontal="center" vertical="center"/>
    </xf>
    <xf numFmtId="0" fontId="19" fillId="46" borderId="113" xfId="27" applyFont="1" applyFill="1" applyBorder="1" applyAlignment="1">
      <alignment horizontal="center" vertical="center"/>
    </xf>
    <xf numFmtId="0" fontId="14" fillId="0" borderId="0" xfId="27" applyFont="1" applyAlignment="1">
      <alignment horizontal="center" vertical="center"/>
    </xf>
    <xf numFmtId="0" fontId="27" fillId="0" borderId="0" xfId="27" applyFont="1" applyAlignment="1">
      <alignment horizontal="center" vertical="center"/>
    </xf>
    <xf numFmtId="0" fontId="14" fillId="16" borderId="167" xfId="27" applyFont="1" applyFill="1" applyBorder="1" applyAlignment="1">
      <alignment horizontal="center" vertical="center" wrapText="1"/>
    </xf>
    <xf numFmtId="0" fontId="14" fillId="16" borderId="208" xfId="27" applyFont="1" applyFill="1" applyBorder="1" applyAlignment="1">
      <alignment horizontal="center" vertical="center" wrapText="1"/>
    </xf>
    <xf numFmtId="0" fontId="14" fillId="16" borderId="168" xfId="27" applyFont="1" applyFill="1" applyBorder="1" applyAlignment="1">
      <alignment horizontal="center" vertical="center" wrapText="1"/>
    </xf>
    <xf numFmtId="0" fontId="14" fillId="16" borderId="209" xfId="27" applyFont="1" applyFill="1" applyBorder="1" applyAlignment="1">
      <alignment horizontal="center" vertical="center" wrapText="1"/>
    </xf>
    <xf numFmtId="0" fontId="14" fillId="16" borderId="177" xfId="27" applyFont="1" applyFill="1" applyBorder="1" applyAlignment="1">
      <alignment horizontal="center" vertical="center"/>
    </xf>
    <xf numFmtId="0" fontId="14" fillId="16" borderId="181" xfId="27" applyFont="1" applyFill="1" applyBorder="1" applyAlignment="1">
      <alignment horizontal="center" vertical="center"/>
    </xf>
    <xf numFmtId="0" fontId="14" fillId="16" borderId="177" xfId="27" applyFont="1" applyFill="1" applyBorder="1" applyAlignment="1">
      <alignment horizontal="center" vertical="center" wrapText="1"/>
    </xf>
    <xf numFmtId="0" fontId="14" fillId="16" borderId="181" xfId="27" applyFont="1" applyFill="1" applyBorder="1" applyAlignment="1">
      <alignment horizontal="center" vertical="center" wrapText="1"/>
    </xf>
    <xf numFmtId="0" fontId="24" fillId="16" borderId="178" xfId="27" applyFont="1" applyFill="1" applyBorder="1" applyAlignment="1">
      <alignment horizontal="center" vertical="center" wrapText="1"/>
    </xf>
    <xf numFmtId="0" fontId="24" fillId="16" borderId="36" xfId="27" applyFont="1" applyFill="1" applyBorder="1" applyAlignment="1">
      <alignment horizontal="center" vertical="center" wrapText="1"/>
    </xf>
    <xf numFmtId="0" fontId="24" fillId="16" borderId="207" xfId="27" applyFont="1" applyFill="1" applyBorder="1" applyAlignment="1">
      <alignment horizontal="center" vertical="center" wrapText="1"/>
    </xf>
    <xf numFmtId="0" fontId="28" fillId="46" borderId="207" xfId="27" applyFont="1" applyFill="1" applyBorder="1" applyAlignment="1">
      <alignment horizontal="center" vertical="center" textRotation="90" wrapText="1"/>
    </xf>
    <xf numFmtId="0" fontId="28" fillId="46" borderId="76" xfId="27" applyFont="1" applyFill="1" applyBorder="1" applyAlignment="1">
      <alignment horizontal="center" vertical="center" textRotation="90" wrapText="1"/>
    </xf>
    <xf numFmtId="0" fontId="28" fillId="46" borderId="72" xfId="27" applyFont="1" applyFill="1" applyBorder="1" applyAlignment="1">
      <alignment horizontal="center" vertical="center" textRotation="90" wrapText="1"/>
    </xf>
    <xf numFmtId="0" fontId="25" fillId="12" borderId="122" xfId="27" applyFont="1" applyFill="1" applyBorder="1" applyAlignment="1" applyProtection="1">
      <alignment horizontal="left" vertical="center" wrapText="1"/>
      <protection locked="0"/>
    </xf>
    <xf numFmtId="0" fontId="25" fillId="12" borderId="123" xfId="27" applyFont="1" applyFill="1" applyBorder="1" applyAlignment="1" applyProtection="1">
      <alignment horizontal="left" vertical="center" wrapText="1"/>
      <protection locked="0"/>
    </xf>
    <xf numFmtId="0" fontId="25" fillId="12" borderId="124" xfId="27" applyFont="1" applyFill="1" applyBorder="1" applyAlignment="1" applyProtection="1">
      <alignment horizontal="left" vertical="center" wrapText="1"/>
      <protection locked="0"/>
    </xf>
    <xf numFmtId="0" fontId="25" fillId="12" borderId="112" xfId="27" applyFont="1" applyFill="1" applyBorder="1" applyAlignment="1" applyProtection="1">
      <alignment horizontal="left" vertical="center" wrapText="1"/>
      <protection locked="0"/>
    </xf>
    <xf numFmtId="0" fontId="25" fillId="12" borderId="107" xfId="27" applyFont="1" applyFill="1" applyBorder="1" applyAlignment="1" applyProtection="1">
      <alignment horizontal="left" vertical="center" wrapText="1"/>
      <protection locked="0"/>
    </xf>
    <xf numFmtId="0" fontId="25" fillId="12" borderId="46" xfId="27" applyFont="1" applyFill="1" applyBorder="1" applyAlignment="1" applyProtection="1">
      <alignment horizontal="left" vertical="center" wrapText="1"/>
      <protection locked="0"/>
    </xf>
    <xf numFmtId="0" fontId="25" fillId="0" borderId="167" xfId="0" applyFont="1" applyBorder="1" applyAlignment="1">
      <alignment horizontal="left" vertical="center" wrapText="1"/>
    </xf>
    <xf numFmtId="0" fontId="25" fillId="0" borderId="168" xfId="0" applyFont="1" applyBorder="1" applyAlignment="1">
      <alignment horizontal="left" vertical="center" wrapText="1"/>
    </xf>
    <xf numFmtId="0" fontId="25" fillId="16" borderId="187" xfId="0" applyFont="1" applyFill="1" applyBorder="1" applyAlignment="1">
      <alignment horizontal="center" vertical="center"/>
    </xf>
    <xf numFmtId="0" fontId="25" fillId="16" borderId="188" xfId="0" applyFont="1" applyFill="1" applyBorder="1" applyAlignment="1">
      <alignment horizontal="center" vertical="center"/>
    </xf>
    <xf numFmtId="0" fontId="25" fillId="12" borderId="11" xfId="0" applyFont="1" applyFill="1" applyBorder="1" applyAlignment="1" applyProtection="1">
      <alignment horizontal="center" vertical="center"/>
      <protection locked="0"/>
    </xf>
    <xf numFmtId="0" fontId="25" fillId="12" borderId="12" xfId="0" applyFont="1" applyFill="1" applyBorder="1" applyAlignment="1" applyProtection="1">
      <alignment horizontal="center" vertical="center"/>
      <protection locked="0"/>
    </xf>
    <xf numFmtId="167" fontId="25" fillId="17" borderId="184" xfId="0" applyNumberFormat="1" applyFont="1" applyFill="1" applyBorder="1" applyAlignment="1">
      <alignment horizontal="center" vertical="center" wrapText="1"/>
    </xf>
    <xf numFmtId="167" fontId="25" fillId="17" borderId="185" xfId="0" applyNumberFormat="1" applyFont="1" applyFill="1" applyBorder="1" applyAlignment="1">
      <alignment horizontal="center" vertical="center" wrapText="1"/>
    </xf>
    <xf numFmtId="167" fontId="25" fillId="17" borderId="186" xfId="0" applyNumberFormat="1" applyFont="1" applyFill="1" applyBorder="1" applyAlignment="1">
      <alignment horizontal="center" vertical="center" wrapText="1"/>
    </xf>
    <xf numFmtId="167" fontId="26" fillId="34" borderId="184" xfId="0" applyNumberFormat="1" applyFont="1" applyFill="1" applyBorder="1" applyAlignment="1">
      <alignment horizontal="center" vertical="center" wrapText="1"/>
    </xf>
    <xf numFmtId="167" fontId="26" fillId="34" borderId="185" xfId="0" applyNumberFormat="1" applyFont="1" applyFill="1" applyBorder="1" applyAlignment="1">
      <alignment horizontal="center" vertical="center" wrapText="1"/>
    </xf>
    <xf numFmtId="167" fontId="26" fillId="34" borderId="186" xfId="0" applyNumberFormat="1" applyFont="1" applyFill="1" applyBorder="1" applyAlignment="1">
      <alignment horizontal="center" vertical="center" wrapText="1"/>
    </xf>
    <xf numFmtId="0" fontId="14" fillId="15" borderId="122" xfId="0" applyFont="1" applyFill="1" applyBorder="1" applyAlignment="1">
      <alignment horizontal="center" vertical="center" wrapText="1"/>
    </xf>
    <xf numFmtId="0" fontId="14" fillId="15" borderId="109" xfId="0" applyFont="1" applyFill="1" applyBorder="1" applyAlignment="1">
      <alignment horizontal="center" vertical="center" wrapText="1"/>
    </xf>
    <xf numFmtId="0" fontId="14" fillId="15" borderId="183" xfId="0" applyFont="1" applyFill="1" applyBorder="1" applyAlignment="1">
      <alignment horizontal="center" vertical="center" wrapText="1"/>
    </xf>
    <xf numFmtId="0" fontId="14" fillId="15" borderId="189" xfId="0" applyFont="1" applyFill="1" applyBorder="1" applyAlignment="1">
      <alignment horizontal="center" vertical="center" wrapText="1"/>
    </xf>
    <xf numFmtId="0" fontId="14" fillId="27" borderId="97" xfId="0" applyFont="1" applyFill="1" applyBorder="1" applyAlignment="1">
      <alignment horizontal="center" vertical="center" wrapText="1"/>
    </xf>
    <xf numFmtId="0" fontId="14" fillId="27" borderId="102" xfId="0" applyFont="1" applyFill="1" applyBorder="1" applyAlignment="1">
      <alignment horizontal="center" vertical="center" wrapText="1"/>
    </xf>
    <xf numFmtId="0" fontId="14" fillId="27" borderId="207" xfId="0" applyFont="1" applyFill="1" applyBorder="1" applyAlignment="1">
      <alignment horizontal="center" vertical="center" wrapText="1"/>
    </xf>
    <xf numFmtId="0" fontId="14" fillId="27" borderId="7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5" fillId="11" borderId="205" xfId="0" applyFont="1" applyFill="1" applyBorder="1" applyAlignment="1">
      <alignment horizontal="center" vertical="center" wrapText="1"/>
    </xf>
    <xf numFmtId="0" fontId="25" fillId="11" borderId="99" xfId="0" applyFont="1" applyFill="1" applyBorder="1" applyAlignment="1">
      <alignment horizontal="center" vertical="center" wrapText="1"/>
    </xf>
    <xf numFmtId="0" fontId="25" fillId="11" borderId="103" xfId="0" applyFont="1" applyFill="1" applyBorder="1" applyAlignment="1">
      <alignment horizontal="center" vertical="center" wrapText="1"/>
    </xf>
    <xf numFmtId="176" fontId="25" fillId="29" borderId="122" xfId="0" applyNumberFormat="1" applyFont="1" applyFill="1" applyBorder="1" applyAlignment="1">
      <alignment horizontal="right" vertical="center"/>
    </xf>
    <xf numFmtId="176" fontId="25" fillId="29" borderId="123" xfId="0" applyNumberFormat="1" applyFont="1" applyFill="1" applyBorder="1" applyAlignment="1">
      <alignment horizontal="right" vertical="center"/>
    </xf>
    <xf numFmtId="176" fontId="25" fillId="29" borderId="124" xfId="0" applyNumberFormat="1" applyFont="1" applyFill="1" applyBorder="1" applyAlignment="1">
      <alignment horizontal="right" vertical="center"/>
    </xf>
    <xf numFmtId="0" fontId="14" fillId="16" borderId="96" xfId="0" applyFont="1" applyFill="1" applyBorder="1" applyAlignment="1">
      <alignment horizontal="center" vertical="center" wrapText="1"/>
    </xf>
    <xf numFmtId="0" fontId="14" fillId="16" borderId="101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103" xfId="0" applyFont="1" applyFill="1" applyBorder="1" applyAlignment="1">
      <alignment horizontal="center" vertical="center" wrapText="1"/>
    </xf>
    <xf numFmtId="0" fontId="14" fillId="16" borderId="96" xfId="0" applyFont="1" applyFill="1" applyBorder="1" applyAlignment="1">
      <alignment horizontal="center" vertical="center"/>
    </xf>
    <xf numFmtId="0" fontId="14" fillId="16" borderId="101" xfId="0" applyFont="1" applyFill="1" applyBorder="1" applyAlignment="1">
      <alignment horizontal="center" vertical="center"/>
    </xf>
    <xf numFmtId="0" fontId="24" fillId="0" borderId="197" xfId="0" applyFont="1" applyBorder="1" applyAlignment="1">
      <alignment horizontal="center" vertical="center" wrapText="1"/>
    </xf>
    <xf numFmtId="0" fontId="24" fillId="0" borderId="198" xfId="0" applyFont="1" applyBorder="1" applyAlignment="1">
      <alignment horizontal="center" vertical="center" wrapText="1"/>
    </xf>
    <xf numFmtId="0" fontId="14" fillId="16" borderId="92" xfId="0" applyFont="1" applyFill="1" applyBorder="1" applyAlignment="1">
      <alignment horizontal="center" vertical="center" wrapText="1"/>
    </xf>
    <xf numFmtId="0" fontId="14" fillId="16" borderId="93" xfId="0" applyFont="1" applyFill="1" applyBorder="1" applyAlignment="1">
      <alignment horizontal="center" vertical="center" wrapText="1"/>
    </xf>
    <xf numFmtId="0" fontId="25" fillId="12" borderId="9" xfId="0" applyFont="1" applyFill="1" applyBorder="1" applyAlignment="1" applyProtection="1">
      <alignment horizontal="center" vertical="center"/>
      <protection locked="0"/>
    </xf>
    <xf numFmtId="0" fontId="25" fillId="12" borderId="10" xfId="0" applyFont="1" applyFill="1" applyBorder="1" applyAlignment="1" applyProtection="1">
      <alignment horizontal="center" vertical="center"/>
      <protection locked="0"/>
    </xf>
    <xf numFmtId="0" fontId="14" fillId="16" borderId="127" xfId="0" applyFont="1" applyFill="1" applyBorder="1" applyAlignment="1">
      <alignment horizontal="center" vertical="center"/>
    </xf>
    <xf numFmtId="0" fontId="14" fillId="16" borderId="91" xfId="0" applyFont="1" applyFill="1" applyBorder="1" applyAlignment="1">
      <alignment horizontal="center" vertical="center"/>
    </xf>
    <xf numFmtId="0" fontId="25" fillId="15" borderId="84" xfId="0" applyFont="1" applyFill="1" applyBorder="1" applyAlignment="1">
      <alignment horizontal="center" vertical="center" wrapText="1"/>
    </xf>
    <xf numFmtId="0" fontId="25" fillId="15" borderId="169" xfId="0" applyFont="1" applyFill="1" applyBorder="1" applyAlignment="1">
      <alignment horizontal="center" vertical="center" wrapText="1"/>
    </xf>
    <xf numFmtId="0" fontId="25" fillId="15" borderId="88" xfId="0" applyFont="1" applyFill="1" applyBorder="1" applyAlignment="1">
      <alignment horizontal="center" vertical="center" wrapText="1"/>
    </xf>
    <xf numFmtId="0" fontId="25" fillId="15" borderId="175" xfId="0" applyFont="1" applyFill="1" applyBorder="1" applyAlignment="1">
      <alignment horizontal="center" vertical="center" wrapText="1"/>
    </xf>
    <xf numFmtId="0" fontId="14" fillId="16" borderId="129" xfId="0" applyFont="1" applyFill="1" applyBorder="1" applyAlignment="1">
      <alignment horizontal="center" vertical="center"/>
    </xf>
    <xf numFmtId="0" fontId="14" fillId="16" borderId="87" xfId="0" applyFont="1" applyFill="1" applyBorder="1" applyAlignment="1">
      <alignment horizontal="center" vertical="center"/>
    </xf>
    <xf numFmtId="167" fontId="14" fillId="17" borderId="90" xfId="0" applyNumberFormat="1" applyFont="1" applyFill="1" applyBorder="1" applyAlignment="1">
      <alignment horizontal="center" vertical="center" wrapText="1"/>
    </xf>
    <xf numFmtId="167" fontId="14" fillId="17" borderId="86" xfId="0" applyNumberFormat="1" applyFont="1" applyFill="1" applyBorder="1" applyAlignment="1">
      <alignment horizontal="center" vertical="center" wrapText="1"/>
    </xf>
    <xf numFmtId="167" fontId="14" fillId="17" borderId="85" xfId="0" applyNumberFormat="1" applyFont="1" applyFill="1" applyBorder="1" applyAlignment="1">
      <alignment horizontal="center" vertical="center" wrapText="1"/>
    </xf>
    <xf numFmtId="0" fontId="0" fillId="38" borderId="27" xfId="0" applyFill="1" applyBorder="1" applyAlignment="1">
      <alignment horizontal="left" vertical="center" wrapText="1"/>
    </xf>
    <xf numFmtId="0" fontId="0" fillId="38" borderId="16" xfId="0" applyFill="1" applyBorder="1" applyAlignment="1">
      <alignment horizontal="left" vertical="center" wrapText="1"/>
    </xf>
    <xf numFmtId="0" fontId="0" fillId="38" borderId="31" xfId="0" applyFill="1" applyBorder="1" applyAlignment="1">
      <alignment horizontal="left" vertical="center" wrapText="1"/>
    </xf>
    <xf numFmtId="0" fontId="0" fillId="38" borderId="28" xfId="0" applyFill="1" applyBorder="1" applyAlignment="1">
      <alignment horizontal="left" vertical="center" wrapText="1"/>
    </xf>
    <xf numFmtId="0" fontId="0" fillId="38" borderId="0" xfId="0" applyFill="1" applyAlignment="1">
      <alignment horizontal="left" vertical="center" wrapText="1"/>
    </xf>
    <xf numFmtId="0" fontId="0" fillId="38" borderId="32" xfId="0" applyFill="1" applyBorder="1" applyAlignment="1">
      <alignment horizontal="left" vertical="center" wrapText="1"/>
    </xf>
    <xf numFmtId="0" fontId="0" fillId="38" borderId="17" xfId="0" applyFill="1" applyBorder="1" applyAlignment="1">
      <alignment horizontal="left" vertical="center" wrapText="1"/>
    </xf>
    <xf numFmtId="0" fontId="0" fillId="38" borderId="14" xfId="0" applyFill="1" applyBorder="1" applyAlignment="1">
      <alignment horizontal="left" vertical="center" wrapText="1"/>
    </xf>
    <xf numFmtId="0" fontId="0" fillId="38" borderId="15" xfId="0" applyFill="1" applyBorder="1" applyAlignment="1">
      <alignment horizontal="left" vertical="center" wrapText="1"/>
    </xf>
  </cellXfs>
  <cellStyles count="3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2" xr:uid="{1302E13A-9D40-473E-8CD9-DCBCCE02B617}"/>
    <cellStyle name="Moneda" xfId="13" builtinId="4"/>
    <cellStyle name="Moneda 2" xfId="26" xr:uid="{00000000-0005-0000-0000-000012000000}"/>
    <cellStyle name="Moneda 2 2" xfId="33" xr:uid="{3C342632-6E98-4A46-AF57-C41161BD9011}"/>
    <cellStyle name="Moneda 3" xfId="25" xr:uid="{00000000-0005-0000-0000-000013000000}"/>
    <cellStyle name="Moneda 4" xfId="34" xr:uid="{833325B3-8D6F-4141-9F11-5D15DF91EFAB}"/>
    <cellStyle name="Moneda 5" xfId="35" xr:uid="{B7CB267D-1CE0-414A-B520-5609862ED367}"/>
    <cellStyle name="Moneda 6" xfId="36" xr:uid="{B95AE5A7-C5CF-4E26-A9F9-A0A5C9EE1119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rmal 5" xfId="31" xr:uid="{39EF2E84-AFF2-4092-9E0D-4FC9C6B3FE03}"/>
    <cellStyle name="Note" xfId="15" xr:uid="{00000000-0005-0000-0000-000019000000}"/>
    <cellStyle name="Porcentaje" xfId="16" builtinId="5"/>
    <cellStyle name="Porcentaje 2" xfId="30" xr:uid="{00000000-0005-0000-0000-00001A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205;ndice Tablas'!A1"/><Relationship Id="rId3" Type="http://schemas.openxmlformats.org/officeDocument/2006/relationships/hyperlink" Target="#'D) Costos Indirectos'!Z9"/><Relationship Id="rId7" Type="http://schemas.openxmlformats.org/officeDocument/2006/relationships/hyperlink" Target="#'D) Costos Indirectos '!A1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B2E53F-839F-47A8-802A-004E69CC3653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5</xdr:row>
      <xdr:rowOff>95249</xdr:rowOff>
    </xdr:from>
    <xdr:to>
      <xdr:col>9</xdr:col>
      <xdr:colOff>232835</xdr:colOff>
      <xdr:row>63</xdr:row>
      <xdr:rowOff>42332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1EB60C-D6B7-4CBA-9163-44DC35E1D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21" t="7408" r="24701" b="3589"/>
        <a:stretch/>
      </xdr:blipFill>
      <xdr:spPr>
        <a:xfrm>
          <a:off x="0" y="904874"/>
          <a:ext cx="7090835" cy="9338733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5</xdr:row>
      <xdr:rowOff>158749</xdr:rowOff>
    </xdr:from>
    <xdr:to>
      <xdr:col>18</xdr:col>
      <xdr:colOff>359834</xdr:colOff>
      <xdr:row>63</xdr:row>
      <xdr:rowOff>31749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C8DDCD-A997-4862-AD46-8C6B2B2C8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637" t="7820" r="25049" b="3896"/>
        <a:stretch/>
      </xdr:blipFill>
      <xdr:spPr>
        <a:xfrm>
          <a:off x="7069667" y="968374"/>
          <a:ext cx="7006167" cy="9264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52916</xdr:rowOff>
    </xdr:from>
    <xdr:to>
      <xdr:col>9</xdr:col>
      <xdr:colOff>179917</xdr:colOff>
      <xdr:row>120</xdr:row>
      <xdr:rowOff>42333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E5B8BA-438E-4F5D-A714-C5F621DA5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6636" t="8540" r="24875" b="3588"/>
        <a:stretch/>
      </xdr:blipFill>
      <xdr:spPr>
        <a:xfrm>
          <a:off x="0" y="10254191"/>
          <a:ext cx="7037917" cy="9219142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211666</xdr:colOff>
      <xdr:row>63</xdr:row>
      <xdr:rowOff>52916</xdr:rowOff>
    </xdr:from>
    <xdr:to>
      <xdr:col>18</xdr:col>
      <xdr:colOff>412750</xdr:colOff>
      <xdr:row>120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2FB17E-41C1-4D2A-9C0E-08B661A7F4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694" t="8746" r="24702" b="3794"/>
        <a:stretch/>
      </xdr:blipFill>
      <xdr:spPr>
        <a:xfrm>
          <a:off x="7069666" y="10254191"/>
          <a:ext cx="7059084" cy="917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63499</xdr:rowOff>
    </xdr:from>
    <xdr:to>
      <xdr:col>9</xdr:col>
      <xdr:colOff>190500</xdr:colOff>
      <xdr:row>176</xdr:row>
      <xdr:rowOff>105834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208EA6C-CC0A-4467-8A86-791744048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6579" t="9363" r="24874" b="3795"/>
        <a:stretch/>
      </xdr:blipFill>
      <xdr:spPr>
        <a:xfrm>
          <a:off x="0" y="19494499"/>
          <a:ext cx="7048500" cy="9110135"/>
        </a:xfrm>
        <a:prstGeom prst="rect">
          <a:avLst/>
        </a:prstGeom>
      </xdr:spPr>
    </xdr:pic>
    <xdr:clientData/>
  </xdr:twoCellAnchor>
  <xdr:twoCellAnchor editAs="oneCell">
    <xdr:from>
      <xdr:col>9</xdr:col>
      <xdr:colOff>201083</xdr:colOff>
      <xdr:row>120</xdr:row>
      <xdr:rowOff>31751</xdr:rowOff>
    </xdr:from>
    <xdr:to>
      <xdr:col>18</xdr:col>
      <xdr:colOff>402167</xdr:colOff>
      <xdr:row>176</xdr:row>
      <xdr:rowOff>42334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035E7B-DB7D-4342-8538-92FDA829A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6521" t="9776" r="24875" b="3692"/>
        <a:stretch/>
      </xdr:blipFill>
      <xdr:spPr>
        <a:xfrm>
          <a:off x="7059083" y="19462751"/>
          <a:ext cx="7059084" cy="90783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126999</xdr:rowOff>
    </xdr:from>
    <xdr:to>
      <xdr:col>9</xdr:col>
      <xdr:colOff>190500</xdr:colOff>
      <xdr:row>232</xdr:row>
      <xdr:rowOff>63499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901EBCF-69DE-422B-9403-8C98213844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6463" t="10392" r="24990" b="3795"/>
        <a:stretch/>
      </xdr:blipFill>
      <xdr:spPr>
        <a:xfrm>
          <a:off x="0" y="28625799"/>
          <a:ext cx="7048500" cy="9004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4" name="Flecha derecha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1F6ADA5-7FB6-4E04-B670-83E6126575C3}"/>
            </a:ext>
          </a:extLst>
        </xdr:cNvPr>
        <xdr:cNvSpPr/>
      </xdr:nvSpPr>
      <xdr:spPr bwMode="auto">
        <a:xfrm rot="10800000">
          <a:off x="39909750" y="428625"/>
          <a:ext cx="416718" cy="321468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6" name="Flecha derecha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397BC7-B7B8-4517-B939-F7B4C9B16B7A}"/>
            </a:ext>
          </a:extLst>
        </xdr:cNvPr>
        <xdr:cNvSpPr/>
      </xdr:nvSpPr>
      <xdr:spPr bwMode="auto">
        <a:xfrm rot="10800000">
          <a:off x="32346900" y="571500"/>
          <a:ext cx="416718" cy="2595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0" name="Flecha derecha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C77E28-35E1-4017-883D-ABF6D8688287}"/>
            </a:ext>
          </a:extLst>
        </xdr:cNvPr>
        <xdr:cNvSpPr/>
      </xdr:nvSpPr>
      <xdr:spPr bwMode="auto">
        <a:xfrm rot="10800000">
          <a:off x="25946100" y="571500"/>
          <a:ext cx="416718" cy="2595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5" name="Flecha derecha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CE2071-F303-4991-9B08-0427C2EF78DA}"/>
            </a:ext>
          </a:extLst>
        </xdr:cNvPr>
        <xdr:cNvSpPr/>
      </xdr:nvSpPr>
      <xdr:spPr bwMode="auto">
        <a:xfrm rot="10800000">
          <a:off x="17714119" y="595313"/>
          <a:ext cx="416718" cy="2595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6" name="Flecha derecha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EC1151-FFEA-493B-B41F-4D955EA851B4}"/>
            </a:ext>
          </a:extLst>
        </xdr:cNvPr>
        <xdr:cNvSpPr/>
      </xdr:nvSpPr>
      <xdr:spPr bwMode="auto">
        <a:xfrm rot="10800000">
          <a:off x="46053375" y="571500"/>
          <a:ext cx="416718" cy="2595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1309688</xdr:colOff>
      <xdr:row>5</xdr:row>
      <xdr:rowOff>142874</xdr:rowOff>
    </xdr:to>
    <xdr:sp macro="" textlink="">
      <xdr:nvSpPr>
        <xdr:cNvPr id="17" name="Flecha: a la derecha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A0E076-D317-4D74-BFD4-2F7D61E1A964}"/>
            </a:ext>
          </a:extLst>
        </xdr:cNvPr>
        <xdr:cNvSpPr/>
      </xdr:nvSpPr>
      <xdr:spPr bwMode="auto">
        <a:xfrm flipH="1">
          <a:off x="476250" y="381000"/>
          <a:ext cx="1309688" cy="723899"/>
        </a:xfrm>
        <a:prstGeom prst="rightArrow">
          <a:avLst>
            <a:gd name="adj1" fmla="val 68919"/>
            <a:gd name="adj2" fmla="val 37302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Regresar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Indice</a:t>
          </a:r>
          <a:r>
            <a:rPr lang="es-CL" sz="1200" b="1" baseline="0">
              <a:solidFill>
                <a:srgbClr val="FF0000"/>
              </a:solidFill>
            </a:rPr>
            <a:t> Tablas</a:t>
          </a:r>
        </a:p>
        <a:p>
          <a:pPr algn="ctr"/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F9BE-3ADE-4F0D-B66F-9E7F0D4ABB1D}">
  <sheetPr>
    <tabColor rgb="FFFF0000"/>
  </sheetPr>
  <dimension ref="C1:J52"/>
  <sheetViews>
    <sheetView showGridLines="0" zoomScale="90" zoomScaleNormal="90" workbookViewId="0">
      <selection activeCell="Y26" sqref="Y26"/>
    </sheetView>
  </sheetViews>
  <sheetFormatPr baseColWidth="10" defaultColWidth="11.42578125" defaultRowHeight="12.75" x14ac:dyDescent="0.2"/>
  <cols>
    <col min="1" max="16384" width="11.42578125" style="322"/>
  </cols>
  <sheetData>
    <row r="1" spans="3:10" x14ac:dyDescent="0.2">
      <c r="J1" s="323"/>
    </row>
    <row r="2" spans="3:10" x14ac:dyDescent="0.2">
      <c r="J2" s="323" t="s">
        <v>246</v>
      </c>
    </row>
    <row r="3" spans="3:10" x14ac:dyDescent="0.2">
      <c r="J3" s="323"/>
    </row>
    <row r="5" spans="3:10" x14ac:dyDescent="0.2">
      <c r="C5" s="324"/>
      <c r="D5" s="324"/>
      <c r="E5" s="324"/>
      <c r="F5" s="324"/>
      <c r="G5" s="324"/>
      <c r="H5" s="324"/>
      <c r="I5" s="324"/>
      <c r="J5" s="324"/>
    </row>
    <row r="6" spans="3:10" x14ac:dyDescent="0.2">
      <c r="C6" s="324"/>
      <c r="D6" s="324"/>
      <c r="E6" s="324"/>
      <c r="F6" s="324"/>
      <c r="G6" s="324"/>
      <c r="H6" s="324"/>
      <c r="I6" s="324"/>
      <c r="J6" s="324"/>
    </row>
    <row r="7" spans="3:10" x14ac:dyDescent="0.2">
      <c r="C7" s="324"/>
      <c r="D7" s="324"/>
      <c r="E7" s="324"/>
      <c r="F7" s="324"/>
      <c r="G7" s="324"/>
      <c r="H7" s="324"/>
      <c r="I7" s="324"/>
      <c r="J7" s="324"/>
    </row>
    <row r="8" spans="3:10" x14ac:dyDescent="0.2">
      <c r="C8" s="324"/>
      <c r="D8" s="324"/>
      <c r="E8" s="324"/>
      <c r="F8" s="324"/>
      <c r="G8" s="324"/>
      <c r="H8" s="324"/>
      <c r="I8" s="324"/>
      <c r="J8" s="324"/>
    </row>
    <row r="9" spans="3:10" x14ac:dyDescent="0.2">
      <c r="C9" s="324"/>
      <c r="D9" s="324"/>
      <c r="E9" s="324"/>
      <c r="F9" s="324"/>
      <c r="G9" s="324"/>
      <c r="H9" s="324"/>
      <c r="I9" s="324"/>
      <c r="J9" s="324"/>
    </row>
    <row r="10" spans="3:10" x14ac:dyDescent="0.2">
      <c r="C10" s="324"/>
      <c r="D10" s="324"/>
      <c r="E10" s="324"/>
      <c r="F10" s="324"/>
      <c r="G10" s="324"/>
      <c r="H10" s="324"/>
      <c r="I10" s="324"/>
      <c r="J10" s="324"/>
    </row>
    <row r="11" spans="3:10" x14ac:dyDescent="0.2">
      <c r="C11" s="324"/>
      <c r="D11" s="324"/>
      <c r="E11" s="324"/>
      <c r="F11" s="324"/>
      <c r="G11" s="324"/>
      <c r="H11" s="324"/>
      <c r="I11" s="324"/>
      <c r="J11" s="324"/>
    </row>
    <row r="12" spans="3:10" x14ac:dyDescent="0.2">
      <c r="C12" s="324"/>
      <c r="D12" s="324"/>
      <c r="E12" s="324"/>
      <c r="F12" s="324"/>
      <c r="G12" s="324"/>
      <c r="H12" s="324"/>
      <c r="I12" s="324"/>
      <c r="J12" s="324"/>
    </row>
    <row r="13" spans="3:10" x14ac:dyDescent="0.2">
      <c r="C13" s="324"/>
      <c r="D13" s="324"/>
      <c r="E13" s="324"/>
      <c r="F13" s="324"/>
      <c r="G13" s="324"/>
      <c r="H13" s="324"/>
      <c r="I13" s="324"/>
      <c r="J13" s="324"/>
    </row>
    <row r="14" spans="3:10" x14ac:dyDescent="0.2">
      <c r="C14" s="324"/>
      <c r="D14" s="324"/>
      <c r="E14" s="324"/>
      <c r="F14" s="324"/>
      <c r="G14" s="324"/>
      <c r="H14" s="324"/>
      <c r="I14" s="324"/>
      <c r="J14" s="324"/>
    </row>
    <row r="15" spans="3:10" x14ac:dyDescent="0.2">
      <c r="C15" s="324"/>
      <c r="D15" s="324"/>
      <c r="E15" s="324"/>
      <c r="F15" s="324"/>
      <c r="G15" s="324"/>
      <c r="H15" s="324"/>
      <c r="I15" s="324"/>
      <c r="J15" s="324"/>
    </row>
    <row r="16" spans="3:10" x14ac:dyDescent="0.2">
      <c r="C16" s="324"/>
      <c r="D16" s="324"/>
      <c r="E16" s="324"/>
      <c r="F16" s="324"/>
      <c r="G16" s="324"/>
      <c r="H16" s="324"/>
      <c r="I16" s="324"/>
      <c r="J16" s="324"/>
    </row>
    <row r="17" spans="3:10" x14ac:dyDescent="0.2">
      <c r="C17" s="324"/>
      <c r="D17" s="324"/>
      <c r="E17" s="324"/>
      <c r="F17" s="324"/>
      <c r="G17" s="324"/>
      <c r="H17" s="324"/>
      <c r="I17" s="324"/>
      <c r="J17" s="324"/>
    </row>
    <row r="18" spans="3:10" x14ac:dyDescent="0.2">
      <c r="C18" s="324"/>
      <c r="D18" s="324"/>
      <c r="E18" s="324"/>
      <c r="F18" s="324"/>
      <c r="G18" s="324"/>
      <c r="H18" s="324"/>
      <c r="I18" s="324"/>
      <c r="J18" s="324"/>
    </row>
    <row r="19" spans="3:10" x14ac:dyDescent="0.2">
      <c r="C19" s="324"/>
      <c r="D19" s="324"/>
      <c r="E19" s="324"/>
      <c r="F19" s="324"/>
      <c r="G19" s="324"/>
      <c r="H19" s="324"/>
      <c r="I19" s="324"/>
      <c r="J19" s="324"/>
    </row>
    <row r="20" spans="3:10" x14ac:dyDescent="0.2">
      <c r="C20" s="324"/>
      <c r="D20" s="324"/>
      <c r="E20" s="324"/>
      <c r="F20" s="324"/>
      <c r="G20" s="324"/>
      <c r="H20" s="324"/>
      <c r="I20" s="324"/>
      <c r="J20" s="324"/>
    </row>
    <row r="21" spans="3:10" x14ac:dyDescent="0.2">
      <c r="C21" s="324"/>
      <c r="D21" s="324"/>
      <c r="E21" s="324"/>
      <c r="F21" s="324"/>
      <c r="G21" s="324"/>
      <c r="H21" s="324"/>
      <c r="I21" s="324"/>
      <c r="J21" s="324"/>
    </row>
    <row r="22" spans="3:10" x14ac:dyDescent="0.2">
      <c r="C22" s="324"/>
      <c r="D22" s="324"/>
      <c r="E22" s="324"/>
      <c r="F22" s="324"/>
      <c r="G22" s="324"/>
      <c r="H22" s="324"/>
      <c r="I22" s="324"/>
      <c r="J22" s="324"/>
    </row>
    <row r="23" spans="3:10" x14ac:dyDescent="0.2">
      <c r="C23" s="324"/>
      <c r="D23" s="324"/>
      <c r="E23" s="324"/>
      <c r="F23" s="324"/>
      <c r="G23" s="324"/>
      <c r="H23" s="324"/>
      <c r="I23" s="324"/>
      <c r="J23" s="324"/>
    </row>
    <row r="24" spans="3:10" x14ac:dyDescent="0.2">
      <c r="C24" s="324"/>
      <c r="D24" s="324"/>
      <c r="E24" s="324"/>
      <c r="F24" s="324"/>
      <c r="G24" s="324"/>
      <c r="H24" s="324"/>
      <c r="I24" s="324"/>
      <c r="J24" s="324"/>
    </row>
    <row r="25" spans="3:10" x14ac:dyDescent="0.2">
      <c r="C25" s="324"/>
      <c r="D25" s="324"/>
      <c r="E25" s="324"/>
      <c r="F25" s="324"/>
      <c r="G25" s="324"/>
      <c r="H25" s="324"/>
      <c r="I25" s="324"/>
      <c r="J25" s="324"/>
    </row>
    <row r="26" spans="3:10" x14ac:dyDescent="0.2">
      <c r="C26" s="324"/>
      <c r="D26" s="324"/>
      <c r="E26" s="324"/>
      <c r="F26" s="324"/>
      <c r="G26" s="324"/>
      <c r="H26" s="324"/>
      <c r="I26" s="324"/>
      <c r="J26" s="324"/>
    </row>
    <row r="27" spans="3:10" x14ac:dyDescent="0.2">
      <c r="C27" s="324"/>
      <c r="D27" s="324"/>
      <c r="E27" s="324"/>
      <c r="F27" s="324"/>
      <c r="G27" s="324"/>
      <c r="H27" s="324"/>
      <c r="I27" s="324"/>
      <c r="J27" s="324"/>
    </row>
    <row r="28" spans="3:10" x14ac:dyDescent="0.2">
      <c r="C28" s="324"/>
      <c r="D28" s="324"/>
      <c r="E28" s="324"/>
      <c r="F28" s="324"/>
      <c r="G28" s="324"/>
      <c r="H28" s="324"/>
      <c r="I28" s="324"/>
      <c r="J28" s="324"/>
    </row>
    <row r="29" spans="3:10" x14ac:dyDescent="0.2">
      <c r="C29" s="324"/>
      <c r="D29" s="324"/>
      <c r="E29" s="324"/>
      <c r="F29" s="324"/>
      <c r="G29" s="324"/>
      <c r="H29" s="324"/>
      <c r="I29" s="324"/>
      <c r="J29" s="324"/>
    </row>
    <row r="30" spans="3:10" x14ac:dyDescent="0.2">
      <c r="C30" s="324"/>
      <c r="D30" s="324"/>
      <c r="E30" s="324"/>
      <c r="F30" s="324"/>
      <c r="G30" s="324"/>
      <c r="H30" s="324"/>
      <c r="I30" s="324"/>
      <c r="J30" s="324"/>
    </row>
    <row r="31" spans="3:10" x14ac:dyDescent="0.2">
      <c r="C31" s="324"/>
      <c r="D31" s="324"/>
      <c r="E31" s="324"/>
      <c r="F31" s="324"/>
      <c r="G31" s="324"/>
      <c r="H31" s="324"/>
      <c r="I31" s="324"/>
      <c r="J31" s="324"/>
    </row>
    <row r="32" spans="3:10" x14ac:dyDescent="0.2">
      <c r="C32" s="324"/>
      <c r="D32" s="324"/>
      <c r="E32" s="324"/>
      <c r="F32" s="324"/>
      <c r="G32" s="324"/>
      <c r="H32" s="324"/>
      <c r="I32" s="324"/>
      <c r="J32" s="324"/>
    </row>
    <row r="33" spans="3:10" x14ac:dyDescent="0.2">
      <c r="C33" s="324"/>
      <c r="D33" s="324"/>
      <c r="E33" s="324"/>
      <c r="F33" s="324"/>
      <c r="G33" s="324"/>
      <c r="H33" s="324"/>
      <c r="I33" s="324"/>
      <c r="J33" s="324"/>
    </row>
    <row r="34" spans="3:10" x14ac:dyDescent="0.2">
      <c r="C34" s="324"/>
      <c r="D34" s="324"/>
      <c r="E34" s="324"/>
      <c r="F34" s="324"/>
      <c r="G34" s="324"/>
      <c r="H34" s="324"/>
      <c r="I34" s="324"/>
      <c r="J34" s="324"/>
    </row>
    <row r="35" spans="3:10" x14ac:dyDescent="0.2">
      <c r="C35" s="324"/>
      <c r="D35" s="324"/>
      <c r="E35" s="324"/>
      <c r="F35" s="324"/>
      <c r="G35" s="324"/>
      <c r="H35" s="324"/>
      <c r="I35" s="324"/>
      <c r="J35" s="324"/>
    </row>
    <row r="36" spans="3:10" x14ac:dyDescent="0.2">
      <c r="C36" s="324"/>
      <c r="D36" s="324"/>
      <c r="E36" s="324"/>
      <c r="F36" s="324"/>
      <c r="G36" s="324"/>
      <c r="H36" s="324"/>
      <c r="I36" s="324"/>
      <c r="J36" s="324"/>
    </row>
    <row r="37" spans="3:10" x14ac:dyDescent="0.2">
      <c r="C37" s="324"/>
      <c r="D37" s="324"/>
      <c r="E37" s="324"/>
      <c r="F37" s="324"/>
      <c r="G37" s="324"/>
      <c r="H37" s="324"/>
      <c r="I37" s="324"/>
      <c r="J37" s="324"/>
    </row>
    <row r="38" spans="3:10" x14ac:dyDescent="0.2">
      <c r="C38" s="324"/>
      <c r="D38" s="324"/>
      <c r="E38" s="324"/>
      <c r="F38" s="324"/>
      <c r="G38" s="324"/>
      <c r="H38" s="324"/>
      <c r="I38" s="324"/>
      <c r="J38" s="324"/>
    </row>
    <row r="39" spans="3:10" x14ac:dyDescent="0.2">
      <c r="C39" s="324"/>
      <c r="D39" s="324"/>
      <c r="E39" s="324"/>
      <c r="F39" s="324"/>
      <c r="G39" s="324"/>
      <c r="H39" s="324"/>
      <c r="I39" s="324"/>
      <c r="J39" s="324"/>
    </row>
    <row r="40" spans="3:10" x14ac:dyDescent="0.2">
      <c r="C40" s="324"/>
      <c r="D40" s="324"/>
      <c r="E40" s="324"/>
      <c r="F40" s="324"/>
      <c r="G40" s="324"/>
      <c r="H40" s="324"/>
      <c r="I40" s="324"/>
      <c r="J40" s="324"/>
    </row>
    <row r="41" spans="3:10" x14ac:dyDescent="0.2">
      <c r="C41" s="324"/>
      <c r="D41" s="324"/>
      <c r="E41" s="324"/>
      <c r="F41" s="324"/>
      <c r="G41" s="324"/>
      <c r="H41" s="324"/>
      <c r="I41" s="324"/>
      <c r="J41" s="324"/>
    </row>
    <row r="42" spans="3:10" x14ac:dyDescent="0.2">
      <c r="C42" s="324"/>
      <c r="D42" s="324"/>
      <c r="E42" s="324"/>
      <c r="F42" s="324"/>
      <c r="G42" s="324"/>
      <c r="H42" s="324"/>
      <c r="I42" s="324"/>
      <c r="J42" s="324"/>
    </row>
    <row r="43" spans="3:10" x14ac:dyDescent="0.2">
      <c r="C43" s="324"/>
      <c r="D43" s="324"/>
      <c r="E43" s="324"/>
      <c r="F43" s="324"/>
      <c r="G43" s="324"/>
      <c r="H43" s="324"/>
      <c r="I43" s="324"/>
      <c r="J43" s="324"/>
    </row>
    <row r="44" spans="3:10" x14ac:dyDescent="0.2">
      <c r="C44" s="324"/>
      <c r="D44" s="324"/>
      <c r="E44" s="324"/>
      <c r="F44" s="324"/>
      <c r="G44" s="324"/>
      <c r="H44" s="324"/>
      <c r="I44" s="324"/>
      <c r="J44" s="324"/>
    </row>
    <row r="45" spans="3:10" x14ac:dyDescent="0.2">
      <c r="C45" s="324"/>
      <c r="D45" s="324"/>
      <c r="E45" s="324"/>
      <c r="F45" s="324"/>
      <c r="G45" s="324"/>
      <c r="H45" s="324"/>
      <c r="I45" s="324"/>
      <c r="J45" s="324"/>
    </row>
    <row r="46" spans="3:10" x14ac:dyDescent="0.2">
      <c r="C46" s="324"/>
      <c r="D46" s="324"/>
      <c r="E46" s="324"/>
      <c r="F46" s="324"/>
      <c r="G46" s="324"/>
      <c r="H46" s="324"/>
      <c r="I46" s="324"/>
      <c r="J46" s="324"/>
    </row>
    <row r="47" spans="3:10" x14ac:dyDescent="0.2">
      <c r="C47" s="324"/>
      <c r="D47" s="324"/>
      <c r="E47" s="324"/>
      <c r="F47" s="324"/>
      <c r="G47" s="324"/>
      <c r="H47" s="324"/>
      <c r="I47" s="324"/>
      <c r="J47" s="324"/>
    </row>
    <row r="48" spans="3:10" x14ac:dyDescent="0.2">
      <c r="C48" s="324"/>
      <c r="D48" s="324"/>
      <c r="E48" s="324"/>
      <c r="F48" s="324"/>
      <c r="G48" s="324"/>
      <c r="H48" s="324"/>
      <c r="I48" s="324"/>
      <c r="J48" s="324"/>
    </row>
    <row r="49" spans="3:10" x14ac:dyDescent="0.2">
      <c r="C49" s="324"/>
      <c r="D49" s="324"/>
      <c r="E49" s="324"/>
      <c r="F49" s="324"/>
      <c r="G49" s="324"/>
      <c r="H49" s="324"/>
      <c r="I49" s="324"/>
      <c r="J49" s="324"/>
    </row>
    <row r="50" spans="3:10" x14ac:dyDescent="0.2">
      <c r="C50" s="324"/>
      <c r="D50" s="324"/>
      <c r="E50" s="324"/>
      <c r="F50" s="324"/>
      <c r="G50" s="324"/>
      <c r="H50" s="324"/>
      <c r="I50" s="324"/>
      <c r="J50" s="324"/>
    </row>
    <row r="51" spans="3:10" x14ac:dyDescent="0.2">
      <c r="C51" s="324"/>
      <c r="D51" s="324"/>
      <c r="E51" s="324"/>
      <c r="F51" s="324"/>
      <c r="G51" s="324"/>
      <c r="H51" s="324"/>
      <c r="I51" s="324"/>
      <c r="J51" s="324"/>
    </row>
    <row r="52" spans="3:10" x14ac:dyDescent="0.2">
      <c r="C52" s="324"/>
      <c r="D52" s="324"/>
      <c r="E52" s="324"/>
      <c r="F52" s="324"/>
      <c r="G52" s="324"/>
      <c r="H52" s="324"/>
      <c r="I52" s="324"/>
      <c r="J52" s="324"/>
    </row>
  </sheetData>
  <sheetProtection algorithmName="SHA-512" hashValue="30ud0gYYBINfRSdnOkMVCLSaKSDSjwVyW1IAvl9KaBu8GGORLWxtAO7qi05xCT3IeSCLh8Fq8xAn03uCd2p9ug==" saltValue="xdjO6oixZPjYaJtRcQuO+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Q27" sqref="Q27"/>
    </sheetView>
  </sheetViews>
  <sheetFormatPr baseColWidth="10" defaultColWidth="11.42578125" defaultRowHeight="12.75" x14ac:dyDescent="0.2"/>
  <cols>
    <col min="1" max="9" width="11.42578125" style="55"/>
    <col min="10" max="11" width="13.28515625" style="55" customWidth="1"/>
    <col min="12" max="16384" width="11.42578125" style="55"/>
  </cols>
  <sheetData>
    <row r="1" spans="1:16" x14ac:dyDescent="0.2">
      <c r="J1" s="125"/>
      <c r="K1" s="128"/>
    </row>
    <row r="2" spans="1:16" x14ac:dyDescent="0.2">
      <c r="J2" s="125" t="s">
        <v>202</v>
      </c>
      <c r="K2" s="128"/>
    </row>
    <row r="4" spans="1:16" ht="19.5" customHeight="1" x14ac:dyDescent="0.2">
      <c r="I4" s="126" t="s">
        <v>0</v>
      </c>
      <c r="J4" s="618" t="str">
        <f>+'B) Reajuste Tarifas y Ocupación'!F5</f>
        <v>(DEPTO./DELEG.)</v>
      </c>
      <c r="K4" s="619"/>
    </row>
    <row r="6" spans="1:16" ht="12.75" customHeight="1" x14ac:dyDescent="0.2">
      <c r="A6" s="127" t="s">
        <v>120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6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6" x14ac:dyDescent="0.2">
      <c r="A9" s="56"/>
      <c r="B9" s="56"/>
      <c r="C9" s="56"/>
      <c r="D9" s="56"/>
      <c r="E9" s="56"/>
      <c r="F9" s="56"/>
      <c r="G9" s="56"/>
      <c r="H9" s="56"/>
      <c r="I9" s="56"/>
    </row>
  </sheetData>
  <sheetProtection algorithmName="SHA-512" hashValue="C0I39oLY3rE4jx11EBUpRNnGubiLmxBJXtxLzFalLXJR+pOw8NeDN/wvPqAcnZ1Mor5KBKQ4uwpnHX41IQBDFw==" saltValue="mkfR7IfNuC5ekVYJWKceG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33CF-18A0-4B8E-871C-1626F437B07E}">
  <sheetPr>
    <tabColor theme="4" tint="0.39997558519241921"/>
    <pageSetUpPr fitToPage="1"/>
  </sheetPr>
  <dimension ref="A2:O13"/>
  <sheetViews>
    <sheetView zoomScale="90" zoomScaleNormal="90" workbookViewId="0">
      <selection activeCell="H23" sqref="H23"/>
    </sheetView>
  </sheetViews>
  <sheetFormatPr baseColWidth="10" defaultColWidth="11.42578125" defaultRowHeight="15" x14ac:dyDescent="0.25"/>
  <cols>
    <col min="1" max="1" width="38" style="289" customWidth="1"/>
    <col min="2" max="3" width="12.7109375" style="289" bestFit="1" customWidth="1"/>
    <col min="4" max="4" width="13.85546875" style="289" bestFit="1" customWidth="1"/>
    <col min="5" max="8" width="12.7109375" style="289" bestFit="1" customWidth="1"/>
    <col min="9" max="9" width="13.85546875" style="289" bestFit="1" customWidth="1"/>
    <col min="10" max="11" width="12.7109375" style="289" bestFit="1" customWidth="1"/>
    <col min="12" max="12" width="13.85546875" style="289" bestFit="1" customWidth="1"/>
    <col min="13" max="13" width="12.7109375" style="289" bestFit="1" customWidth="1"/>
    <col min="14" max="14" width="14.85546875" style="289" bestFit="1" customWidth="1"/>
    <col min="15" max="15" width="13.85546875" style="289" bestFit="1" customWidth="1"/>
    <col min="16" max="16384" width="11.42578125" style="289"/>
  </cols>
  <sheetData>
    <row r="2" spans="1:15" ht="15.75" x14ac:dyDescent="0.25">
      <c r="A2" s="494" t="s">
        <v>241</v>
      </c>
      <c r="B2" s="494"/>
      <c r="C2" s="494"/>
      <c r="D2" s="494"/>
    </row>
    <row r="4" spans="1:15" x14ac:dyDescent="0.25">
      <c r="A4" s="287" t="s">
        <v>240</v>
      </c>
      <c r="B4" s="288" t="s">
        <v>218</v>
      </c>
      <c r="C4" s="288" t="s">
        <v>219</v>
      </c>
      <c r="D4" s="288" t="s">
        <v>220</v>
      </c>
      <c r="E4" s="288" t="s">
        <v>221</v>
      </c>
      <c r="F4" s="288" t="s">
        <v>222</v>
      </c>
      <c r="G4" s="288" t="s">
        <v>223</v>
      </c>
      <c r="H4" s="288" t="s">
        <v>224</v>
      </c>
      <c r="I4" s="288" t="s">
        <v>225</v>
      </c>
      <c r="J4" s="288" t="s">
        <v>226</v>
      </c>
      <c r="K4" s="288" t="s">
        <v>227</v>
      </c>
      <c r="L4" s="288" t="s">
        <v>228</v>
      </c>
      <c r="M4" s="288" t="s">
        <v>229</v>
      </c>
    </row>
    <row r="5" spans="1:15" x14ac:dyDescent="0.25">
      <c r="A5" s="290" t="s">
        <v>235</v>
      </c>
      <c r="B5" s="296"/>
      <c r="C5" s="296"/>
      <c r="D5" s="296">
        <f>+'B) Reajuste Tarifas y Ocupación'!$H$24</f>
        <v>10</v>
      </c>
      <c r="E5" s="296">
        <f>+'B) Reajuste Tarifas y Ocupación'!$H$24</f>
        <v>10</v>
      </c>
      <c r="F5" s="296">
        <f>+'B) Reajuste Tarifas y Ocupación'!$H$24</f>
        <v>10</v>
      </c>
      <c r="G5" s="296">
        <f>+'B) Reajuste Tarifas y Ocupación'!$H$24</f>
        <v>10</v>
      </c>
      <c r="H5" s="296">
        <f>+'B) Reajuste Tarifas y Ocupación'!$H$24</f>
        <v>10</v>
      </c>
      <c r="I5" s="296">
        <f>+'B) Reajuste Tarifas y Ocupación'!$H$24</f>
        <v>10</v>
      </c>
      <c r="J5" s="296">
        <f>+'B) Reajuste Tarifas y Ocupación'!$H$24</f>
        <v>10</v>
      </c>
      <c r="K5" s="296">
        <f>+'B) Reajuste Tarifas y Ocupación'!$H$24</f>
        <v>10</v>
      </c>
      <c r="L5" s="296">
        <f>+'B) Reajuste Tarifas y Ocupación'!$H$24</f>
        <v>10</v>
      </c>
      <c r="M5" s="296">
        <f>+'B) Reajuste Tarifas y Ocupación'!$H$24</f>
        <v>10</v>
      </c>
    </row>
    <row r="6" spans="1:15" x14ac:dyDescent="0.25">
      <c r="A6" s="290" t="s">
        <v>239</v>
      </c>
      <c r="B6" s="296">
        <f>+COUNTA('F) Remuneraciones'!$D$11:$D$22)</f>
        <v>5</v>
      </c>
      <c r="C6" s="296">
        <f>+COUNTA('F) Remuneraciones'!$D$11:$D$22)</f>
        <v>5</v>
      </c>
      <c r="D6" s="296">
        <f>+COUNTA('F) Remuneraciones'!$D$11:$D$22)</f>
        <v>5</v>
      </c>
      <c r="E6" s="296">
        <f>+COUNTA('F) Remuneraciones'!$D$11:$D$22)</f>
        <v>5</v>
      </c>
      <c r="F6" s="296">
        <f>+COUNTA('F) Remuneraciones'!$D$11:$D$22)</f>
        <v>5</v>
      </c>
      <c r="G6" s="296">
        <f>+COUNTA('F) Remuneraciones'!$D$11:$D$22)</f>
        <v>5</v>
      </c>
      <c r="H6" s="296">
        <f>+COUNTA('F) Remuneraciones'!$D$11:$D$22)</f>
        <v>5</v>
      </c>
      <c r="I6" s="296">
        <f>+COUNTA('F) Remuneraciones'!$D$11:$D$22)</f>
        <v>5</v>
      </c>
      <c r="J6" s="296">
        <f>+COUNTA('F) Remuneraciones'!$D$11:$D$22)</f>
        <v>5</v>
      </c>
      <c r="K6" s="296">
        <f>+COUNTA('F) Remuneraciones'!$D$11:$D$22)</f>
        <v>5</v>
      </c>
      <c r="L6" s="296">
        <f>+COUNTA('F) Remuneraciones'!$D$11:$D$22)</f>
        <v>5</v>
      </c>
      <c r="M6" s="296">
        <f>+COUNTA('F) Remuneraciones'!$D$11:$D$22)</f>
        <v>5</v>
      </c>
    </row>
    <row r="7" spans="1:15" x14ac:dyDescent="0.25">
      <c r="A7" s="290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</row>
    <row r="8" spans="1:15" ht="30" x14ac:dyDescent="0.25">
      <c r="A8" s="298" t="s">
        <v>236</v>
      </c>
      <c r="B8" s="288" t="s">
        <v>218</v>
      </c>
      <c r="C8" s="288" t="s">
        <v>219</v>
      </c>
      <c r="D8" s="288" t="s">
        <v>220</v>
      </c>
      <c r="E8" s="288" t="s">
        <v>221</v>
      </c>
      <c r="F8" s="288" t="s">
        <v>222</v>
      </c>
      <c r="G8" s="288" t="s">
        <v>223</v>
      </c>
      <c r="H8" s="288" t="s">
        <v>224</v>
      </c>
      <c r="I8" s="288" t="s">
        <v>225</v>
      </c>
      <c r="J8" s="288" t="s">
        <v>226</v>
      </c>
      <c r="K8" s="288" t="s">
        <v>227</v>
      </c>
      <c r="L8" s="288" t="s">
        <v>228</v>
      </c>
      <c r="M8" s="288" t="s">
        <v>229</v>
      </c>
      <c r="N8" s="288" t="s">
        <v>234</v>
      </c>
    </row>
    <row r="9" spans="1:15" x14ac:dyDescent="0.25">
      <c r="A9" s="292" t="s">
        <v>230</v>
      </c>
      <c r="B9" s="293">
        <f>+'A) Resumen Ingresos y Egresos'!P26</f>
        <v>0</v>
      </c>
      <c r="C9" s="293">
        <f>+'A) Resumen Ingresos y Egresos'!N26*0.3</f>
        <v>396090</v>
      </c>
      <c r="D9" s="293">
        <f>+('A) Resumen Ingresos y Egresos'!N26*0.7)+('A) Resumen Ingresos y Egresos'!O26*0.1)</f>
        <v>2244510</v>
      </c>
      <c r="E9" s="293">
        <f>+'A) Resumen Ingresos y Egresos'!$O$26*0.1</f>
        <v>1320300</v>
      </c>
      <c r="F9" s="293">
        <f>+'A) Resumen Ingresos y Egresos'!$O$26*0.1</f>
        <v>1320300</v>
      </c>
      <c r="G9" s="293">
        <f>+'A) Resumen Ingresos y Egresos'!$O$26*0.1</f>
        <v>1320300</v>
      </c>
      <c r="H9" s="293">
        <f>+'A) Resumen Ingresos y Egresos'!$O$26*0.1</f>
        <v>1320300</v>
      </c>
      <c r="I9" s="293">
        <f>+'A) Resumen Ingresos y Egresos'!$O$26*0.1</f>
        <v>1320300</v>
      </c>
      <c r="J9" s="293">
        <f>+'A) Resumen Ingresos y Egresos'!$O$26*0.1</f>
        <v>1320300</v>
      </c>
      <c r="K9" s="293">
        <f>+'A) Resumen Ingresos y Egresos'!$O$26*0.1</f>
        <v>1320300</v>
      </c>
      <c r="L9" s="293">
        <f>+'A) Resumen Ingresos y Egresos'!$O$26*0.1</f>
        <v>1320300</v>
      </c>
      <c r="M9" s="293">
        <f>+'A) Resumen Ingresos y Egresos'!$O$26*0.1</f>
        <v>1320300</v>
      </c>
      <c r="N9" s="291">
        <f>SUM(B9:M9)</f>
        <v>14523300</v>
      </c>
    </row>
    <row r="10" spans="1:15" x14ac:dyDescent="0.25">
      <c r="A10" s="292" t="s">
        <v>231</v>
      </c>
      <c r="B10" s="293">
        <f>+'F) Remuneraciones'!$I$23/12</f>
        <v>0</v>
      </c>
      <c r="C10" s="293">
        <f>+'F) Remuneraciones'!$I$23/12</f>
        <v>0</v>
      </c>
      <c r="D10" s="293">
        <f>+'F) Remuneraciones'!$I$23/12</f>
        <v>0</v>
      </c>
      <c r="E10" s="293">
        <f>+'F) Remuneraciones'!$I$23/12</f>
        <v>0</v>
      </c>
      <c r="F10" s="293">
        <f>+'F) Remuneraciones'!$I$23/12</f>
        <v>0</v>
      </c>
      <c r="G10" s="293">
        <f>+'F) Remuneraciones'!$I$23/12</f>
        <v>0</v>
      </c>
      <c r="H10" s="293">
        <f>+'F) Remuneraciones'!$I$23/12</f>
        <v>0</v>
      </c>
      <c r="I10" s="293">
        <f>+'F) Remuneraciones'!$I$23/12</f>
        <v>0</v>
      </c>
      <c r="J10" s="293">
        <f>+'F) Remuneraciones'!$I$23/12</f>
        <v>0</v>
      </c>
      <c r="K10" s="293">
        <f>+'F) Remuneraciones'!$I$23/12</f>
        <v>0</v>
      </c>
      <c r="L10" s="293">
        <f>+'F) Remuneraciones'!$I$23/12</f>
        <v>0</v>
      </c>
      <c r="M10" s="293">
        <f>+'F) Remuneraciones'!$I$23/12</f>
        <v>0</v>
      </c>
      <c r="N10" s="291">
        <f t="shared" ref="N10:N12" si="0">SUM(B10:M10)</f>
        <v>0</v>
      </c>
    </row>
    <row r="11" spans="1:15" x14ac:dyDescent="0.25">
      <c r="A11" s="292" t="s">
        <v>237</v>
      </c>
      <c r="B11" s="293">
        <f>+'F) Remuneraciones'!J23*0.5</f>
        <v>0</v>
      </c>
      <c r="C11" s="293">
        <v>0</v>
      </c>
      <c r="D11" s="293">
        <v>0</v>
      </c>
      <c r="E11" s="293">
        <v>0</v>
      </c>
      <c r="F11" s="293">
        <v>0</v>
      </c>
      <c r="G11" s="293">
        <v>0</v>
      </c>
      <c r="H11" s="293">
        <v>0</v>
      </c>
      <c r="I11" s="293">
        <v>0</v>
      </c>
      <c r="J11" s="293">
        <f>+'F) Remuneraciones'!K23*0.5</f>
        <v>0</v>
      </c>
      <c r="K11" s="293">
        <v>0</v>
      </c>
      <c r="L11" s="293">
        <v>0</v>
      </c>
      <c r="M11" s="293">
        <f>+'F) Remuneraciones'!J23*0.5+'F) Remuneraciones'!K23*0.5</f>
        <v>0</v>
      </c>
      <c r="N11" s="291">
        <f t="shared" si="0"/>
        <v>0</v>
      </c>
    </row>
    <row r="12" spans="1:15" x14ac:dyDescent="0.25">
      <c r="A12" s="292" t="s">
        <v>232</v>
      </c>
      <c r="B12" s="293">
        <f>(+'C) Costos Directos'!$H$75-'C) Costos Directos'!$D$14)*0.05</f>
        <v>441965.75</v>
      </c>
      <c r="C12" s="293">
        <f>(+'C) Costos Directos'!$H$75-'C) Costos Directos'!$D$14)*0.05</f>
        <v>441965.75</v>
      </c>
      <c r="D12" s="293">
        <f>(+'C) Costos Directos'!$H$75-'C) Costos Directos'!$D$14)*0.09</f>
        <v>795538.35</v>
      </c>
      <c r="E12" s="293">
        <f>(+'C) Costos Directos'!$H$75-'C) Costos Directos'!$D$14)*0.09</f>
        <v>795538.35</v>
      </c>
      <c r="F12" s="293">
        <f>(+'C) Costos Directos'!$H$75-'C) Costos Directos'!$D$14)*0.09</f>
        <v>795538.35</v>
      </c>
      <c r="G12" s="293">
        <f>(+'C) Costos Directos'!$H$75-'C) Costos Directos'!$D$14)*0.09</f>
        <v>795538.35</v>
      </c>
      <c r="H12" s="293">
        <f>(+'C) Costos Directos'!$H$75-'C) Costos Directos'!$D$14)*0.09</f>
        <v>795538.35</v>
      </c>
      <c r="I12" s="293">
        <f>(+'C) Costos Directos'!$H$75-'C) Costos Directos'!$D$14)*0.09</f>
        <v>795538.35</v>
      </c>
      <c r="J12" s="293">
        <f>(+'C) Costos Directos'!$H$75-'C) Costos Directos'!$D$14)*0.09</f>
        <v>795538.35</v>
      </c>
      <c r="K12" s="293">
        <f>(+'C) Costos Directos'!$H$75-'C) Costos Directos'!$D$14)*0.09</f>
        <v>795538.35</v>
      </c>
      <c r="L12" s="293">
        <f>(+'C) Costos Directos'!$H$75-'C) Costos Directos'!$D$14)*0.09</f>
        <v>795538.35</v>
      </c>
      <c r="M12" s="293">
        <f>(+'C) Costos Directos'!$H$75-'C) Costos Directos'!$D$14)*0.09</f>
        <v>795538.35</v>
      </c>
      <c r="N12" s="291">
        <f t="shared" si="0"/>
        <v>8839314.9999999981</v>
      </c>
      <c r="O12" s="293"/>
    </row>
    <row r="13" spans="1:15" x14ac:dyDescent="0.25">
      <c r="A13" s="294" t="s">
        <v>238</v>
      </c>
      <c r="B13" s="295">
        <f t="shared" ref="B13:M13" si="1">+B9-B10-B11-B12</f>
        <v>-441965.75</v>
      </c>
      <c r="C13" s="295">
        <f t="shared" si="1"/>
        <v>-45875.75</v>
      </c>
      <c r="D13" s="295">
        <f t="shared" si="1"/>
        <v>1448971.65</v>
      </c>
      <c r="E13" s="295">
        <f t="shared" si="1"/>
        <v>524761.65</v>
      </c>
      <c r="F13" s="295">
        <f t="shared" si="1"/>
        <v>524761.65</v>
      </c>
      <c r="G13" s="295">
        <f t="shared" si="1"/>
        <v>524761.65</v>
      </c>
      <c r="H13" s="295">
        <f t="shared" si="1"/>
        <v>524761.65</v>
      </c>
      <c r="I13" s="295">
        <f t="shared" si="1"/>
        <v>524761.65</v>
      </c>
      <c r="J13" s="295">
        <f t="shared" si="1"/>
        <v>524761.65</v>
      </c>
      <c r="K13" s="295">
        <f t="shared" si="1"/>
        <v>524761.65</v>
      </c>
      <c r="L13" s="295">
        <f t="shared" si="1"/>
        <v>524761.65</v>
      </c>
      <c r="M13" s="295">
        <f t="shared" si="1"/>
        <v>524761.65</v>
      </c>
      <c r="N13" s="295">
        <f>+N9-N10-N11-N12</f>
        <v>5683985.0000000019</v>
      </c>
      <c r="O13" s="293"/>
    </row>
  </sheetData>
  <sheetProtection algorithmName="SHA-512" hashValue="CZh2HCIagxsZMJxRnYsTvGQyBO375YIifo5k6iWE/M/OH7tM2OQRwpBxfMCLuDw5zMiQpC9JqXUG4UGamRPKFA==" saltValue="dEpn38nH+gxBiNoV1Xpntw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CC"/>
  </sheetPr>
  <dimension ref="B1:S57"/>
  <sheetViews>
    <sheetView showGridLines="0" topLeftCell="A16" zoomScale="80" zoomScaleNormal="80" workbookViewId="0">
      <selection activeCell="I46" sqref="I46"/>
    </sheetView>
  </sheetViews>
  <sheetFormatPr baseColWidth="10" defaultColWidth="11.42578125" defaultRowHeight="12.75" x14ac:dyDescent="0.2"/>
  <sheetData>
    <row r="1" spans="2:11" x14ac:dyDescent="0.2">
      <c r="H1" s="32"/>
    </row>
    <row r="2" spans="2:11" x14ac:dyDescent="0.2">
      <c r="H2" s="32" t="s">
        <v>83</v>
      </c>
    </row>
    <row r="5" spans="2:11" x14ac:dyDescent="0.2">
      <c r="B5" s="467" t="s">
        <v>165</v>
      </c>
      <c r="C5" s="467"/>
      <c r="D5" s="467"/>
      <c r="E5" s="467"/>
      <c r="F5" s="467"/>
    </row>
    <row r="7" spans="2:11" x14ac:dyDescent="0.2">
      <c r="C7" s="96" t="s">
        <v>150</v>
      </c>
      <c r="D7" s="96"/>
      <c r="E7" s="96"/>
      <c r="F7" s="96"/>
      <c r="G7" s="96"/>
      <c r="H7" s="96"/>
      <c r="I7" s="96"/>
      <c r="J7" s="96"/>
      <c r="K7" s="96"/>
    </row>
    <row r="9" spans="2:11" x14ac:dyDescent="0.2">
      <c r="C9" s="96" t="s">
        <v>151</v>
      </c>
      <c r="D9" s="96"/>
      <c r="E9" s="96"/>
      <c r="F9" s="96"/>
      <c r="G9" s="96"/>
      <c r="H9" s="96"/>
    </row>
    <row r="11" spans="2:11" x14ac:dyDescent="0.2">
      <c r="B11" s="467" t="s">
        <v>166</v>
      </c>
      <c r="C11" s="467"/>
      <c r="D11" s="467"/>
      <c r="E11" s="467"/>
      <c r="F11" s="467"/>
    </row>
    <row r="13" spans="2:11" x14ac:dyDescent="0.2">
      <c r="C13" s="97" t="s">
        <v>152</v>
      </c>
      <c r="D13" s="97"/>
      <c r="E13" s="97"/>
      <c r="F13" s="97"/>
      <c r="G13" s="97"/>
      <c r="H13" s="97"/>
    </row>
    <row r="15" spans="2:11" x14ac:dyDescent="0.2">
      <c r="C15" s="97" t="s">
        <v>153</v>
      </c>
      <c r="D15" s="97"/>
      <c r="E15" s="97"/>
      <c r="F15" s="97"/>
      <c r="G15" s="97"/>
      <c r="H15" s="97"/>
    </row>
    <row r="19" spans="2:16" x14ac:dyDescent="0.2">
      <c r="B19" s="467" t="s">
        <v>167</v>
      </c>
      <c r="C19" s="467"/>
      <c r="D19" s="467"/>
      <c r="E19" s="467"/>
      <c r="F19" s="467"/>
    </row>
    <row r="21" spans="2:16" x14ac:dyDescent="0.2">
      <c r="C21" s="97" t="s">
        <v>155</v>
      </c>
      <c r="D21" s="97"/>
      <c r="E21" s="97"/>
      <c r="F21" s="98"/>
      <c r="G21" s="98"/>
      <c r="H21" s="98"/>
    </row>
    <row r="22" spans="2:16" x14ac:dyDescent="0.2">
      <c r="C22" s="468"/>
      <c r="D22" s="468"/>
      <c r="E22" s="468"/>
      <c r="F22" s="468"/>
      <c r="G22" s="468"/>
      <c r="H22" s="468"/>
      <c r="I22" s="468"/>
      <c r="J22" s="468"/>
      <c r="K22" s="468"/>
    </row>
    <row r="24" spans="2:16" x14ac:dyDescent="0.2">
      <c r="B24" s="467" t="s">
        <v>168</v>
      </c>
      <c r="C24" s="467"/>
      <c r="D24" s="467"/>
      <c r="E24" s="467"/>
      <c r="F24" s="467"/>
    </row>
    <row r="26" spans="2:16" x14ac:dyDescent="0.2">
      <c r="C26" s="99" t="s">
        <v>156</v>
      </c>
      <c r="D26" s="99"/>
      <c r="E26" s="99"/>
      <c r="F26" s="99"/>
      <c r="G26" s="99"/>
      <c r="H26" s="99"/>
      <c r="I26" s="99"/>
      <c r="J26" s="99"/>
    </row>
    <row r="27" spans="2:16" ht="12.75" customHeight="1" x14ac:dyDescent="0.2">
      <c r="C27" s="469" t="s">
        <v>157</v>
      </c>
      <c r="D27" s="469"/>
      <c r="E27" s="469"/>
      <c r="F27" s="469"/>
      <c r="G27" s="469"/>
      <c r="H27" s="469"/>
      <c r="I27" s="469"/>
      <c r="J27" s="469"/>
      <c r="K27" s="469"/>
      <c r="L27" s="469"/>
      <c r="M27" s="469"/>
    </row>
    <row r="28" spans="2:16" ht="12.75" customHeight="1" x14ac:dyDescent="0.2"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</row>
    <row r="29" spans="2:16" ht="12.75" customHeight="1" x14ac:dyDescent="0.2">
      <c r="C29" s="99" t="s">
        <v>158</v>
      </c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8"/>
    </row>
    <row r="30" spans="2:16" ht="12.75" customHeight="1" x14ac:dyDescent="0.2"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8"/>
    </row>
    <row r="31" spans="2:16" ht="12.75" customHeight="1" x14ac:dyDescent="0.2">
      <c r="C31" s="103" t="s">
        <v>159</v>
      </c>
      <c r="D31" s="100"/>
      <c r="E31" s="100"/>
      <c r="F31" s="102"/>
      <c r="G31" s="100"/>
      <c r="H31" s="100"/>
      <c r="I31" s="100"/>
      <c r="J31" s="100"/>
      <c r="K31" s="100"/>
      <c r="L31" s="100"/>
      <c r="M31" s="100"/>
      <c r="N31" s="98"/>
      <c r="O31" s="98"/>
      <c r="P31" s="98"/>
    </row>
    <row r="32" spans="2:16" ht="12.75" customHeight="1" x14ac:dyDescent="0.2">
      <c r="C32" s="101"/>
      <c r="D32" s="101"/>
      <c r="E32" s="101"/>
      <c r="F32" s="101"/>
      <c r="G32" s="101"/>
      <c r="H32" s="101"/>
      <c r="I32" s="100"/>
      <c r="J32" s="100"/>
      <c r="K32" s="100"/>
      <c r="L32" s="100"/>
      <c r="M32" s="100"/>
      <c r="N32" s="98"/>
    </row>
    <row r="33" spans="2:19" ht="12.75" customHeight="1" x14ac:dyDescent="0.2">
      <c r="C33" s="470" t="s">
        <v>160</v>
      </c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98"/>
    </row>
    <row r="34" spans="2:19" ht="12.75" customHeight="1" x14ac:dyDescent="0.2">
      <c r="C34" s="84"/>
      <c r="D34" s="84"/>
      <c r="E34" s="84"/>
      <c r="F34" s="84"/>
      <c r="G34" s="84"/>
      <c r="H34" s="84"/>
      <c r="I34" s="99"/>
      <c r="J34" s="99"/>
      <c r="K34" s="99"/>
      <c r="L34" s="99"/>
      <c r="M34" s="99"/>
      <c r="N34" s="98"/>
    </row>
    <row r="35" spans="2:19" ht="12.75" customHeight="1" x14ac:dyDescent="0.2">
      <c r="C35" s="100" t="s">
        <v>161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98"/>
    </row>
    <row r="36" spans="2:19" ht="12.75" customHeight="1" x14ac:dyDescent="0.2">
      <c r="C36" s="101"/>
      <c r="D36" s="101"/>
      <c r="E36" s="101"/>
      <c r="F36" s="101"/>
      <c r="G36" s="101"/>
      <c r="H36" s="101"/>
      <c r="I36" s="100"/>
      <c r="J36" s="100"/>
      <c r="K36" s="100"/>
      <c r="L36" s="100"/>
      <c r="M36" s="100"/>
      <c r="N36" s="98"/>
    </row>
    <row r="37" spans="2:19" ht="12.75" customHeight="1" x14ac:dyDescent="0.2"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2:19" ht="12.75" customHeight="1" x14ac:dyDescent="0.2"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2:19" ht="12.75" customHeight="1" x14ac:dyDescent="0.2">
      <c r="B39" s="103" t="s">
        <v>169</v>
      </c>
      <c r="C39" s="99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2:19" x14ac:dyDescent="0.2">
      <c r="O40" s="468"/>
      <c r="P40" s="468"/>
      <c r="Q40" s="468"/>
      <c r="R40" s="468"/>
      <c r="S40" s="468"/>
    </row>
    <row r="41" spans="2:19" x14ac:dyDescent="0.2">
      <c r="C41" s="471" t="s">
        <v>162</v>
      </c>
      <c r="D41" s="471"/>
      <c r="E41" s="471"/>
      <c r="F41" s="471"/>
    </row>
    <row r="42" spans="2:19" x14ac:dyDescent="0.2">
      <c r="C42" s="468"/>
      <c r="D42" s="468"/>
      <c r="E42" s="468"/>
      <c r="F42" s="468"/>
      <c r="G42" s="468"/>
      <c r="H42" s="468"/>
      <c r="I42" s="468"/>
      <c r="J42" s="468"/>
    </row>
    <row r="44" spans="2:19" x14ac:dyDescent="0.2">
      <c r="B44" s="467" t="s">
        <v>170</v>
      </c>
      <c r="C44" s="467"/>
      <c r="D44" s="467"/>
      <c r="E44" s="467"/>
      <c r="F44" s="467"/>
    </row>
    <row r="46" spans="2:19" x14ac:dyDescent="0.2">
      <c r="C46" s="104" t="s">
        <v>163</v>
      </c>
      <c r="D46" s="104"/>
      <c r="E46" s="104"/>
      <c r="F46" s="104"/>
      <c r="G46" s="104"/>
      <c r="H46" s="104"/>
      <c r="I46" s="104"/>
      <c r="J46" s="104"/>
      <c r="K46" s="105"/>
      <c r="L46" s="105"/>
      <c r="M46" s="105"/>
    </row>
    <row r="50" spans="2:13" x14ac:dyDescent="0.2">
      <c r="B50" s="467" t="s">
        <v>171</v>
      </c>
      <c r="C50" s="467"/>
      <c r="D50" s="467"/>
      <c r="E50" s="467"/>
      <c r="F50" s="467"/>
    </row>
    <row r="52" spans="2:13" x14ac:dyDescent="0.2">
      <c r="C52" s="99" t="s">
        <v>164</v>
      </c>
      <c r="D52" s="99"/>
      <c r="E52" s="99"/>
      <c r="F52" s="99"/>
      <c r="G52" s="98"/>
      <c r="H52" s="98"/>
      <c r="I52" s="98"/>
      <c r="J52" s="98"/>
      <c r="K52" s="98"/>
      <c r="L52" s="98"/>
      <c r="M52" s="98"/>
    </row>
    <row r="54" spans="2:13" x14ac:dyDescent="0.2">
      <c r="B54" s="98" t="s">
        <v>172</v>
      </c>
      <c r="C54" s="98"/>
    </row>
    <row r="57" spans="2:13" x14ac:dyDescent="0.2">
      <c r="B57" s="472" t="s">
        <v>233</v>
      </c>
      <c r="C57" s="472"/>
    </row>
  </sheetData>
  <sheetProtection algorithmName="SHA-512" hashValue="0jlJ5b96sgF8UUq2/PbvtJplx6MYUhrXp78a7rU12WdUcFA+4VD0l2Q7/Bf4ySS/qdEcjXetDz6ZvyWSTMWNZQ==" saltValue="3exbdCTmDtyX8/wNHYTssw==" spinCount="100000"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D205ED77-67D9-44B7-94E6-067845CDB46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zoomScale="80" zoomScaleNormal="80" workbookViewId="0">
      <selection activeCell="A8" sqref="A8:I10"/>
    </sheetView>
  </sheetViews>
  <sheetFormatPr baseColWidth="10" defaultColWidth="11.42578125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2" t="s">
        <v>203</v>
      </c>
      <c r="F1" s="32"/>
      <c r="IL1" s="2"/>
      <c r="IM1" s="2"/>
    </row>
    <row r="2" spans="1:247" s="4" customFormat="1" x14ac:dyDescent="0.2">
      <c r="A2" s="5"/>
      <c r="E2" s="32" t="s">
        <v>197</v>
      </c>
      <c r="F2" s="32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7"/>
      <c r="C4" s="482" t="s">
        <v>0</v>
      </c>
      <c r="D4" s="482"/>
      <c r="E4" s="483" t="s">
        <v>146</v>
      </c>
      <c r="F4" s="484"/>
      <c r="G4" s="485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494" t="s">
        <v>150</v>
      </c>
      <c r="B6" s="494"/>
      <c r="C6" s="494"/>
      <c r="D6" s="494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ht="13.5" thickBot="1" x14ac:dyDescent="0.25">
      <c r="B7" s="4"/>
      <c r="C7" s="4"/>
      <c r="E7" s="4"/>
      <c r="F7" s="4"/>
      <c r="G7" s="4"/>
      <c r="H7" s="4"/>
      <c r="I7" s="4"/>
      <c r="M7" s="41"/>
    </row>
    <row r="8" spans="1:247" ht="39" customHeight="1" x14ac:dyDescent="0.2">
      <c r="A8" s="160" t="s">
        <v>112</v>
      </c>
      <c r="B8" s="161" t="str">
        <f>+N17</f>
        <v>Ingreso por Matrícula</v>
      </c>
      <c r="C8" s="162" t="str">
        <f>+O17</f>
        <v>Ingreso por Mensualidad</v>
      </c>
      <c r="D8" s="162" t="s">
        <v>124</v>
      </c>
      <c r="E8" s="163" t="s">
        <v>82</v>
      </c>
      <c r="F8" s="164" t="s">
        <v>79</v>
      </c>
      <c r="G8" s="165" t="s">
        <v>80</v>
      </c>
      <c r="H8" s="166" t="s">
        <v>105</v>
      </c>
      <c r="I8" s="167" t="s">
        <v>111</v>
      </c>
      <c r="L8" s="48" t="s">
        <v>110</v>
      </c>
      <c r="N8" s="71"/>
    </row>
    <row r="9" spans="1:247" x14ac:dyDescent="0.2">
      <c r="A9" s="168" t="str">
        <f>+'B) Reajuste Tarifas y Ocupación'!A12</f>
        <v>Jardín Infantil Pequeños Colonos</v>
      </c>
      <c r="B9" s="169">
        <f>+N25</f>
        <v>1320300</v>
      </c>
      <c r="C9" s="170">
        <f>+O25</f>
        <v>13203000</v>
      </c>
      <c r="D9" s="169">
        <f>+P25</f>
        <v>0</v>
      </c>
      <c r="E9" s="171">
        <f>+B9+D9+C9</f>
        <v>14523300</v>
      </c>
      <c r="F9" s="172">
        <f>+'C) Costos Directos'!H75</f>
        <v>8839315</v>
      </c>
      <c r="G9" s="173">
        <f>+'D) Costos Indirectos'!$AP$15*(F9/$F$10)</f>
        <v>12377407.39675151</v>
      </c>
      <c r="H9" s="174">
        <f>+F9+G9</f>
        <v>21216722.396751508</v>
      </c>
      <c r="I9" s="175">
        <f>E9-H9</f>
        <v>-6693422.3967515081</v>
      </c>
      <c r="L9" s="325">
        <f>+IFERROR((G9/$G$10),0)</f>
        <v>1</v>
      </c>
      <c r="N9" s="72"/>
    </row>
    <row r="10" spans="1:247" s="4" customFormat="1" ht="15.75" thickBot="1" x14ac:dyDescent="0.25">
      <c r="A10" s="176" t="s">
        <v>1</v>
      </c>
      <c r="B10" s="177">
        <f t="shared" ref="B10:I10" si="0">SUM(B9:B9)</f>
        <v>1320300</v>
      </c>
      <c r="C10" s="177">
        <f t="shared" si="0"/>
        <v>13203000</v>
      </c>
      <c r="D10" s="177">
        <f t="shared" si="0"/>
        <v>0</v>
      </c>
      <c r="E10" s="178">
        <f>SUM(E9:E9)</f>
        <v>14523300</v>
      </c>
      <c r="F10" s="177">
        <f t="shared" si="0"/>
        <v>8839315</v>
      </c>
      <c r="G10" s="177">
        <f t="shared" si="0"/>
        <v>12377407.39675151</v>
      </c>
      <c r="H10" s="177">
        <f t="shared" si="0"/>
        <v>21216722.396751508</v>
      </c>
      <c r="I10" s="179">
        <f t="shared" si="0"/>
        <v>-6693422.3967515081</v>
      </c>
      <c r="L10" s="54">
        <f>SUM(L9:L9)</f>
        <v>1</v>
      </c>
      <c r="N10" s="41"/>
      <c r="O10" s="133"/>
      <c r="IB10" s="2"/>
      <c r="IC10" s="2"/>
      <c r="ID10" s="2"/>
      <c r="IE10" s="2"/>
      <c r="IF10" s="2"/>
      <c r="IG10" s="2"/>
      <c r="IH10" s="2"/>
    </row>
    <row r="11" spans="1:247" s="4" customFormat="1" ht="15.75" customHeight="1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IB11" s="2"/>
      <c r="IC11" s="2"/>
      <c r="ID11" s="2"/>
      <c r="IE11" s="2"/>
      <c r="IF11" s="2"/>
      <c r="IG11" s="2"/>
      <c r="IH11" s="2"/>
    </row>
    <row r="12" spans="1:247" s="4" customFormat="1" ht="15.75" customHeight="1" x14ac:dyDescent="0.2">
      <c r="A12" s="7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34"/>
      <c r="IB12" s="2"/>
      <c r="IC12" s="2"/>
      <c r="ID12" s="2"/>
      <c r="IE12" s="2"/>
      <c r="IF12" s="2"/>
      <c r="IG12" s="2"/>
      <c r="IH12" s="2"/>
    </row>
    <row r="13" spans="1:247" s="4" customFormat="1" ht="15.75" customHeight="1" x14ac:dyDescent="0.2">
      <c r="A13" s="7"/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7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494" t="s">
        <v>151</v>
      </c>
      <c r="B15" s="494"/>
      <c r="C15" s="494"/>
      <c r="D15" s="494"/>
      <c r="E15" s="8"/>
      <c r="F15" s="8"/>
      <c r="G15" s="8"/>
      <c r="H15" s="8"/>
      <c r="I15" s="8"/>
      <c r="J15" s="8"/>
      <c r="K15" s="8"/>
      <c r="L15" s="8"/>
      <c r="M15" s="8"/>
      <c r="N15" s="8"/>
      <c r="IB15" s="2"/>
      <c r="IC15" s="2"/>
      <c r="ID15" s="2"/>
      <c r="IE15" s="2"/>
      <c r="IF15" s="2"/>
      <c r="IG15" s="2"/>
      <c r="IH15" s="2"/>
    </row>
    <row r="16" spans="1:247" s="4" customFormat="1" ht="13.5" thickBot="1" x14ac:dyDescent="0.25">
      <c r="I16" s="9"/>
      <c r="J16" s="9"/>
      <c r="K16" s="9"/>
      <c r="L16" s="1"/>
      <c r="M16" s="1"/>
      <c r="O16" s="10"/>
      <c r="P16" s="10"/>
      <c r="IL16" s="2"/>
      <c r="IM16" s="2"/>
    </row>
    <row r="17" spans="1:17" s="11" customFormat="1" ht="15.75" customHeight="1" x14ac:dyDescent="0.2">
      <c r="A17" s="495" t="s">
        <v>112</v>
      </c>
      <c r="B17" s="497" t="s">
        <v>5</v>
      </c>
      <c r="C17" s="486" t="s">
        <v>2</v>
      </c>
      <c r="D17" s="488" t="s">
        <v>247</v>
      </c>
      <c r="E17" s="489"/>
      <c r="F17" s="489"/>
      <c r="G17" s="489"/>
      <c r="H17" s="490"/>
      <c r="I17" s="491" t="s">
        <v>248</v>
      </c>
      <c r="J17" s="492"/>
      <c r="K17" s="492"/>
      <c r="L17" s="492"/>
      <c r="M17" s="493"/>
      <c r="N17" s="503" t="s">
        <v>88</v>
      </c>
      <c r="O17" s="505" t="s">
        <v>89</v>
      </c>
      <c r="P17" s="501" t="s">
        <v>124</v>
      </c>
      <c r="Q17" s="507" t="s">
        <v>104</v>
      </c>
    </row>
    <row r="18" spans="1:17" s="11" customFormat="1" ht="39" thickBot="1" x14ac:dyDescent="0.25">
      <c r="A18" s="496"/>
      <c r="B18" s="498"/>
      <c r="C18" s="487"/>
      <c r="D18" s="137" t="s">
        <v>85</v>
      </c>
      <c r="E18" s="136" t="s">
        <v>141</v>
      </c>
      <c r="F18" s="136" t="s">
        <v>142</v>
      </c>
      <c r="G18" s="136" t="s">
        <v>86</v>
      </c>
      <c r="H18" s="138" t="s">
        <v>87</v>
      </c>
      <c r="I18" s="137" t="s">
        <v>85</v>
      </c>
      <c r="J18" s="136" t="s">
        <v>141</v>
      </c>
      <c r="K18" s="136" t="s">
        <v>142</v>
      </c>
      <c r="L18" s="136" t="s">
        <v>86</v>
      </c>
      <c r="M18" s="138" t="s">
        <v>87</v>
      </c>
      <c r="N18" s="504"/>
      <c r="O18" s="506"/>
      <c r="P18" s="502"/>
      <c r="Q18" s="508"/>
    </row>
    <row r="19" spans="1:17" ht="12.75" customHeight="1" x14ac:dyDescent="0.2">
      <c r="A19" s="477" t="str">
        <f>+'B) Reajuste Tarifas y Ocupación'!A12</f>
        <v>Jardín Infantil Pequeños Colonos</v>
      </c>
      <c r="B19" s="473" t="str">
        <f>+'B) Reajuste Tarifas y Ocupación'!B12</f>
        <v>Media jornada</v>
      </c>
      <c r="C19" s="284" t="s">
        <v>249</v>
      </c>
      <c r="D19" s="147">
        <f t="shared" ref="D19:F20" si="1">+I19</f>
        <v>108300</v>
      </c>
      <c r="E19" s="141">
        <f t="shared" si="1"/>
        <v>146300</v>
      </c>
      <c r="F19" s="141">
        <f t="shared" si="1"/>
        <v>151700</v>
      </c>
      <c r="G19" s="141">
        <f t="shared" ref="G19:H20" si="2">+L19</f>
        <v>207600</v>
      </c>
      <c r="H19" s="148">
        <f t="shared" si="2"/>
        <v>251800</v>
      </c>
      <c r="I19" s="147">
        <f>+'B) Reajuste Tarifas y Ocupación'!M12</f>
        <v>108300</v>
      </c>
      <c r="J19" s="141">
        <f>+'B) Reajuste Tarifas y Ocupación'!N12</f>
        <v>146300</v>
      </c>
      <c r="K19" s="141">
        <f>+'B) Reajuste Tarifas y Ocupación'!O12</f>
        <v>151700</v>
      </c>
      <c r="L19" s="141">
        <f>+'B) Reajuste Tarifas y Ocupación'!P12</f>
        <v>207600</v>
      </c>
      <c r="M19" s="148">
        <f>+'B) Reajuste Tarifas y Ocupación'!Q12</f>
        <v>251800</v>
      </c>
      <c r="N19" s="153"/>
      <c r="O19" s="142"/>
      <c r="P19" s="156">
        <f>+'B) Reajuste Tarifas y Ocupación'!C12</f>
        <v>95000</v>
      </c>
      <c r="Q19" s="499"/>
    </row>
    <row r="20" spans="1:17" x14ac:dyDescent="0.2">
      <c r="A20" s="478"/>
      <c r="B20" s="474"/>
      <c r="C20" s="135" t="s">
        <v>7</v>
      </c>
      <c r="D20" s="149">
        <f t="shared" si="1"/>
        <v>3</v>
      </c>
      <c r="E20" s="140">
        <f t="shared" si="1"/>
        <v>0</v>
      </c>
      <c r="F20" s="140">
        <f t="shared" si="1"/>
        <v>0</v>
      </c>
      <c r="G20" s="140">
        <f t="shared" si="2"/>
        <v>0</v>
      </c>
      <c r="H20" s="150">
        <f t="shared" si="2"/>
        <v>0</v>
      </c>
      <c r="I20" s="149">
        <f>+'B) Reajuste Tarifas y Ocupación'!C22</f>
        <v>3</v>
      </c>
      <c r="J20" s="140">
        <f>+'B) Reajuste Tarifas y Ocupación'!D22</f>
        <v>0</v>
      </c>
      <c r="K20" s="140">
        <f>+'B) Reajuste Tarifas y Ocupación'!E22</f>
        <v>0</v>
      </c>
      <c r="L20" s="140">
        <f>+'B) Reajuste Tarifas y Ocupación'!F22</f>
        <v>0</v>
      </c>
      <c r="M20" s="150">
        <f>+'B) Reajuste Tarifas y Ocupación'!G22</f>
        <v>0</v>
      </c>
      <c r="N20" s="154"/>
      <c r="O20" s="139"/>
      <c r="P20" s="157">
        <v>0</v>
      </c>
      <c r="Q20" s="500"/>
    </row>
    <row r="21" spans="1:17" ht="13.5" thickBot="1" x14ac:dyDescent="0.25">
      <c r="A21" s="478"/>
      <c r="B21" s="475"/>
      <c r="C21" s="143" t="s">
        <v>9</v>
      </c>
      <c r="D21" s="151">
        <f>D20*D19</f>
        <v>324900</v>
      </c>
      <c r="E21" s="144">
        <f>E20*E19</f>
        <v>0</v>
      </c>
      <c r="F21" s="144">
        <f t="shared" ref="F21" si="3">F20*F19</f>
        <v>0</v>
      </c>
      <c r="G21" s="144">
        <f t="shared" ref="G21:H21" si="4">G20*G19</f>
        <v>0</v>
      </c>
      <c r="H21" s="152">
        <f t="shared" si="4"/>
        <v>0</v>
      </c>
      <c r="I21" s="218">
        <f>I20*I19*10</f>
        <v>3249000</v>
      </c>
      <c r="J21" s="219">
        <f t="shared" ref="J21:M21" si="5">J20*J19*10</f>
        <v>0</v>
      </c>
      <c r="K21" s="219">
        <f t="shared" ref="K21" si="6">K20*K19*10</f>
        <v>0</v>
      </c>
      <c r="L21" s="219">
        <f t="shared" si="5"/>
        <v>0</v>
      </c>
      <c r="M21" s="220">
        <f t="shared" si="5"/>
        <v>0</v>
      </c>
      <c r="N21" s="155">
        <f>SUM(D21:H21)</f>
        <v>324900</v>
      </c>
      <c r="O21" s="145">
        <f>SUM(I21:M21)</f>
        <v>3249000</v>
      </c>
      <c r="P21" s="158">
        <f>P20*P19</f>
        <v>0</v>
      </c>
      <c r="Q21" s="159">
        <f>N21+O21+P21</f>
        <v>3573900</v>
      </c>
    </row>
    <row r="22" spans="1:17" ht="12.75" customHeight="1" x14ac:dyDescent="0.2">
      <c r="A22" s="478"/>
      <c r="B22" s="473" t="str">
        <f>+'B) Reajuste Tarifas y Ocupación'!B13</f>
        <v>Doble Jornada</v>
      </c>
      <c r="C22" s="284" t="s">
        <v>249</v>
      </c>
      <c r="D22" s="147">
        <f t="shared" ref="D22:D23" si="7">+I22</f>
        <v>142200</v>
      </c>
      <c r="E22" s="141">
        <f t="shared" ref="E22:E23" si="8">+J22</f>
        <v>192000</v>
      </c>
      <c r="F22" s="141">
        <f t="shared" ref="F22:F23" si="9">+K22</f>
        <v>199100</v>
      </c>
      <c r="G22" s="141">
        <f t="shared" ref="G22:G23" si="10">+L22</f>
        <v>255900</v>
      </c>
      <c r="H22" s="217">
        <f t="shared" ref="H22:H23" si="11">+M22</f>
        <v>306800</v>
      </c>
      <c r="I22" s="147">
        <f>+'B) Reajuste Tarifas y Ocupación'!M13</f>
        <v>142200</v>
      </c>
      <c r="J22" s="141">
        <f>+'B) Reajuste Tarifas y Ocupación'!N13</f>
        <v>192000</v>
      </c>
      <c r="K22" s="141">
        <f>+'B) Reajuste Tarifas y Ocupación'!O13</f>
        <v>199100</v>
      </c>
      <c r="L22" s="141">
        <f>+'B) Reajuste Tarifas y Ocupación'!P13</f>
        <v>255900</v>
      </c>
      <c r="M22" s="148">
        <f>+'B) Reajuste Tarifas y Ocupación'!Q13</f>
        <v>306800</v>
      </c>
      <c r="N22" s="153"/>
      <c r="O22" s="142"/>
      <c r="P22" s="156">
        <f>+'B) Reajuste Tarifas y Ocupación'!C13</f>
        <v>124700</v>
      </c>
      <c r="Q22" s="499"/>
    </row>
    <row r="23" spans="1:17" x14ac:dyDescent="0.2">
      <c r="A23" s="478"/>
      <c r="B23" s="474"/>
      <c r="C23" s="135" t="s">
        <v>7</v>
      </c>
      <c r="D23" s="149">
        <f t="shared" si="7"/>
        <v>7</v>
      </c>
      <c r="E23" s="140">
        <f t="shared" si="8"/>
        <v>0</v>
      </c>
      <c r="F23" s="140">
        <f t="shared" si="9"/>
        <v>0</v>
      </c>
      <c r="G23" s="140">
        <f t="shared" si="10"/>
        <v>0</v>
      </c>
      <c r="H23" s="221">
        <f t="shared" si="11"/>
        <v>0</v>
      </c>
      <c r="I23" s="149">
        <f>+'B) Reajuste Tarifas y Ocupación'!C23</f>
        <v>7</v>
      </c>
      <c r="J23" s="140">
        <f>+'B) Reajuste Tarifas y Ocupación'!D23</f>
        <v>0</v>
      </c>
      <c r="K23" s="140">
        <f>+'B) Reajuste Tarifas y Ocupación'!E23</f>
        <v>0</v>
      </c>
      <c r="L23" s="140">
        <f>+'B) Reajuste Tarifas y Ocupación'!F23</f>
        <v>0</v>
      </c>
      <c r="M23" s="150">
        <f>+'B) Reajuste Tarifas y Ocupación'!G23</f>
        <v>0</v>
      </c>
      <c r="N23" s="154"/>
      <c r="O23" s="139"/>
      <c r="P23" s="157">
        <v>0</v>
      </c>
      <c r="Q23" s="500"/>
    </row>
    <row r="24" spans="1:17" ht="13.5" thickBot="1" x14ac:dyDescent="0.25">
      <c r="A24" s="478"/>
      <c r="B24" s="475"/>
      <c r="C24" s="143" t="s">
        <v>9</v>
      </c>
      <c r="D24" s="218">
        <f>D23*D22</f>
        <v>995400</v>
      </c>
      <c r="E24" s="219">
        <f>E23*E22</f>
        <v>0</v>
      </c>
      <c r="F24" s="219">
        <f t="shared" ref="F24:H24" si="12">F23*F22</f>
        <v>0</v>
      </c>
      <c r="G24" s="219">
        <f t="shared" si="12"/>
        <v>0</v>
      </c>
      <c r="H24" s="181">
        <f t="shared" si="12"/>
        <v>0</v>
      </c>
      <c r="I24" s="218">
        <f>I23*I22*10</f>
        <v>9954000</v>
      </c>
      <c r="J24" s="219">
        <f t="shared" ref="J24:M24" si="13">J23*J22*10</f>
        <v>0</v>
      </c>
      <c r="K24" s="219">
        <f t="shared" si="13"/>
        <v>0</v>
      </c>
      <c r="L24" s="219">
        <f t="shared" si="13"/>
        <v>0</v>
      </c>
      <c r="M24" s="220">
        <f t="shared" si="13"/>
        <v>0</v>
      </c>
      <c r="N24" s="235">
        <f>SUM(D24:H24)</f>
        <v>995400</v>
      </c>
      <c r="O24" s="180">
        <f>SUM(I24:M24)</f>
        <v>9954000</v>
      </c>
      <c r="P24" s="181">
        <f>P23*P22</f>
        <v>0</v>
      </c>
      <c r="Q24" s="182">
        <f>N24+O24+P24</f>
        <v>10949400</v>
      </c>
    </row>
    <row r="25" spans="1:17" ht="15.75" thickBot="1" x14ac:dyDescent="0.25">
      <c r="A25" s="479"/>
      <c r="B25" s="476" t="s">
        <v>10</v>
      </c>
      <c r="C25" s="476"/>
      <c r="D25" s="222">
        <f>+D21+D24</f>
        <v>1320300</v>
      </c>
      <c r="E25" s="223">
        <f t="shared" ref="E25:M25" si="14">+E21+E24</f>
        <v>0</v>
      </c>
      <c r="F25" s="223">
        <f t="shared" si="14"/>
        <v>0</v>
      </c>
      <c r="G25" s="223">
        <f t="shared" si="14"/>
        <v>0</v>
      </c>
      <c r="H25" s="224">
        <f t="shared" si="14"/>
        <v>0</v>
      </c>
      <c r="I25" s="222">
        <f t="shared" si="14"/>
        <v>13203000</v>
      </c>
      <c r="J25" s="223">
        <f t="shared" si="14"/>
        <v>0</v>
      </c>
      <c r="K25" s="223">
        <f t="shared" si="14"/>
        <v>0</v>
      </c>
      <c r="L25" s="223">
        <f t="shared" si="14"/>
        <v>0</v>
      </c>
      <c r="M25" s="224">
        <f t="shared" si="14"/>
        <v>0</v>
      </c>
      <c r="N25" s="222">
        <f>+N21+N24</f>
        <v>1320300</v>
      </c>
      <c r="O25" s="223">
        <f>+O21+O24</f>
        <v>13203000</v>
      </c>
      <c r="P25" s="223">
        <f>+P21+P24</f>
        <v>0</v>
      </c>
      <c r="Q25" s="236">
        <f>+Q21+Q24</f>
        <v>14523300</v>
      </c>
    </row>
    <row r="26" spans="1:17" ht="15" customHeight="1" thickBot="1" x14ac:dyDescent="0.25">
      <c r="A26" s="480" t="s">
        <v>8</v>
      </c>
      <c r="B26" s="481"/>
      <c r="C26" s="481"/>
      <c r="D26" s="225">
        <f>+D25</f>
        <v>1320300</v>
      </c>
      <c r="E26" s="226">
        <f t="shared" ref="E26:H26" si="15">+E25</f>
        <v>0</v>
      </c>
      <c r="F26" s="226">
        <f t="shared" si="15"/>
        <v>0</v>
      </c>
      <c r="G26" s="226">
        <f t="shared" si="15"/>
        <v>0</v>
      </c>
      <c r="H26" s="227">
        <f t="shared" si="15"/>
        <v>0</v>
      </c>
      <c r="I26" s="225">
        <f t="shared" ref="I26" si="16">+I25</f>
        <v>13203000</v>
      </c>
      <c r="J26" s="226">
        <f t="shared" ref="J26" si="17">+J25</f>
        <v>0</v>
      </c>
      <c r="K26" s="226">
        <f t="shared" ref="K26" si="18">+K25</f>
        <v>0</v>
      </c>
      <c r="L26" s="226">
        <f t="shared" ref="L26" si="19">+L25</f>
        <v>0</v>
      </c>
      <c r="M26" s="227">
        <f t="shared" ref="M26" si="20">+M25</f>
        <v>0</v>
      </c>
      <c r="N26" s="225">
        <f>+N25</f>
        <v>1320300</v>
      </c>
      <c r="O26" s="226">
        <f t="shared" ref="O26" si="21">+O25</f>
        <v>13203000</v>
      </c>
      <c r="P26" s="226">
        <f t="shared" ref="P26" si="22">+P25</f>
        <v>0</v>
      </c>
      <c r="Q26" s="234">
        <f t="shared" ref="Q26" si="23">+Q25</f>
        <v>14523300</v>
      </c>
    </row>
  </sheetData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4"/>
  <sheetViews>
    <sheetView showGridLines="0" tabSelected="1" zoomScale="80" zoomScaleNormal="80" workbookViewId="0">
      <selection activeCell="H13" sqref="H13"/>
    </sheetView>
  </sheetViews>
  <sheetFormatPr baseColWidth="10" defaultColWidth="11.42578125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32" t="s">
        <v>204</v>
      </c>
      <c r="S1" s="3"/>
      <c r="IU1" s="2"/>
      <c r="IV1" s="2"/>
    </row>
    <row r="2" spans="1:256" s="4" customFormat="1" x14ac:dyDescent="0.2">
      <c r="A2" s="5"/>
      <c r="F2" s="32" t="s">
        <v>198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7"/>
      <c r="S4" s="2"/>
      <c r="T4" s="17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7"/>
      <c r="C5" s="482" t="s">
        <v>0</v>
      </c>
      <c r="D5" s="536"/>
      <c r="E5" s="6"/>
      <c r="F5" s="511" t="s">
        <v>121</v>
      </c>
      <c r="G5" s="512"/>
      <c r="S5" s="2"/>
      <c r="T5" s="17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7"/>
      <c r="C6" s="6"/>
      <c r="D6" s="6"/>
      <c r="E6" s="6"/>
      <c r="F6" s="32"/>
      <c r="G6" s="32"/>
      <c r="S6" s="2"/>
      <c r="T6" s="17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7"/>
      <c r="C7" s="6"/>
      <c r="D7" s="6"/>
      <c r="E7" s="6"/>
      <c r="F7" s="32"/>
      <c r="G7" s="32"/>
      <c r="S7" s="2"/>
      <c r="T7" s="17"/>
      <c r="V7" s="43"/>
      <c r="W7" s="43"/>
      <c r="IL7" s="2"/>
      <c r="IM7" s="2"/>
      <c r="IN7" s="2"/>
      <c r="IO7" s="2"/>
      <c r="IP7" s="2"/>
      <c r="IQ7" s="2"/>
    </row>
    <row r="8" spans="1:256" s="4" customFormat="1" ht="15.75" x14ac:dyDescent="0.2">
      <c r="A8" s="521" t="s">
        <v>152</v>
      </c>
      <c r="B8" s="521"/>
      <c r="C8" s="521"/>
      <c r="D8" s="521"/>
      <c r="E8" s="74"/>
      <c r="F8" s="32"/>
      <c r="G8" s="32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522" t="s">
        <v>135</v>
      </c>
      <c r="B10" s="516" t="s">
        <v>5</v>
      </c>
      <c r="C10" s="518" t="s">
        <v>244</v>
      </c>
      <c r="D10" s="519"/>
      <c r="E10" s="519"/>
      <c r="F10" s="519"/>
      <c r="G10" s="520"/>
      <c r="H10" s="531" t="s">
        <v>106</v>
      </c>
      <c r="I10" s="532"/>
      <c r="J10" s="532"/>
      <c r="K10" s="532"/>
      <c r="L10" s="533"/>
      <c r="M10" s="528" t="s">
        <v>250</v>
      </c>
      <c r="N10" s="529"/>
      <c r="O10" s="529"/>
      <c r="P10" s="529"/>
      <c r="Q10" s="530"/>
      <c r="R10" s="12"/>
    </row>
    <row r="11" spans="1:256" ht="64.5" thickBot="1" x14ac:dyDescent="0.25">
      <c r="A11" s="523"/>
      <c r="B11" s="517"/>
      <c r="C11" s="57" t="s">
        <v>85</v>
      </c>
      <c r="D11" s="58" t="s">
        <v>141</v>
      </c>
      <c r="E11" s="58" t="s">
        <v>142</v>
      </c>
      <c r="F11" s="58" t="s">
        <v>86</v>
      </c>
      <c r="G11" s="62" t="s">
        <v>87</v>
      </c>
      <c r="H11" s="63" t="s">
        <v>85</v>
      </c>
      <c r="I11" s="64" t="s">
        <v>141</v>
      </c>
      <c r="J11" s="64" t="s">
        <v>142</v>
      </c>
      <c r="K11" s="65" t="s">
        <v>86</v>
      </c>
      <c r="L11" s="66" t="s">
        <v>87</v>
      </c>
      <c r="M11" s="59" t="s">
        <v>85</v>
      </c>
      <c r="N11" s="60" t="s">
        <v>141</v>
      </c>
      <c r="O11" s="60" t="s">
        <v>142</v>
      </c>
      <c r="P11" s="60" t="s">
        <v>86</v>
      </c>
      <c r="Q11" s="61" t="s">
        <v>87</v>
      </c>
      <c r="R11" s="12"/>
    </row>
    <row r="12" spans="1:256" ht="13.5" customHeight="1" x14ac:dyDescent="0.2">
      <c r="A12" s="534" t="s">
        <v>209</v>
      </c>
      <c r="B12" s="316" t="s">
        <v>125</v>
      </c>
      <c r="C12" s="318">
        <v>95000</v>
      </c>
      <c r="D12" s="228">
        <v>128200</v>
      </c>
      <c r="E12" s="228">
        <v>132900</v>
      </c>
      <c r="F12" s="228">
        <v>182100</v>
      </c>
      <c r="G12" s="319">
        <v>220800</v>
      </c>
      <c r="H12" s="229">
        <v>0.14000000000000001</v>
      </c>
      <c r="I12" s="185">
        <f>+H12</f>
        <v>0.14000000000000001</v>
      </c>
      <c r="J12" s="185">
        <f>+H12</f>
        <v>0.14000000000000001</v>
      </c>
      <c r="K12" s="185">
        <f>+H12</f>
        <v>0.14000000000000001</v>
      </c>
      <c r="L12" s="230">
        <f>+H12</f>
        <v>0.14000000000000001</v>
      </c>
      <c r="M12" s="231">
        <f>CEILING(C12*(1+H12),100)</f>
        <v>108300</v>
      </c>
      <c r="N12" s="189">
        <f>+CEILING(C12*(1.35)*(1+I12),100)</f>
        <v>146300</v>
      </c>
      <c r="O12" s="189">
        <f>+CEILING(C12*(1.4)*(1+J12),100)</f>
        <v>151700</v>
      </c>
      <c r="P12" s="189">
        <f>+CEILING(F12*(1+K12),100)</f>
        <v>207600</v>
      </c>
      <c r="Q12" s="129">
        <f>+CEILING(G12*(1+L12),100)</f>
        <v>251800</v>
      </c>
      <c r="R12" s="53"/>
    </row>
    <row r="13" spans="1:256" ht="13.5" customHeight="1" thickBot="1" x14ac:dyDescent="0.25">
      <c r="A13" s="535"/>
      <c r="B13" s="317" t="s">
        <v>210</v>
      </c>
      <c r="C13" s="320">
        <v>124700</v>
      </c>
      <c r="D13" s="232">
        <v>168400</v>
      </c>
      <c r="E13" s="232">
        <v>174600</v>
      </c>
      <c r="F13" s="232">
        <v>224400</v>
      </c>
      <c r="G13" s="321">
        <v>269100</v>
      </c>
      <c r="H13" s="186">
        <v>0.14000000000000001</v>
      </c>
      <c r="I13" s="187">
        <f>+H13</f>
        <v>0.14000000000000001</v>
      </c>
      <c r="J13" s="187">
        <f>+H13</f>
        <v>0.14000000000000001</v>
      </c>
      <c r="K13" s="187">
        <f>+H13</f>
        <v>0.14000000000000001</v>
      </c>
      <c r="L13" s="188">
        <f>+H13</f>
        <v>0.14000000000000001</v>
      </c>
      <c r="M13" s="130">
        <f>CEILING(C13*(1+H13),100)</f>
        <v>142200</v>
      </c>
      <c r="N13" s="131">
        <f>+CEILING(C13*(1.35)*(1+I13),100)</f>
        <v>192000</v>
      </c>
      <c r="O13" s="131">
        <f>+CEILING(C13*(1.4)*(1+J13),100)</f>
        <v>199100</v>
      </c>
      <c r="P13" s="131">
        <f>+CEILING(F13*(1+K13),100)</f>
        <v>255900</v>
      </c>
      <c r="Q13" s="132">
        <f>+CEILING(G13*(1+L13),100)</f>
        <v>306800</v>
      </c>
      <c r="R13" s="53"/>
    </row>
    <row r="14" spans="1:256" ht="12.75" customHeight="1" x14ac:dyDescent="0.2"/>
    <row r="17" spans="1:8" x14ac:dyDescent="0.2">
      <c r="D17" s="81"/>
    </row>
    <row r="18" spans="1:8" ht="15.75" x14ac:dyDescent="0.2">
      <c r="A18" s="521" t="s">
        <v>153</v>
      </c>
      <c r="B18" s="521"/>
      <c r="C18" s="521"/>
      <c r="D18" s="521"/>
      <c r="E18" s="521"/>
      <c r="F18" s="521"/>
      <c r="G18" s="4"/>
      <c r="H18" s="4"/>
    </row>
    <row r="19" spans="1:8" ht="13.5" thickBot="1" x14ac:dyDescent="0.25"/>
    <row r="20" spans="1:8" ht="16.5" thickBot="1" x14ac:dyDescent="0.25">
      <c r="A20" s="526" t="s">
        <v>135</v>
      </c>
      <c r="B20" s="524" t="s">
        <v>5</v>
      </c>
      <c r="C20" s="513" t="s">
        <v>251</v>
      </c>
      <c r="D20" s="514"/>
      <c r="E20" s="514"/>
      <c r="F20" s="514"/>
      <c r="G20" s="514"/>
      <c r="H20" s="515"/>
    </row>
    <row r="21" spans="1:8" ht="64.5" thickBot="1" x14ac:dyDescent="0.25">
      <c r="A21" s="527"/>
      <c r="B21" s="525"/>
      <c r="C21" s="67" t="s">
        <v>85</v>
      </c>
      <c r="D21" s="68" t="s">
        <v>141</v>
      </c>
      <c r="E21" s="68" t="s">
        <v>142</v>
      </c>
      <c r="F21" s="68" t="s">
        <v>86</v>
      </c>
      <c r="G21" s="69" t="s">
        <v>87</v>
      </c>
      <c r="H21" s="70" t="s">
        <v>134</v>
      </c>
    </row>
    <row r="22" spans="1:8" ht="20.100000000000001" customHeight="1" x14ac:dyDescent="0.2">
      <c r="A22" s="509" t="str">
        <f>+A12</f>
        <v>Jardín Infantil Pequeños Colonos</v>
      </c>
      <c r="B22" s="183" t="str">
        <f>+B12</f>
        <v>Media jornada</v>
      </c>
      <c r="C22" s="310">
        <v>3</v>
      </c>
      <c r="D22" s="80"/>
      <c r="E22" s="80"/>
      <c r="F22" s="80"/>
      <c r="G22" s="311"/>
      <c r="H22" s="308">
        <f>SUM(C22:G22)</f>
        <v>3</v>
      </c>
    </row>
    <row r="23" spans="1:8" ht="20.100000000000001" customHeight="1" thickBot="1" x14ac:dyDescent="0.25">
      <c r="A23" s="510"/>
      <c r="B23" s="184" t="str">
        <f>+B13</f>
        <v>Doble Jornada</v>
      </c>
      <c r="C23" s="312">
        <v>7</v>
      </c>
      <c r="D23" s="233"/>
      <c r="E23" s="233"/>
      <c r="F23" s="233"/>
      <c r="G23" s="313"/>
      <c r="H23" s="309">
        <f>SUM(C23:G23)</f>
        <v>7</v>
      </c>
    </row>
    <row r="24" spans="1:8" ht="13.5" thickBot="1" x14ac:dyDescent="0.25">
      <c r="H24" s="299">
        <f>SUM(H22:H23)</f>
        <v>10</v>
      </c>
    </row>
  </sheetData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93"/>
  <sheetViews>
    <sheetView showGridLines="0" zoomScale="80" zoomScaleNormal="80" workbookViewId="0">
      <selection activeCell="D51" sqref="D51"/>
    </sheetView>
  </sheetViews>
  <sheetFormatPr baseColWidth="10" defaultColWidth="11.42578125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18" customWidth="1"/>
    <col min="7" max="7" width="14.28515625" style="4" customWidth="1"/>
    <col min="8" max="8" width="23" style="4" customWidth="1"/>
    <col min="9" max="9" width="11.42578125" style="2"/>
    <col min="10" max="10" width="24.28515625" style="2" customWidth="1"/>
    <col min="11" max="11" width="14.42578125" style="2" customWidth="1"/>
    <col min="12" max="12" width="13.5703125" style="2" customWidth="1"/>
    <col min="13" max="13" width="13.7109375" style="2" customWidth="1"/>
    <col min="14" max="14" width="12.85546875" style="2" bestFit="1" customWidth="1"/>
    <col min="15" max="16384" width="11.42578125" style="2"/>
  </cols>
  <sheetData>
    <row r="1" spans="1:8" x14ac:dyDescent="0.2">
      <c r="C1" s="32"/>
      <c r="D1" s="32" t="s">
        <v>205</v>
      </c>
      <c r="E1" s="32"/>
      <c r="F1" s="32"/>
      <c r="G1" s="32"/>
      <c r="H1" s="32"/>
    </row>
    <row r="2" spans="1:8" x14ac:dyDescent="0.2">
      <c r="C2" s="32"/>
      <c r="D2" s="32" t="s">
        <v>211</v>
      </c>
      <c r="E2" s="32"/>
      <c r="F2" s="32"/>
      <c r="G2" s="32"/>
      <c r="H2" s="32"/>
    </row>
    <row r="3" spans="1:8" x14ac:dyDescent="0.2">
      <c r="C3" s="32"/>
      <c r="E3" s="32"/>
      <c r="F3" s="32"/>
      <c r="G3" s="32"/>
      <c r="H3" s="32"/>
    </row>
    <row r="4" spans="1:8" ht="19.5" customHeight="1" x14ac:dyDescent="0.2">
      <c r="C4" s="6" t="s">
        <v>0</v>
      </c>
      <c r="D4" s="542" t="s">
        <v>154</v>
      </c>
      <c r="E4" s="543"/>
      <c r="F4" s="32"/>
      <c r="G4" s="32"/>
      <c r="H4" s="32"/>
    </row>
    <row r="5" spans="1:8" x14ac:dyDescent="0.2">
      <c r="B5" s="32"/>
      <c r="C5" s="32"/>
      <c r="D5" s="32"/>
      <c r="E5" s="32"/>
      <c r="F5" s="32"/>
      <c r="G5" s="32"/>
      <c r="H5" s="32"/>
    </row>
    <row r="6" spans="1:8" x14ac:dyDescent="0.2">
      <c r="B6" s="32"/>
      <c r="C6" s="32"/>
      <c r="D6" s="32"/>
      <c r="E6" s="32"/>
      <c r="F6" s="32"/>
      <c r="G6" s="32"/>
      <c r="H6" s="32"/>
    </row>
    <row r="7" spans="1:8" x14ac:dyDescent="0.2">
      <c r="C7" s="4"/>
    </row>
    <row r="8" spans="1:8" ht="15.75" x14ac:dyDescent="0.2">
      <c r="A8" s="521" t="s">
        <v>155</v>
      </c>
      <c r="B8" s="521"/>
      <c r="C8" s="521"/>
      <c r="D8" s="32"/>
      <c r="G8" s="2"/>
    </row>
    <row r="10" spans="1:8" ht="12.75" customHeight="1" x14ac:dyDescent="0.2">
      <c r="A10" s="544" t="s">
        <v>112</v>
      </c>
      <c r="B10" s="552" t="s">
        <v>75</v>
      </c>
      <c r="C10" s="550" t="s">
        <v>76</v>
      </c>
      <c r="D10" s="547" t="s">
        <v>77</v>
      </c>
      <c r="E10" s="546" t="s">
        <v>78</v>
      </c>
      <c r="F10" s="546"/>
      <c r="G10" s="546"/>
      <c r="H10" s="548" t="s">
        <v>252</v>
      </c>
    </row>
    <row r="11" spans="1:8" ht="25.5" x14ac:dyDescent="0.2">
      <c r="A11" s="545"/>
      <c r="B11" s="553"/>
      <c r="C11" s="551"/>
      <c r="D11" s="547"/>
      <c r="E11" s="120" t="s">
        <v>67</v>
      </c>
      <c r="F11" s="121" t="s">
        <v>68</v>
      </c>
      <c r="G11" s="122" t="s">
        <v>6</v>
      </c>
      <c r="H11" s="549"/>
    </row>
    <row r="12" spans="1:8" ht="15.75" customHeight="1" x14ac:dyDescent="0.2">
      <c r="A12" s="539" t="str">
        <f>+'B) Reajuste Tarifas y Ocupación'!A12</f>
        <v>Jardín Infantil Pequeños Colonos</v>
      </c>
      <c r="B12" s="266"/>
      <c r="C12" s="267" t="s">
        <v>11</v>
      </c>
      <c r="D12" s="117">
        <f>SUM(D13,D18)</f>
        <v>2444103</v>
      </c>
      <c r="E12" s="262"/>
      <c r="F12" s="262"/>
      <c r="G12" s="123">
        <f>SUM(G13,G18)</f>
        <v>0</v>
      </c>
      <c r="H12" s="115">
        <f>SUM(H13,H18)</f>
        <v>2444103</v>
      </c>
    </row>
    <row r="13" spans="1:8" x14ac:dyDescent="0.2">
      <c r="A13" s="540"/>
      <c r="B13" s="268"/>
      <c r="C13" s="269" t="s">
        <v>12</v>
      </c>
      <c r="D13" s="109">
        <f>SUM(D14:D17)</f>
        <v>0</v>
      </c>
      <c r="E13" s="263"/>
      <c r="F13" s="263"/>
      <c r="G13" s="124">
        <f>SUM(G14:G17)</f>
        <v>0</v>
      </c>
      <c r="H13" s="111">
        <f>SUM(H14:H17)</f>
        <v>0</v>
      </c>
    </row>
    <row r="14" spans="1:8" x14ac:dyDescent="0.2">
      <c r="A14" s="540"/>
      <c r="B14" s="270">
        <v>53103040100000</v>
      </c>
      <c r="C14" s="271" t="s">
        <v>93</v>
      </c>
      <c r="D14" s="272">
        <f>+'F) Remuneraciones'!M23</f>
        <v>0</v>
      </c>
      <c r="E14" s="273">
        <v>0</v>
      </c>
      <c r="F14" s="274">
        <v>0</v>
      </c>
      <c r="G14" s="116">
        <f>E14*F14</f>
        <v>0</v>
      </c>
      <c r="H14" s="110">
        <f>D14+G14</f>
        <v>0</v>
      </c>
    </row>
    <row r="15" spans="1:8" x14ac:dyDescent="0.2">
      <c r="A15" s="540"/>
      <c r="B15" s="270">
        <v>53103050000000</v>
      </c>
      <c r="C15" s="271" t="s">
        <v>174</v>
      </c>
      <c r="D15" s="106">
        <v>0</v>
      </c>
      <c r="E15" s="108">
        <v>0</v>
      </c>
      <c r="F15" s="107">
        <v>0</v>
      </c>
      <c r="G15" s="116">
        <f>E15*F15</f>
        <v>0</v>
      </c>
      <c r="H15" s="110">
        <f>D15+G15</f>
        <v>0</v>
      </c>
    </row>
    <row r="16" spans="1:8" x14ac:dyDescent="0.2">
      <c r="A16" s="540"/>
      <c r="B16" s="275">
        <v>53103040400000</v>
      </c>
      <c r="C16" s="276" t="s">
        <v>175</v>
      </c>
      <c r="D16" s="106">
        <v>0</v>
      </c>
      <c r="E16" s="108">
        <v>0</v>
      </c>
      <c r="F16" s="107">
        <v>0</v>
      </c>
      <c r="G16" s="116">
        <f>E16*F16</f>
        <v>0</v>
      </c>
      <c r="H16" s="110">
        <f>D16+G16</f>
        <v>0</v>
      </c>
    </row>
    <row r="17" spans="1:8" x14ac:dyDescent="0.2">
      <c r="A17" s="540"/>
      <c r="B17" s="270">
        <v>53103080010000</v>
      </c>
      <c r="C17" s="271" t="s">
        <v>176</v>
      </c>
      <c r="D17" s="106">
        <v>0</v>
      </c>
      <c r="E17" s="108">
        <v>0</v>
      </c>
      <c r="F17" s="107">
        <v>0</v>
      </c>
      <c r="G17" s="116">
        <f>E17*F17</f>
        <v>0</v>
      </c>
      <c r="H17" s="110">
        <f>D17+G17</f>
        <v>0</v>
      </c>
    </row>
    <row r="18" spans="1:8" x14ac:dyDescent="0.2">
      <c r="A18" s="540"/>
      <c r="B18" s="268"/>
      <c r="C18" s="269" t="s">
        <v>16</v>
      </c>
      <c r="D18" s="109">
        <f>SUM(D19:D38)</f>
        <v>2444103</v>
      </c>
      <c r="E18" s="263"/>
      <c r="F18" s="263"/>
      <c r="G18" s="109">
        <f>SUM(G19:G38)</f>
        <v>0</v>
      </c>
      <c r="H18" s="111">
        <f>SUM(H19:H38)</f>
        <v>2444103</v>
      </c>
    </row>
    <row r="19" spans="1:8" x14ac:dyDescent="0.2">
      <c r="A19" s="540"/>
      <c r="B19" s="270">
        <v>53201010100000</v>
      </c>
      <c r="C19" s="277" t="s">
        <v>177</v>
      </c>
      <c r="D19" s="106">
        <v>0</v>
      </c>
      <c r="E19" s="108">
        <v>0</v>
      </c>
      <c r="F19" s="107">
        <v>0</v>
      </c>
      <c r="G19" s="116">
        <f t="shared" ref="G19:G38" si="0">E19*F19</f>
        <v>0</v>
      </c>
      <c r="H19" s="110">
        <f t="shared" ref="H19:H38" si="1">D19+G19</f>
        <v>0</v>
      </c>
    </row>
    <row r="20" spans="1:8" x14ac:dyDescent="0.2">
      <c r="A20" s="540"/>
      <c r="B20" s="270">
        <v>53201010100000</v>
      </c>
      <c r="C20" s="277" t="s">
        <v>178</v>
      </c>
      <c r="D20" s="106">
        <v>50000</v>
      </c>
      <c r="E20" s="108">
        <v>0</v>
      </c>
      <c r="F20" s="107">
        <v>0</v>
      </c>
      <c r="G20" s="116">
        <f t="shared" ref="G20:G21" si="2">E20*F20</f>
        <v>0</v>
      </c>
      <c r="H20" s="110">
        <f t="shared" ref="H20:H21" si="3">D20+G20</f>
        <v>50000</v>
      </c>
    </row>
    <row r="21" spans="1:8" x14ac:dyDescent="0.2">
      <c r="A21" s="540"/>
      <c r="B21" s="270">
        <v>53201010100000</v>
      </c>
      <c r="C21" s="277" t="s">
        <v>179</v>
      </c>
      <c r="D21" s="106">
        <v>0</v>
      </c>
      <c r="E21" s="108">
        <v>0</v>
      </c>
      <c r="F21" s="107">
        <v>0</v>
      </c>
      <c r="G21" s="116">
        <f t="shared" si="2"/>
        <v>0</v>
      </c>
      <c r="H21" s="110">
        <f t="shared" si="3"/>
        <v>0</v>
      </c>
    </row>
    <row r="22" spans="1:8" x14ac:dyDescent="0.2">
      <c r="A22" s="540"/>
      <c r="B22" s="270">
        <v>53202010100000</v>
      </c>
      <c r="C22" s="271" t="s">
        <v>180</v>
      </c>
      <c r="D22" s="106">
        <v>40000</v>
      </c>
      <c r="E22" s="108">
        <v>0</v>
      </c>
      <c r="F22" s="107">
        <v>0</v>
      </c>
      <c r="G22" s="116">
        <f t="shared" si="0"/>
        <v>0</v>
      </c>
      <c r="H22" s="110">
        <f t="shared" si="1"/>
        <v>40000</v>
      </c>
    </row>
    <row r="23" spans="1:8" x14ac:dyDescent="0.2">
      <c r="A23" s="540"/>
      <c r="B23" s="270">
        <v>53203010100000</v>
      </c>
      <c r="C23" s="271" t="s">
        <v>19</v>
      </c>
      <c r="D23" s="259">
        <v>0</v>
      </c>
      <c r="E23" s="260">
        <v>0</v>
      </c>
      <c r="F23" s="261">
        <v>0</v>
      </c>
      <c r="G23" s="116">
        <f t="shared" si="0"/>
        <v>0</v>
      </c>
      <c r="H23" s="110">
        <f t="shared" si="1"/>
        <v>0</v>
      </c>
    </row>
    <row r="24" spans="1:8" x14ac:dyDescent="0.2">
      <c r="A24" s="540"/>
      <c r="B24" s="270">
        <v>53203030000000</v>
      </c>
      <c r="C24" s="271" t="s">
        <v>181</v>
      </c>
      <c r="D24" s="259">
        <v>0</v>
      </c>
      <c r="E24" s="260">
        <v>0</v>
      </c>
      <c r="F24" s="261">
        <v>0</v>
      </c>
      <c r="G24" s="116">
        <f t="shared" si="0"/>
        <v>0</v>
      </c>
      <c r="H24" s="110">
        <f t="shared" si="1"/>
        <v>0</v>
      </c>
    </row>
    <row r="25" spans="1:8" x14ac:dyDescent="0.2">
      <c r="A25" s="540"/>
      <c r="B25" s="270">
        <v>53204030000000</v>
      </c>
      <c r="C25" s="271" t="s">
        <v>214</v>
      </c>
      <c r="D25" s="259">
        <v>0</v>
      </c>
      <c r="E25" s="260">
        <v>0</v>
      </c>
      <c r="F25" s="261">
        <v>0</v>
      </c>
      <c r="G25" s="116">
        <f t="shared" si="0"/>
        <v>0</v>
      </c>
      <c r="H25" s="110">
        <f>D25+G25</f>
        <v>0</v>
      </c>
    </row>
    <row r="26" spans="1:8" x14ac:dyDescent="0.2">
      <c r="A26" s="540"/>
      <c r="B26" s="270">
        <v>53204100100001</v>
      </c>
      <c r="C26" s="271" t="s">
        <v>22</v>
      </c>
      <c r="D26" s="259">
        <v>320000</v>
      </c>
      <c r="E26" s="260">
        <v>0</v>
      </c>
      <c r="F26" s="261">
        <v>0</v>
      </c>
      <c r="G26" s="116">
        <f t="shared" si="0"/>
        <v>0</v>
      </c>
      <c r="H26" s="110">
        <f t="shared" si="1"/>
        <v>320000</v>
      </c>
    </row>
    <row r="27" spans="1:8" x14ac:dyDescent="0.2">
      <c r="A27" s="540"/>
      <c r="B27" s="270">
        <v>53204130100000</v>
      </c>
      <c r="C27" s="271" t="s">
        <v>183</v>
      </c>
      <c r="D27" s="259">
        <v>0</v>
      </c>
      <c r="E27" s="260">
        <v>0</v>
      </c>
      <c r="F27" s="261">
        <v>0</v>
      </c>
      <c r="G27" s="116">
        <f t="shared" si="0"/>
        <v>0</v>
      </c>
      <c r="H27" s="110">
        <f t="shared" si="1"/>
        <v>0</v>
      </c>
    </row>
    <row r="28" spans="1:8" x14ac:dyDescent="0.2">
      <c r="A28" s="540"/>
      <c r="B28" s="270">
        <v>53205010100000</v>
      </c>
      <c r="C28" s="271" t="s">
        <v>24</v>
      </c>
      <c r="D28" s="259">
        <v>568083</v>
      </c>
      <c r="E28" s="260">
        <v>0</v>
      </c>
      <c r="F28" s="261">
        <v>0</v>
      </c>
      <c r="G28" s="116">
        <f t="shared" si="0"/>
        <v>0</v>
      </c>
      <c r="H28" s="110">
        <f t="shared" si="1"/>
        <v>568083</v>
      </c>
    </row>
    <row r="29" spans="1:8" x14ac:dyDescent="0.2">
      <c r="A29" s="540"/>
      <c r="B29" s="270">
        <v>53205020100000</v>
      </c>
      <c r="C29" s="271" t="s">
        <v>25</v>
      </c>
      <c r="D29" s="259">
        <v>286020</v>
      </c>
      <c r="E29" s="260">
        <v>0</v>
      </c>
      <c r="F29" s="261">
        <v>0</v>
      </c>
      <c r="G29" s="116">
        <f t="shared" si="0"/>
        <v>0</v>
      </c>
      <c r="H29" s="110">
        <f t="shared" si="1"/>
        <v>286020</v>
      </c>
    </row>
    <row r="30" spans="1:8" x14ac:dyDescent="0.2">
      <c r="A30" s="540"/>
      <c r="B30" s="270">
        <v>53205030100000</v>
      </c>
      <c r="C30" s="271" t="s">
        <v>26</v>
      </c>
      <c r="D30" s="259">
        <v>250000</v>
      </c>
      <c r="E30" s="260">
        <v>0</v>
      </c>
      <c r="F30" s="261">
        <v>0</v>
      </c>
      <c r="G30" s="116">
        <f t="shared" si="0"/>
        <v>0</v>
      </c>
      <c r="H30" s="110">
        <f t="shared" si="1"/>
        <v>250000</v>
      </c>
    </row>
    <row r="31" spans="1:8" x14ac:dyDescent="0.2">
      <c r="A31" s="540"/>
      <c r="B31" s="270">
        <v>53205050100000</v>
      </c>
      <c r="C31" s="271" t="s">
        <v>27</v>
      </c>
      <c r="D31" s="259">
        <v>0</v>
      </c>
      <c r="E31" s="260">
        <v>0</v>
      </c>
      <c r="F31" s="261">
        <v>0</v>
      </c>
      <c r="G31" s="116">
        <f t="shared" si="0"/>
        <v>0</v>
      </c>
      <c r="H31" s="110">
        <f t="shared" si="1"/>
        <v>0</v>
      </c>
    </row>
    <row r="32" spans="1:8" x14ac:dyDescent="0.2">
      <c r="A32" s="540"/>
      <c r="B32" s="270">
        <v>53205070100000</v>
      </c>
      <c r="C32" s="271" t="s">
        <v>29</v>
      </c>
      <c r="D32" s="259">
        <v>630000</v>
      </c>
      <c r="E32" s="260">
        <v>0</v>
      </c>
      <c r="F32" s="261">
        <v>0</v>
      </c>
      <c r="G32" s="116">
        <f t="shared" si="0"/>
        <v>0</v>
      </c>
      <c r="H32" s="110">
        <f t="shared" si="1"/>
        <v>630000</v>
      </c>
    </row>
    <row r="33" spans="1:8" x14ac:dyDescent="0.2">
      <c r="A33" s="540"/>
      <c r="B33" s="270">
        <v>53208010100000</v>
      </c>
      <c r="C33" s="271" t="s">
        <v>30</v>
      </c>
      <c r="D33" s="259">
        <v>0</v>
      </c>
      <c r="E33" s="260">
        <v>0</v>
      </c>
      <c r="F33" s="261">
        <v>0</v>
      </c>
      <c r="G33" s="116">
        <f t="shared" si="0"/>
        <v>0</v>
      </c>
      <c r="H33" s="110">
        <f t="shared" si="1"/>
        <v>0</v>
      </c>
    </row>
    <row r="34" spans="1:8" x14ac:dyDescent="0.2">
      <c r="A34" s="540"/>
      <c r="B34" s="270">
        <v>53208070100001</v>
      </c>
      <c r="C34" s="271" t="s">
        <v>31</v>
      </c>
      <c r="D34" s="106">
        <v>0</v>
      </c>
      <c r="E34" s="108">
        <v>0</v>
      </c>
      <c r="F34" s="107">
        <v>0</v>
      </c>
      <c r="G34" s="116">
        <f t="shared" si="0"/>
        <v>0</v>
      </c>
      <c r="H34" s="110">
        <f t="shared" si="1"/>
        <v>0</v>
      </c>
    </row>
    <row r="35" spans="1:8" x14ac:dyDescent="0.2">
      <c r="A35" s="540"/>
      <c r="B35" s="270">
        <v>53208100100001</v>
      </c>
      <c r="C35" s="271" t="s">
        <v>184</v>
      </c>
      <c r="D35" s="259">
        <v>0</v>
      </c>
      <c r="E35" s="260">
        <v>0</v>
      </c>
      <c r="F35" s="261">
        <v>0</v>
      </c>
      <c r="G35" s="116">
        <f t="shared" si="0"/>
        <v>0</v>
      </c>
      <c r="H35" s="110">
        <f t="shared" si="1"/>
        <v>0</v>
      </c>
    </row>
    <row r="36" spans="1:8" x14ac:dyDescent="0.2">
      <c r="A36" s="540"/>
      <c r="B36" s="270">
        <v>53211030000000</v>
      </c>
      <c r="C36" s="271" t="s">
        <v>32</v>
      </c>
      <c r="D36" s="259">
        <v>0</v>
      </c>
      <c r="E36" s="260">
        <v>0</v>
      </c>
      <c r="F36" s="261">
        <v>0</v>
      </c>
      <c r="G36" s="116">
        <f t="shared" si="0"/>
        <v>0</v>
      </c>
      <c r="H36" s="110">
        <f t="shared" si="1"/>
        <v>0</v>
      </c>
    </row>
    <row r="37" spans="1:8" x14ac:dyDescent="0.2">
      <c r="A37" s="540"/>
      <c r="B37" s="270">
        <v>53212020100000</v>
      </c>
      <c r="C37" s="271" t="s">
        <v>185</v>
      </c>
      <c r="D37" s="259">
        <v>300000</v>
      </c>
      <c r="E37" s="260">
        <v>0</v>
      </c>
      <c r="F37" s="261">
        <v>0</v>
      </c>
      <c r="G37" s="116">
        <f t="shared" si="0"/>
        <v>0</v>
      </c>
      <c r="H37" s="110">
        <f t="shared" si="1"/>
        <v>300000</v>
      </c>
    </row>
    <row r="38" spans="1:8" x14ac:dyDescent="0.2">
      <c r="A38" s="540"/>
      <c r="B38" s="270">
        <v>53214020000000</v>
      </c>
      <c r="C38" s="271" t="s">
        <v>186</v>
      </c>
      <c r="D38" s="106">
        <v>0</v>
      </c>
      <c r="E38" s="108">
        <v>0</v>
      </c>
      <c r="F38" s="107">
        <v>0</v>
      </c>
      <c r="G38" s="116">
        <f t="shared" si="0"/>
        <v>0</v>
      </c>
      <c r="H38" s="110">
        <f t="shared" si="1"/>
        <v>0</v>
      </c>
    </row>
    <row r="39" spans="1:8" ht="15.75" customHeight="1" x14ac:dyDescent="0.2">
      <c r="A39" s="540"/>
      <c r="B39" s="266"/>
      <c r="C39" s="267" t="s">
        <v>34</v>
      </c>
      <c r="D39" s="117">
        <f>+D40+D45+D47+D56+D65+D73</f>
        <v>6331952</v>
      </c>
      <c r="E39" s="262"/>
      <c r="F39" s="262"/>
      <c r="G39" s="117">
        <f>SUM(G40,G45,G47,G56,G65,G73)</f>
        <v>63260</v>
      </c>
      <c r="H39" s="112">
        <f>SUM(H40,H45,H47,H56,H65,H73)</f>
        <v>6395212</v>
      </c>
    </row>
    <row r="40" spans="1:8" x14ac:dyDescent="0.2">
      <c r="A40" s="540"/>
      <c r="B40" s="268"/>
      <c r="C40" s="269" t="s">
        <v>35</v>
      </c>
      <c r="D40" s="109">
        <f>SUM(D41:D44)</f>
        <v>0</v>
      </c>
      <c r="E40" s="263"/>
      <c r="F40" s="263"/>
      <c r="G40" s="118">
        <f>SUM(G41:G44)</f>
        <v>0</v>
      </c>
      <c r="H40" s="113">
        <f>SUM(H41:H44)</f>
        <v>0</v>
      </c>
    </row>
    <row r="41" spans="1:8" x14ac:dyDescent="0.2">
      <c r="A41" s="540"/>
      <c r="B41" s="270">
        <v>53202020100000</v>
      </c>
      <c r="C41" s="271" t="s">
        <v>187</v>
      </c>
      <c r="D41" s="106">
        <v>0</v>
      </c>
      <c r="E41" s="108">
        <v>0</v>
      </c>
      <c r="F41" s="107">
        <v>0</v>
      </c>
      <c r="G41" s="116">
        <f>E41*F41</f>
        <v>0</v>
      </c>
      <c r="H41" s="110">
        <f t="shared" ref="H41:H74" si="4">D41+G41</f>
        <v>0</v>
      </c>
    </row>
    <row r="42" spans="1:8" x14ac:dyDescent="0.2">
      <c r="A42" s="540"/>
      <c r="B42" s="270">
        <v>53202030000000</v>
      </c>
      <c r="C42" s="271" t="s">
        <v>188</v>
      </c>
      <c r="D42" s="106">
        <v>0</v>
      </c>
      <c r="E42" s="108">
        <v>0</v>
      </c>
      <c r="F42" s="107">
        <v>0</v>
      </c>
      <c r="G42" s="116">
        <f t="shared" ref="G42:G74" si="5">E42*F42</f>
        <v>0</v>
      </c>
      <c r="H42" s="110">
        <f t="shared" si="4"/>
        <v>0</v>
      </c>
    </row>
    <row r="43" spans="1:8" x14ac:dyDescent="0.2">
      <c r="A43" s="540"/>
      <c r="B43" s="270">
        <v>53211020000000</v>
      </c>
      <c r="C43" s="271" t="s">
        <v>41</v>
      </c>
      <c r="D43" s="259">
        <v>0</v>
      </c>
      <c r="E43" s="260">
        <v>0</v>
      </c>
      <c r="F43" s="261">
        <v>0</v>
      </c>
      <c r="G43" s="116">
        <f t="shared" si="5"/>
        <v>0</v>
      </c>
      <c r="H43" s="110">
        <f t="shared" si="4"/>
        <v>0</v>
      </c>
    </row>
    <row r="44" spans="1:8" x14ac:dyDescent="0.2">
      <c r="A44" s="540"/>
      <c r="B44" s="270">
        <v>53101040600000</v>
      </c>
      <c r="C44" s="271" t="s">
        <v>189</v>
      </c>
      <c r="D44" s="259">
        <v>0</v>
      </c>
      <c r="E44" s="260">
        <v>0</v>
      </c>
      <c r="F44" s="261">
        <v>0</v>
      </c>
      <c r="G44" s="116">
        <f t="shared" si="5"/>
        <v>0</v>
      </c>
      <c r="H44" s="110">
        <f t="shared" si="4"/>
        <v>0</v>
      </c>
    </row>
    <row r="45" spans="1:8" x14ac:dyDescent="0.2">
      <c r="A45" s="540"/>
      <c r="B45" s="268"/>
      <c r="C45" s="269" t="s">
        <v>42</v>
      </c>
      <c r="D45" s="109">
        <f>SUM(D46:D46)</f>
        <v>0</v>
      </c>
      <c r="E45" s="263"/>
      <c r="F45" s="263"/>
      <c r="G45" s="118">
        <f>SUM(G46:G46)</f>
        <v>0</v>
      </c>
      <c r="H45" s="113">
        <f>SUM(H46:H46)</f>
        <v>0</v>
      </c>
    </row>
    <row r="46" spans="1:8" x14ac:dyDescent="0.2">
      <c r="A46" s="540"/>
      <c r="B46" s="278">
        <v>53205990000000</v>
      </c>
      <c r="C46" s="271" t="s">
        <v>44</v>
      </c>
      <c r="D46" s="259">
        <v>0</v>
      </c>
      <c r="E46" s="260">
        <v>0</v>
      </c>
      <c r="F46" s="261">
        <v>0</v>
      </c>
      <c r="G46" s="116">
        <f t="shared" si="5"/>
        <v>0</v>
      </c>
      <c r="H46" s="110">
        <f t="shared" si="4"/>
        <v>0</v>
      </c>
    </row>
    <row r="47" spans="1:8" x14ac:dyDescent="0.2">
      <c r="A47" s="540"/>
      <c r="B47" s="268"/>
      <c r="C47" s="269" t="s">
        <v>45</v>
      </c>
      <c r="D47" s="109">
        <f>SUM(D48:D55)</f>
        <v>1350570</v>
      </c>
      <c r="E47" s="263"/>
      <c r="F47" s="263"/>
      <c r="G47" s="109">
        <f>SUM(G48:G55)</f>
        <v>0</v>
      </c>
      <c r="H47" s="111">
        <f>SUM(H48:H55)</f>
        <v>1350570</v>
      </c>
    </row>
    <row r="48" spans="1:8" x14ac:dyDescent="0.2">
      <c r="A48" s="540"/>
      <c r="B48" s="270">
        <v>53204010000000</v>
      </c>
      <c r="C48" s="271" t="s">
        <v>47</v>
      </c>
      <c r="D48" s="259">
        <v>250320</v>
      </c>
      <c r="E48" s="259">
        <v>0</v>
      </c>
      <c r="F48" s="261">
        <v>0</v>
      </c>
      <c r="G48" s="116">
        <f t="shared" si="5"/>
        <v>0</v>
      </c>
      <c r="H48" s="110">
        <f t="shared" si="4"/>
        <v>250320</v>
      </c>
    </row>
    <row r="49" spans="1:8" x14ac:dyDescent="0.2">
      <c r="A49" s="540"/>
      <c r="B49" s="278">
        <v>53204040200000</v>
      </c>
      <c r="C49" s="271" t="s">
        <v>215</v>
      </c>
      <c r="D49" s="259">
        <v>80000</v>
      </c>
      <c r="E49" s="259">
        <v>0</v>
      </c>
      <c r="F49" s="261">
        <v>0</v>
      </c>
      <c r="G49" s="116">
        <f t="shared" si="5"/>
        <v>0</v>
      </c>
      <c r="H49" s="110">
        <f t="shared" si="4"/>
        <v>80000</v>
      </c>
    </row>
    <row r="50" spans="1:8" x14ac:dyDescent="0.2">
      <c r="A50" s="540"/>
      <c r="B50" s="270">
        <v>53204060000000</v>
      </c>
      <c r="C50" s="271" t="s">
        <v>49</v>
      </c>
      <c r="D50" s="259">
        <v>140000</v>
      </c>
      <c r="E50" s="259">
        <v>0</v>
      </c>
      <c r="F50" s="261">
        <v>0</v>
      </c>
      <c r="G50" s="116">
        <f t="shared" si="5"/>
        <v>0</v>
      </c>
      <c r="H50" s="110">
        <f t="shared" si="4"/>
        <v>140000</v>
      </c>
    </row>
    <row r="51" spans="1:8" x14ac:dyDescent="0.2">
      <c r="A51" s="540"/>
      <c r="B51" s="270">
        <v>53204070000000</v>
      </c>
      <c r="C51" s="271" t="s">
        <v>50</v>
      </c>
      <c r="D51" s="259">
        <v>830250</v>
      </c>
      <c r="E51" s="259">
        <v>0</v>
      </c>
      <c r="F51" s="261">
        <v>0</v>
      </c>
      <c r="G51" s="116">
        <f t="shared" si="5"/>
        <v>0</v>
      </c>
      <c r="H51" s="110">
        <f t="shared" si="4"/>
        <v>830250</v>
      </c>
    </row>
    <row r="52" spans="1:8" x14ac:dyDescent="0.2">
      <c r="A52" s="540"/>
      <c r="B52" s="270">
        <v>53204080000000</v>
      </c>
      <c r="C52" s="271" t="s">
        <v>51</v>
      </c>
      <c r="D52" s="259">
        <v>50000</v>
      </c>
      <c r="E52" s="259">
        <v>0</v>
      </c>
      <c r="F52" s="261">
        <v>0</v>
      </c>
      <c r="G52" s="116">
        <f t="shared" si="5"/>
        <v>0</v>
      </c>
      <c r="H52" s="110">
        <f t="shared" si="4"/>
        <v>50000</v>
      </c>
    </row>
    <row r="53" spans="1:8" x14ac:dyDescent="0.2">
      <c r="A53" s="540"/>
      <c r="B53" s="270">
        <v>53214010000000</v>
      </c>
      <c r="C53" s="271" t="s">
        <v>52</v>
      </c>
      <c r="D53" s="106">
        <v>0</v>
      </c>
      <c r="E53" s="106">
        <v>0</v>
      </c>
      <c r="F53" s="107">
        <v>0</v>
      </c>
      <c r="G53" s="116">
        <f t="shared" si="5"/>
        <v>0</v>
      </c>
      <c r="H53" s="110">
        <f t="shared" si="4"/>
        <v>0</v>
      </c>
    </row>
    <row r="54" spans="1:8" x14ac:dyDescent="0.2">
      <c r="A54" s="540"/>
      <c r="B54" s="270">
        <v>53214040000000</v>
      </c>
      <c r="C54" s="271" t="s">
        <v>190</v>
      </c>
      <c r="D54" s="106">
        <v>0</v>
      </c>
      <c r="E54" s="106">
        <v>0</v>
      </c>
      <c r="F54" s="107">
        <v>0</v>
      </c>
      <c r="G54" s="116">
        <f t="shared" si="5"/>
        <v>0</v>
      </c>
      <c r="H54" s="110">
        <f t="shared" si="4"/>
        <v>0</v>
      </c>
    </row>
    <row r="55" spans="1:8" x14ac:dyDescent="0.2">
      <c r="A55" s="540"/>
      <c r="B55" s="275">
        <v>53204020100000</v>
      </c>
      <c r="C55" s="271" t="s">
        <v>182</v>
      </c>
      <c r="D55" s="259">
        <v>0</v>
      </c>
      <c r="E55" s="259">
        <v>0</v>
      </c>
      <c r="F55" s="261">
        <v>0</v>
      </c>
      <c r="G55" s="116">
        <f t="shared" si="5"/>
        <v>0</v>
      </c>
      <c r="H55" s="110">
        <f t="shared" si="4"/>
        <v>0</v>
      </c>
    </row>
    <row r="56" spans="1:8" x14ac:dyDescent="0.2">
      <c r="A56" s="540"/>
      <c r="B56" s="268"/>
      <c r="C56" s="269" t="s">
        <v>55</v>
      </c>
      <c r="D56" s="109">
        <f>SUM(D57:D64)</f>
        <v>1526040</v>
      </c>
      <c r="E56" s="263"/>
      <c r="F56" s="263"/>
      <c r="G56" s="109">
        <f>SUM(G57:G64)</f>
        <v>63260</v>
      </c>
      <c r="H56" s="111">
        <f>SUM(H57:H64)</f>
        <v>1589300</v>
      </c>
    </row>
    <row r="57" spans="1:8" x14ac:dyDescent="0.2">
      <c r="A57" s="540"/>
      <c r="B57" s="270">
        <v>53207010000000</v>
      </c>
      <c r="C57" s="271" t="s">
        <v>56</v>
      </c>
      <c r="D57" s="259">
        <v>0</v>
      </c>
      <c r="E57" s="259">
        <v>0</v>
      </c>
      <c r="F57" s="261">
        <v>0</v>
      </c>
      <c r="G57" s="116">
        <f t="shared" si="5"/>
        <v>0</v>
      </c>
      <c r="H57" s="110">
        <f t="shared" si="4"/>
        <v>0</v>
      </c>
    </row>
    <row r="58" spans="1:8" x14ac:dyDescent="0.2">
      <c r="A58" s="540"/>
      <c r="B58" s="270">
        <v>53207020000000</v>
      </c>
      <c r="C58" s="271" t="s">
        <v>57</v>
      </c>
      <c r="D58" s="259">
        <v>0</v>
      </c>
      <c r="E58" s="259">
        <v>0</v>
      </c>
      <c r="F58" s="261">
        <v>0</v>
      </c>
      <c r="G58" s="116">
        <f t="shared" si="5"/>
        <v>0</v>
      </c>
      <c r="H58" s="110">
        <f t="shared" si="4"/>
        <v>0</v>
      </c>
    </row>
    <row r="59" spans="1:8" x14ac:dyDescent="0.2">
      <c r="A59" s="540"/>
      <c r="B59" s="270">
        <v>53208020000000</v>
      </c>
      <c r="C59" s="271" t="s">
        <v>173</v>
      </c>
      <c r="D59" s="259">
        <v>0</v>
      </c>
      <c r="E59" s="259">
        <v>0</v>
      </c>
      <c r="F59" s="261">
        <v>0</v>
      </c>
      <c r="G59" s="116">
        <f t="shared" si="5"/>
        <v>0</v>
      </c>
      <c r="H59" s="110">
        <f t="shared" si="4"/>
        <v>0</v>
      </c>
    </row>
    <row r="60" spans="1:8" x14ac:dyDescent="0.2">
      <c r="A60" s="540"/>
      <c r="B60" s="270">
        <v>53208990000000</v>
      </c>
      <c r="C60" s="271" t="s">
        <v>191</v>
      </c>
      <c r="D60" s="259">
        <v>0</v>
      </c>
      <c r="E60" s="259">
        <v>0</v>
      </c>
      <c r="F60" s="261">
        <v>0</v>
      </c>
      <c r="G60" s="116">
        <f t="shared" si="5"/>
        <v>0</v>
      </c>
      <c r="H60" s="110">
        <f t="shared" si="4"/>
        <v>0</v>
      </c>
    </row>
    <row r="61" spans="1:8" x14ac:dyDescent="0.2">
      <c r="A61" s="540"/>
      <c r="B61" s="275">
        <v>53210020300000</v>
      </c>
      <c r="C61" s="271" t="s">
        <v>193</v>
      </c>
      <c r="D61" s="259">
        <v>0</v>
      </c>
      <c r="E61" s="314">
        <v>6326</v>
      </c>
      <c r="F61" s="315">
        <f>+'B) Reajuste Tarifas y Ocupación'!H24</f>
        <v>10</v>
      </c>
      <c r="G61" s="116">
        <f t="shared" si="5"/>
        <v>63260</v>
      </c>
      <c r="H61" s="110">
        <f t="shared" si="4"/>
        <v>63260</v>
      </c>
    </row>
    <row r="62" spans="1:8" x14ac:dyDescent="0.2">
      <c r="A62" s="540"/>
      <c r="B62" s="270">
        <v>53208990000000</v>
      </c>
      <c r="C62" s="271" t="s">
        <v>194</v>
      </c>
      <c r="D62" s="259">
        <v>0</v>
      </c>
      <c r="E62" s="259">
        <v>0</v>
      </c>
      <c r="F62" s="261">
        <v>0</v>
      </c>
      <c r="G62" s="116">
        <f t="shared" si="5"/>
        <v>0</v>
      </c>
      <c r="H62" s="110">
        <f t="shared" si="4"/>
        <v>0</v>
      </c>
    </row>
    <row r="63" spans="1:8" x14ac:dyDescent="0.2">
      <c r="A63" s="540"/>
      <c r="B63" s="270">
        <v>53209990000000</v>
      </c>
      <c r="C63" s="271" t="s">
        <v>192</v>
      </c>
      <c r="D63" s="259">
        <v>0</v>
      </c>
      <c r="E63" s="259">
        <v>0</v>
      </c>
      <c r="F63" s="261">
        <v>0</v>
      </c>
      <c r="G63" s="116">
        <f t="shared" si="5"/>
        <v>0</v>
      </c>
      <c r="H63" s="110">
        <f t="shared" si="4"/>
        <v>0</v>
      </c>
    </row>
    <row r="64" spans="1:8" x14ac:dyDescent="0.2">
      <c r="A64" s="540"/>
      <c r="B64" s="270">
        <v>53210020100000</v>
      </c>
      <c r="C64" s="271" t="s">
        <v>64</v>
      </c>
      <c r="D64" s="314">
        <v>1526040</v>
      </c>
      <c r="E64" s="259">
        <v>0</v>
      </c>
      <c r="F64" s="261">
        <v>0</v>
      </c>
      <c r="G64" s="116">
        <f t="shared" si="5"/>
        <v>0</v>
      </c>
      <c r="H64" s="110">
        <f t="shared" si="4"/>
        <v>1526040</v>
      </c>
    </row>
    <row r="65" spans="1:10" x14ac:dyDescent="0.2">
      <c r="A65" s="540"/>
      <c r="B65" s="268"/>
      <c r="C65" s="269" t="s">
        <v>65</v>
      </c>
      <c r="D65" s="109">
        <f>SUM(D66:D72)</f>
        <v>3455342</v>
      </c>
      <c r="E65" s="263"/>
      <c r="F65" s="263"/>
      <c r="G65" s="109">
        <f>SUM(G66:G72)</f>
        <v>0</v>
      </c>
      <c r="H65" s="111">
        <f>SUM(H66:H72)</f>
        <v>3455342</v>
      </c>
    </row>
    <row r="66" spans="1:10" x14ac:dyDescent="0.2">
      <c r="A66" s="540"/>
      <c r="B66" s="270">
        <v>53206030000000</v>
      </c>
      <c r="C66" s="271" t="s">
        <v>97</v>
      </c>
      <c r="D66" s="259">
        <v>0</v>
      </c>
      <c r="E66" s="259">
        <v>0</v>
      </c>
      <c r="F66" s="261">
        <v>0</v>
      </c>
      <c r="G66" s="116">
        <f t="shared" si="5"/>
        <v>0</v>
      </c>
      <c r="H66" s="110">
        <f t="shared" si="4"/>
        <v>0</v>
      </c>
    </row>
    <row r="67" spans="1:10" x14ac:dyDescent="0.2">
      <c r="A67" s="540"/>
      <c r="B67" s="270">
        <v>53206040000000</v>
      </c>
      <c r="C67" s="271" t="s">
        <v>98</v>
      </c>
      <c r="D67" s="259">
        <v>0</v>
      </c>
      <c r="E67" s="259">
        <v>0</v>
      </c>
      <c r="F67" s="261">
        <v>0</v>
      </c>
      <c r="G67" s="116">
        <f t="shared" si="5"/>
        <v>0</v>
      </c>
      <c r="H67" s="110">
        <f t="shared" si="4"/>
        <v>0</v>
      </c>
    </row>
    <row r="68" spans="1:10" x14ac:dyDescent="0.2">
      <c r="A68" s="540"/>
      <c r="B68" s="270">
        <v>53206060000000</v>
      </c>
      <c r="C68" s="271" t="s">
        <v>195</v>
      </c>
      <c r="D68" s="259">
        <v>0</v>
      </c>
      <c r="E68" s="259">
        <v>0</v>
      </c>
      <c r="F68" s="261">
        <v>0</v>
      </c>
      <c r="G68" s="116">
        <f t="shared" si="5"/>
        <v>0</v>
      </c>
      <c r="H68" s="110">
        <f t="shared" si="4"/>
        <v>0</v>
      </c>
    </row>
    <row r="69" spans="1:10" x14ac:dyDescent="0.2">
      <c r="A69" s="540"/>
      <c r="B69" s="270">
        <v>53206070000000</v>
      </c>
      <c r="C69" s="271" t="s">
        <v>100</v>
      </c>
      <c r="D69" s="259">
        <v>0</v>
      </c>
      <c r="E69" s="259">
        <v>0</v>
      </c>
      <c r="F69" s="261">
        <v>0</v>
      </c>
      <c r="G69" s="116">
        <f t="shared" si="5"/>
        <v>0</v>
      </c>
      <c r="H69" s="110">
        <f t="shared" si="4"/>
        <v>0</v>
      </c>
    </row>
    <row r="70" spans="1:10" x14ac:dyDescent="0.2">
      <c r="A70" s="540"/>
      <c r="B70" s="270">
        <v>53206990000000</v>
      </c>
      <c r="C70" s="271" t="s">
        <v>196</v>
      </c>
      <c r="D70" s="259">
        <v>0</v>
      </c>
      <c r="E70" s="259">
        <v>0</v>
      </c>
      <c r="F70" s="261">
        <v>0</v>
      </c>
      <c r="G70" s="116">
        <f t="shared" si="5"/>
        <v>0</v>
      </c>
      <c r="H70" s="110">
        <f t="shared" si="4"/>
        <v>0</v>
      </c>
    </row>
    <row r="71" spans="1:10" x14ac:dyDescent="0.2">
      <c r="A71" s="540"/>
      <c r="B71" s="270">
        <v>53208030000000</v>
      </c>
      <c r="C71" s="271" t="s">
        <v>102</v>
      </c>
      <c r="D71" s="259">
        <v>921900</v>
      </c>
      <c r="E71" s="259">
        <v>0</v>
      </c>
      <c r="F71" s="261">
        <v>0</v>
      </c>
      <c r="G71" s="116">
        <f t="shared" si="5"/>
        <v>0</v>
      </c>
      <c r="H71" s="110">
        <f t="shared" si="4"/>
        <v>921900</v>
      </c>
    </row>
    <row r="72" spans="1:10" x14ac:dyDescent="0.2">
      <c r="A72" s="540"/>
      <c r="B72" s="270">
        <v>53206990000000</v>
      </c>
      <c r="C72" s="271" t="s">
        <v>216</v>
      </c>
      <c r="D72" s="259">
        <v>2533442</v>
      </c>
      <c r="E72" s="259">
        <v>0</v>
      </c>
      <c r="F72" s="261">
        <v>0</v>
      </c>
      <c r="G72" s="116">
        <f t="shared" si="5"/>
        <v>0</v>
      </c>
      <c r="H72" s="110">
        <f t="shared" si="4"/>
        <v>2533442</v>
      </c>
    </row>
    <row r="73" spans="1:10" x14ac:dyDescent="0.2">
      <c r="A73" s="540"/>
      <c r="B73" s="268"/>
      <c r="C73" s="269" t="s">
        <v>66</v>
      </c>
      <c r="D73" s="109">
        <f>SUM(D74:D74)</f>
        <v>0</v>
      </c>
      <c r="E73" s="263"/>
      <c r="F73" s="263"/>
      <c r="G73" s="109">
        <f>SUM(G74:G74)</f>
        <v>0</v>
      </c>
      <c r="H73" s="111">
        <f>SUM(H74:H74)</f>
        <v>0</v>
      </c>
    </row>
    <row r="74" spans="1:10" x14ac:dyDescent="0.2">
      <c r="A74" s="540"/>
      <c r="B74" s="279"/>
      <c r="C74" s="280" t="s">
        <v>217</v>
      </c>
      <c r="D74" s="106">
        <v>0</v>
      </c>
      <c r="E74" s="106">
        <v>0</v>
      </c>
      <c r="F74" s="107">
        <v>0</v>
      </c>
      <c r="G74" s="116">
        <f t="shared" si="5"/>
        <v>0</v>
      </c>
      <c r="H74" s="114">
        <f t="shared" si="4"/>
        <v>0</v>
      </c>
      <c r="I74" s="286" t="s">
        <v>212</v>
      </c>
      <c r="J74" s="264">
        <f>+H72+H71+H70+H69+H68+H67+H66+H64+H63+H62+H61+H60+H59+H58+H57+H55+H52+H51+H50+H49+H48+H46+H44+H43+H37+H36+H35+H33+H32+H31+H30+H29+H28+H27+H26+H25+H24+H23</f>
        <v>8749315</v>
      </c>
    </row>
    <row r="75" spans="1:10" collapsed="1" x14ac:dyDescent="0.2">
      <c r="A75" s="541"/>
      <c r="B75" s="281"/>
      <c r="C75" s="282" t="s">
        <v>103</v>
      </c>
      <c r="D75" s="119">
        <f>SUM(D12,D39)</f>
        <v>8776055</v>
      </c>
      <c r="E75" s="283"/>
      <c r="F75" s="283"/>
      <c r="G75" s="119">
        <f>SUM(G12,G39)</f>
        <v>63260</v>
      </c>
      <c r="H75" s="47">
        <f>SUM(H12,H39)</f>
        <v>8839315</v>
      </c>
      <c r="I75" s="285" t="s">
        <v>213</v>
      </c>
      <c r="J75" s="265">
        <f>+H76-J74</f>
        <v>90000</v>
      </c>
    </row>
    <row r="76" spans="1:10" ht="15.75" customHeight="1" x14ac:dyDescent="0.2">
      <c r="A76" s="537" t="s">
        <v>107</v>
      </c>
      <c r="B76" s="537"/>
      <c r="C76" s="537"/>
      <c r="D76" s="537"/>
      <c r="E76" s="537"/>
      <c r="F76" s="537"/>
      <c r="G76" s="538"/>
      <c r="H76" s="46">
        <f>+H75</f>
        <v>8839315</v>
      </c>
    </row>
    <row r="83" spans="3:8" x14ac:dyDescent="0.2">
      <c r="D83" s="32"/>
    </row>
    <row r="85" spans="3:8" x14ac:dyDescent="0.2">
      <c r="C85" s="34"/>
      <c r="D85" s="13"/>
      <c r="E85" s="35"/>
      <c r="F85" s="36"/>
      <c r="G85" s="35"/>
      <c r="H85" s="39"/>
    </row>
    <row r="86" spans="3:8" x14ac:dyDescent="0.2">
      <c r="C86" s="34"/>
      <c r="D86" s="13"/>
      <c r="E86" s="35"/>
      <c r="F86" s="36"/>
      <c r="G86" s="35"/>
      <c r="H86" s="39"/>
    </row>
    <row r="87" spans="3:8" x14ac:dyDescent="0.2">
      <c r="C87" s="34"/>
      <c r="E87" s="35"/>
      <c r="F87" s="36"/>
      <c r="G87" s="35"/>
      <c r="H87" s="39"/>
    </row>
    <row r="88" spans="3:8" x14ac:dyDescent="0.2">
      <c r="C88" s="34"/>
      <c r="D88" s="13"/>
      <c r="E88" s="35"/>
      <c r="F88" s="36"/>
      <c r="G88" s="35"/>
      <c r="H88" s="39"/>
    </row>
    <row r="89" spans="3:8" x14ac:dyDescent="0.2">
      <c r="C89" s="34"/>
      <c r="E89" s="35"/>
      <c r="F89" s="36"/>
      <c r="G89" s="35"/>
      <c r="H89" s="39"/>
    </row>
    <row r="90" spans="3:8" x14ac:dyDescent="0.2">
      <c r="C90" s="34"/>
      <c r="D90" s="13"/>
      <c r="E90" s="35"/>
      <c r="F90" s="36"/>
      <c r="G90" s="35"/>
      <c r="H90" s="39"/>
    </row>
    <row r="91" spans="3:8" x14ac:dyDescent="0.2">
      <c r="E91" s="35"/>
      <c r="F91" s="36"/>
      <c r="G91" s="35"/>
      <c r="H91" s="39"/>
    </row>
    <row r="92" spans="3:8" x14ac:dyDescent="0.2">
      <c r="E92" s="35"/>
      <c r="F92" s="36"/>
      <c r="G92" s="35"/>
      <c r="H92" s="39"/>
    </row>
    <row r="93" spans="3:8" x14ac:dyDescent="0.2">
      <c r="E93" s="38"/>
      <c r="F93" s="38"/>
      <c r="G93" s="37"/>
      <c r="H93" s="40"/>
    </row>
  </sheetData>
  <mergeCells count="10">
    <mergeCell ref="H10:H11"/>
    <mergeCell ref="C10:C11"/>
    <mergeCell ref="B10:B11"/>
    <mergeCell ref="A76:G76"/>
    <mergeCell ref="A8:C8"/>
    <mergeCell ref="A12:A75"/>
    <mergeCell ref="D4:E4"/>
    <mergeCell ref="A10:A11"/>
    <mergeCell ref="E10:G10"/>
    <mergeCell ref="D10:D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T100"/>
  <sheetViews>
    <sheetView showGridLines="0" zoomScale="80" zoomScaleNormal="80" workbookViewId="0">
      <selection activeCell="G23" sqref="G23"/>
    </sheetView>
  </sheetViews>
  <sheetFormatPr baseColWidth="10" defaultColWidth="11.42578125" defaultRowHeight="12.75" x14ac:dyDescent="0.2"/>
  <cols>
    <col min="1" max="1" width="7.140625" style="336" customWidth="1"/>
    <col min="2" max="2" width="28" style="336" customWidth="1"/>
    <col min="3" max="3" width="36.85546875" style="336" bestFit="1" customWidth="1"/>
    <col min="4" max="4" width="24.140625" style="336" customWidth="1"/>
    <col min="5" max="5" width="55.42578125" style="336" bestFit="1" customWidth="1"/>
    <col min="6" max="6" width="22.140625" style="336" customWidth="1"/>
    <col min="7" max="7" width="14.85546875" style="336" customWidth="1"/>
    <col min="8" max="8" width="15" style="336" customWidth="1"/>
    <col min="9" max="9" width="15.140625" style="336" customWidth="1"/>
    <col min="10" max="10" width="17.42578125" style="336" customWidth="1"/>
    <col min="11" max="11" width="19.140625" style="336" customWidth="1"/>
    <col min="12" max="12" width="4.85546875" style="336" customWidth="1"/>
    <col min="13" max="13" width="19.140625" style="336" customWidth="1"/>
    <col min="14" max="14" width="18" style="336" bestFit="1" customWidth="1"/>
    <col min="15" max="15" width="17.140625" style="336" customWidth="1"/>
    <col min="16" max="16" width="18" style="336" bestFit="1" customWidth="1"/>
    <col min="17" max="17" width="17.7109375" style="336" customWidth="1"/>
    <col min="18" max="18" width="19.85546875" style="336" bestFit="1" customWidth="1"/>
    <col min="19" max="19" width="14.140625" style="336" bestFit="1" customWidth="1"/>
    <col min="20" max="20" width="5" style="336" customWidth="1"/>
    <col min="21" max="21" width="19.85546875" style="336" bestFit="1" customWidth="1"/>
    <col min="22" max="22" width="52.140625" style="336" bestFit="1" customWidth="1"/>
    <col min="23" max="23" width="18.28515625" style="336" customWidth="1"/>
    <col min="24" max="24" width="5.7109375" style="336" customWidth="1"/>
    <col min="25" max="25" width="11.42578125" style="336"/>
    <col min="26" max="31" width="14.28515625" style="336" customWidth="1"/>
    <col min="32" max="32" width="11.28515625" style="336" customWidth="1"/>
    <col min="33" max="38" width="14.28515625" style="336" customWidth="1"/>
    <col min="39" max="39" width="11.42578125" style="336"/>
    <col min="40" max="45" width="14.28515625" style="336" customWidth="1"/>
    <col min="46" max="46" width="11.42578125" style="336"/>
    <col min="47" max="16384" width="11.42578125" style="328"/>
  </cols>
  <sheetData>
    <row r="1" spans="1:46" x14ac:dyDescent="0.2">
      <c r="A1" s="326"/>
      <c r="B1" s="326"/>
      <c r="C1" s="326"/>
      <c r="D1" s="326"/>
      <c r="E1" s="327"/>
      <c r="F1" s="327"/>
      <c r="G1" s="327"/>
      <c r="H1" s="327"/>
      <c r="I1" s="327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</row>
    <row r="2" spans="1:46" x14ac:dyDescent="0.2">
      <c r="A2" s="326"/>
      <c r="B2" s="326"/>
      <c r="C2" s="326"/>
      <c r="D2" s="326"/>
      <c r="E2" s="327" t="s">
        <v>261</v>
      </c>
      <c r="F2" s="327"/>
      <c r="G2" s="327"/>
      <c r="H2" s="327"/>
      <c r="I2" s="327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</row>
    <row r="3" spans="1:46" x14ac:dyDescent="0.2">
      <c r="A3" s="326"/>
      <c r="B3" s="329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</row>
    <row r="4" spans="1:46" ht="15.75" x14ac:dyDescent="0.2">
      <c r="A4" s="326"/>
      <c r="B4" s="329"/>
      <c r="C4" s="326"/>
      <c r="D4" s="330" t="s">
        <v>0</v>
      </c>
      <c r="E4" s="331" t="s">
        <v>240</v>
      </c>
      <c r="F4" s="332"/>
      <c r="G4" s="333"/>
      <c r="H4" s="333"/>
      <c r="I4" s="333"/>
      <c r="J4" s="333"/>
      <c r="K4" s="326"/>
      <c r="L4" s="326"/>
      <c r="M4" s="326"/>
      <c r="N4" s="326"/>
      <c r="O4" s="334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</row>
    <row r="5" spans="1:46" x14ac:dyDescent="0.2">
      <c r="A5" s="326"/>
      <c r="B5" s="329"/>
      <c r="C5" s="326"/>
      <c r="D5" s="335"/>
      <c r="E5" s="327"/>
      <c r="F5" s="327"/>
      <c r="G5" s="327"/>
      <c r="H5" s="327"/>
      <c r="I5" s="327"/>
      <c r="J5" s="327"/>
      <c r="K5" s="326"/>
      <c r="L5" s="326"/>
      <c r="M5" s="326"/>
      <c r="N5" s="326"/>
      <c r="O5" s="334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</row>
    <row r="6" spans="1:46" ht="13.5" thickBot="1" x14ac:dyDescent="0.25">
      <c r="A6" s="326"/>
      <c r="B6" s="329"/>
      <c r="C6" s="326"/>
      <c r="D6" s="335"/>
      <c r="E6" s="327"/>
      <c r="F6" s="327"/>
      <c r="G6" s="327"/>
      <c r="H6" s="327"/>
      <c r="I6" s="327"/>
      <c r="J6" s="327"/>
      <c r="K6" s="326"/>
      <c r="L6" s="326"/>
      <c r="M6" s="326"/>
      <c r="N6" s="326"/>
      <c r="O6" s="334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6"/>
      <c r="AL6" s="326"/>
      <c r="AM6" s="326"/>
      <c r="AN6" s="326"/>
      <c r="AO6" s="326"/>
      <c r="AP6" s="326"/>
      <c r="AQ6" s="326"/>
      <c r="AR6" s="326"/>
      <c r="AS6" s="326"/>
      <c r="AT6" s="326"/>
    </row>
    <row r="7" spans="1:46" x14ac:dyDescent="0.2">
      <c r="B7" s="337"/>
      <c r="C7" s="337"/>
      <c r="D7" s="337"/>
      <c r="E7" s="337"/>
      <c r="F7" s="337"/>
      <c r="G7" s="337"/>
      <c r="H7" s="337"/>
      <c r="I7" s="337"/>
      <c r="J7" s="338"/>
      <c r="K7" s="338"/>
      <c r="L7" s="338"/>
      <c r="M7" s="338"/>
      <c r="N7" s="338"/>
      <c r="O7" s="338"/>
      <c r="P7" s="338"/>
      <c r="Q7" s="338"/>
      <c r="R7" s="338"/>
      <c r="Y7" s="339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1"/>
    </row>
    <row r="8" spans="1:46" x14ac:dyDescent="0.2">
      <c r="B8" s="337"/>
      <c r="C8" s="337"/>
      <c r="D8" s="337"/>
      <c r="E8" s="337"/>
      <c r="F8" s="337"/>
      <c r="G8" s="337"/>
      <c r="H8" s="337"/>
      <c r="I8" s="337"/>
      <c r="J8" s="338"/>
      <c r="K8" s="338"/>
      <c r="L8" s="338"/>
      <c r="M8" s="338"/>
      <c r="N8" s="338"/>
      <c r="O8" s="338"/>
      <c r="P8" s="338"/>
      <c r="Q8" s="338"/>
      <c r="R8" s="338"/>
      <c r="Y8" s="342"/>
      <c r="AT8" s="343"/>
    </row>
    <row r="9" spans="1:46" ht="15.75" x14ac:dyDescent="0.2">
      <c r="A9" s="593" t="s">
        <v>262</v>
      </c>
      <c r="B9" s="593"/>
      <c r="C9" s="593"/>
      <c r="D9" s="593"/>
      <c r="E9" s="593"/>
      <c r="F9" s="593"/>
      <c r="G9" s="593"/>
      <c r="H9" s="593"/>
      <c r="I9" s="344"/>
      <c r="J9" s="344"/>
      <c r="K9" s="344"/>
      <c r="L9" s="344"/>
      <c r="M9" s="570" t="s">
        <v>263</v>
      </c>
      <c r="N9" s="570"/>
      <c r="O9" s="570"/>
      <c r="P9" s="570"/>
      <c r="Q9" s="570"/>
      <c r="R9" s="570"/>
      <c r="S9" s="570"/>
      <c r="U9" s="570" t="s">
        <v>264</v>
      </c>
      <c r="V9" s="570"/>
      <c r="W9" s="570"/>
      <c r="X9" s="345"/>
      <c r="Y9" s="346"/>
      <c r="Z9" s="570" t="s">
        <v>265</v>
      </c>
      <c r="AA9" s="570"/>
      <c r="AB9" s="570"/>
      <c r="AC9" s="570"/>
      <c r="AD9" s="570"/>
      <c r="AE9" s="570"/>
      <c r="AF9" s="345"/>
      <c r="AG9" s="570" t="s">
        <v>266</v>
      </c>
      <c r="AH9" s="570"/>
      <c r="AI9" s="570"/>
      <c r="AJ9" s="570"/>
      <c r="AK9" s="570"/>
      <c r="AL9" s="570"/>
      <c r="AN9" s="570" t="s">
        <v>161</v>
      </c>
      <c r="AO9" s="570"/>
      <c r="AP9" s="570"/>
      <c r="AQ9" s="570"/>
      <c r="AR9" s="570"/>
      <c r="AS9" s="570"/>
      <c r="AT9" s="343"/>
    </row>
    <row r="10" spans="1:46" x14ac:dyDescent="0.2">
      <c r="B10" s="329"/>
      <c r="C10" s="335"/>
      <c r="D10" s="335"/>
      <c r="E10" s="327"/>
      <c r="F10" s="327"/>
      <c r="G10" s="327"/>
      <c r="H10" s="327"/>
      <c r="I10" s="327"/>
      <c r="J10" s="347" t="s">
        <v>267</v>
      </c>
      <c r="K10" s="348">
        <v>0.06</v>
      </c>
      <c r="M10" s="570"/>
      <c r="N10" s="570"/>
      <c r="O10" s="570"/>
      <c r="P10" s="570"/>
      <c r="Q10" s="570"/>
      <c r="R10" s="570"/>
      <c r="S10" s="570"/>
      <c r="U10" s="570"/>
      <c r="V10" s="570"/>
      <c r="W10" s="570"/>
      <c r="Y10" s="342"/>
      <c r="Z10" s="570"/>
      <c r="AA10" s="570"/>
      <c r="AB10" s="570"/>
      <c r="AC10" s="570"/>
      <c r="AD10" s="570"/>
      <c r="AE10" s="570"/>
      <c r="AG10" s="570"/>
      <c r="AH10" s="570"/>
      <c r="AI10" s="570"/>
      <c r="AJ10" s="570"/>
      <c r="AK10" s="570"/>
      <c r="AL10" s="570"/>
      <c r="AN10" s="570"/>
      <c r="AO10" s="570"/>
      <c r="AP10" s="570"/>
      <c r="AQ10" s="570"/>
      <c r="AR10" s="570"/>
      <c r="AS10" s="570"/>
      <c r="AT10" s="343"/>
    </row>
    <row r="11" spans="1:46" x14ac:dyDescent="0.2">
      <c r="J11" s="349" t="s">
        <v>4</v>
      </c>
      <c r="K11" s="350">
        <v>0.05</v>
      </c>
      <c r="Y11" s="342"/>
      <c r="AT11" s="343"/>
    </row>
    <row r="12" spans="1:46" ht="13.5" thickBot="1" x14ac:dyDescent="0.25">
      <c r="M12" s="592"/>
      <c r="N12" s="592"/>
      <c r="O12" s="592"/>
      <c r="P12" s="592"/>
      <c r="Q12" s="592"/>
      <c r="R12" s="592"/>
      <c r="Y12" s="342"/>
      <c r="AT12" s="343"/>
    </row>
    <row r="13" spans="1:46" ht="15" x14ac:dyDescent="0.2">
      <c r="A13" s="594" t="s">
        <v>116</v>
      </c>
      <c r="B13" s="595"/>
      <c r="C13" s="598" t="s">
        <v>73</v>
      </c>
      <c r="D13" s="598" t="s">
        <v>74</v>
      </c>
      <c r="E13" s="600" t="s">
        <v>3</v>
      </c>
      <c r="F13" s="600" t="s">
        <v>81</v>
      </c>
      <c r="G13" s="602" t="s">
        <v>253</v>
      </c>
      <c r="H13" s="603"/>
      <c r="I13" s="603"/>
      <c r="J13" s="604"/>
      <c r="K13" s="588" t="s">
        <v>255</v>
      </c>
      <c r="L13" s="338"/>
      <c r="M13" s="554" t="s">
        <v>69</v>
      </c>
      <c r="N13" s="590"/>
      <c r="O13" s="572" t="s">
        <v>70</v>
      </c>
      <c r="P13" s="573"/>
      <c r="Q13" s="591" t="s">
        <v>71</v>
      </c>
      <c r="R13" s="591"/>
      <c r="S13" s="568" t="s">
        <v>147</v>
      </c>
      <c r="U13" s="584" t="s">
        <v>75</v>
      </c>
      <c r="V13" s="586" t="s">
        <v>76</v>
      </c>
      <c r="W13" s="571" t="s">
        <v>268</v>
      </c>
      <c r="Y13" s="342"/>
      <c r="Z13" s="578" t="s">
        <v>69</v>
      </c>
      <c r="AA13" s="579"/>
      <c r="AB13" s="580" t="s">
        <v>70</v>
      </c>
      <c r="AC13" s="581"/>
      <c r="AD13" s="582" t="s">
        <v>71</v>
      </c>
      <c r="AE13" s="583"/>
      <c r="AG13" s="554" t="s">
        <v>69</v>
      </c>
      <c r="AH13" s="555"/>
      <c r="AI13" s="572" t="s">
        <v>70</v>
      </c>
      <c r="AJ13" s="573"/>
      <c r="AK13" s="574" t="s">
        <v>71</v>
      </c>
      <c r="AL13" s="575"/>
      <c r="AN13" s="554" t="s">
        <v>69</v>
      </c>
      <c r="AO13" s="555"/>
      <c r="AP13" s="572" t="s">
        <v>70</v>
      </c>
      <c r="AQ13" s="573"/>
      <c r="AR13" s="574" t="s">
        <v>71</v>
      </c>
      <c r="AS13" s="575"/>
      <c r="AT13" s="343"/>
    </row>
    <row r="14" spans="1:46" ht="39" thickBot="1" x14ac:dyDescent="0.25">
      <c r="A14" s="596"/>
      <c r="B14" s="597"/>
      <c r="C14" s="599"/>
      <c r="D14" s="599"/>
      <c r="E14" s="601"/>
      <c r="F14" s="601"/>
      <c r="G14" s="351" t="s">
        <v>269</v>
      </c>
      <c r="H14" s="351" t="s">
        <v>114</v>
      </c>
      <c r="I14" s="352" t="s">
        <v>115</v>
      </c>
      <c r="J14" s="353" t="s">
        <v>254</v>
      </c>
      <c r="K14" s="589"/>
      <c r="L14" s="338"/>
      <c r="M14" s="354" t="s">
        <v>36</v>
      </c>
      <c r="N14" s="355" t="s">
        <v>37</v>
      </c>
      <c r="O14" s="356" t="s">
        <v>36</v>
      </c>
      <c r="P14" s="357" t="s">
        <v>37</v>
      </c>
      <c r="Q14" s="358" t="s">
        <v>36</v>
      </c>
      <c r="R14" s="359" t="s">
        <v>37</v>
      </c>
      <c r="S14" s="569"/>
      <c r="U14" s="585"/>
      <c r="V14" s="587"/>
      <c r="W14" s="571"/>
      <c r="Y14" s="342"/>
      <c r="Z14" s="354" t="s">
        <v>36</v>
      </c>
      <c r="AA14" s="355" t="s">
        <v>37</v>
      </c>
      <c r="AB14" s="356" t="s">
        <v>36</v>
      </c>
      <c r="AC14" s="357" t="s">
        <v>37</v>
      </c>
      <c r="AD14" s="358" t="s">
        <v>36</v>
      </c>
      <c r="AE14" s="360" t="s">
        <v>37</v>
      </c>
      <c r="AG14" s="361" t="s">
        <v>36</v>
      </c>
      <c r="AH14" s="362" t="s">
        <v>37</v>
      </c>
      <c r="AI14" s="363" t="s">
        <v>36</v>
      </c>
      <c r="AJ14" s="364" t="s">
        <v>37</v>
      </c>
      <c r="AK14" s="365" t="s">
        <v>36</v>
      </c>
      <c r="AL14" s="366" t="s">
        <v>37</v>
      </c>
      <c r="AN14" s="576" t="s">
        <v>148</v>
      </c>
      <c r="AO14" s="577"/>
      <c r="AP14" s="558" t="s">
        <v>148</v>
      </c>
      <c r="AQ14" s="559"/>
      <c r="AR14" s="560" t="s">
        <v>149</v>
      </c>
      <c r="AS14" s="561"/>
      <c r="AT14" s="343"/>
    </row>
    <row r="15" spans="1:46" ht="15.75" customHeight="1" thickBot="1" x14ac:dyDescent="0.25">
      <c r="A15" s="605" t="s">
        <v>143</v>
      </c>
      <c r="B15" s="608" t="s">
        <v>92</v>
      </c>
      <c r="C15" s="367"/>
      <c r="D15" s="368"/>
      <c r="E15" s="369" t="s">
        <v>259</v>
      </c>
      <c r="F15" s="370" t="s">
        <v>117</v>
      </c>
      <c r="G15" s="371">
        <v>16800000</v>
      </c>
      <c r="H15" s="372">
        <v>165270</v>
      </c>
      <c r="I15" s="373">
        <v>162394</v>
      </c>
      <c r="J15" s="374">
        <f>SUM(G15:I15)</f>
        <v>17127664</v>
      </c>
      <c r="K15" s="375">
        <f>+(((G15*(1+$K$11))*(1+$K$10))+H15+I15)</f>
        <v>19026064</v>
      </c>
      <c r="L15" s="338"/>
      <c r="M15" s="376">
        <v>0.4</v>
      </c>
      <c r="N15" s="377">
        <f t="shared" ref="N15:N61" si="0">+$K15*M15</f>
        <v>7610425.6000000006</v>
      </c>
      <c r="O15" s="376">
        <v>0.3</v>
      </c>
      <c r="P15" s="378">
        <f t="shared" ref="P15:P61" si="1">+$K15*O15</f>
        <v>5707819.2000000002</v>
      </c>
      <c r="Q15" s="379">
        <v>0.3</v>
      </c>
      <c r="R15" s="380">
        <f t="shared" ref="R15:R61" si="2">+$K15*Q15</f>
        <v>5707819.2000000002</v>
      </c>
      <c r="S15" s="381">
        <f>+M15+O15+Q15</f>
        <v>1</v>
      </c>
      <c r="U15" s="382"/>
      <c r="V15" s="383" t="s">
        <v>11</v>
      </c>
      <c r="W15" s="384">
        <f>SUM(W16,W20)</f>
        <v>3652048</v>
      </c>
      <c r="Y15" s="342"/>
      <c r="Z15" s="385">
        <f t="shared" ref="Z15:AE15" si="3">+M62</f>
        <v>0.24841204171361606</v>
      </c>
      <c r="AA15" s="386">
        <f t="shared" si="3"/>
        <v>14152371.200000001</v>
      </c>
      <c r="AB15" s="385">
        <f t="shared" si="3"/>
        <v>0.18630903128521203</v>
      </c>
      <c r="AC15" s="387">
        <f t="shared" si="3"/>
        <v>10614278.4</v>
      </c>
      <c r="AD15" s="388">
        <f t="shared" si="3"/>
        <v>0.56527892700117188</v>
      </c>
      <c r="AE15" s="387">
        <f t="shared" si="3"/>
        <v>32204707.756000005</v>
      </c>
      <c r="AG15" s="389">
        <f>+Z15</f>
        <v>0.24841204171361606</v>
      </c>
      <c r="AH15" s="390">
        <f>+AG15*W80</f>
        <v>2350838.6623353455</v>
      </c>
      <c r="AI15" s="391">
        <f>+AB15</f>
        <v>0.18630903128521203</v>
      </c>
      <c r="AJ15" s="390">
        <f>+AI15*W80</f>
        <v>1763128.9967515091</v>
      </c>
      <c r="AK15" s="392">
        <f>+AD15</f>
        <v>0.56527892700117188</v>
      </c>
      <c r="AL15" s="393">
        <f>+AK15*W80</f>
        <v>5349497.3409131449</v>
      </c>
      <c r="AN15" s="556">
        <f>+AH15+AA15+K73</f>
        <v>16503209.862335347</v>
      </c>
      <c r="AO15" s="557"/>
      <c r="AP15" s="556">
        <f>+AJ15+AC15+K81</f>
        <v>12377407.39675151</v>
      </c>
      <c r="AQ15" s="557"/>
      <c r="AR15" s="556">
        <f>+AL15+AE15+K89</f>
        <v>37554205.096913151</v>
      </c>
      <c r="AS15" s="557"/>
      <c r="AT15" s="343"/>
    </row>
    <row r="16" spans="1:46" ht="15" customHeight="1" x14ac:dyDescent="0.2">
      <c r="A16" s="606"/>
      <c r="B16" s="609"/>
      <c r="C16" s="394"/>
      <c r="D16" s="395"/>
      <c r="E16" s="396"/>
      <c r="F16" s="397"/>
      <c r="G16" s="371"/>
      <c r="H16" s="398"/>
      <c r="I16" s="399"/>
      <c r="J16" s="400">
        <f t="shared" ref="J16:J39" si="4">SUM(G16:I16)</f>
        <v>0</v>
      </c>
      <c r="K16" s="401">
        <f t="shared" ref="K16:K19" si="5">+(((G16*(1+$K$11))*(1+$K$10))+H16+I16)</f>
        <v>0</v>
      </c>
      <c r="L16" s="338"/>
      <c r="M16" s="402"/>
      <c r="N16" s="377">
        <f t="shared" si="0"/>
        <v>0</v>
      </c>
      <c r="O16" s="402"/>
      <c r="P16" s="403">
        <f t="shared" si="1"/>
        <v>0</v>
      </c>
      <c r="Q16" s="404"/>
      <c r="R16" s="377">
        <f t="shared" si="2"/>
        <v>0</v>
      </c>
      <c r="S16" s="405">
        <f t="shared" ref="S16:S61" si="6">+M16+O16+Q16</f>
        <v>0</v>
      </c>
      <c r="U16" s="406"/>
      <c r="V16" s="407" t="s">
        <v>12</v>
      </c>
      <c r="W16" s="408">
        <f>SUM(W17:W19)</f>
        <v>0</v>
      </c>
      <c r="Y16" s="342"/>
      <c r="AT16" s="343"/>
    </row>
    <row r="17" spans="1:46" ht="15" customHeight="1" x14ac:dyDescent="0.2">
      <c r="A17" s="606"/>
      <c r="B17" s="609"/>
      <c r="C17" s="394"/>
      <c r="D17" s="395"/>
      <c r="E17" s="396" t="s">
        <v>260</v>
      </c>
      <c r="F17" s="397" t="s">
        <v>117</v>
      </c>
      <c r="G17" s="371">
        <v>14400000</v>
      </c>
      <c r="H17" s="371">
        <v>165270</v>
      </c>
      <c r="I17" s="409">
        <v>162394</v>
      </c>
      <c r="J17" s="400">
        <f t="shared" si="4"/>
        <v>14727664</v>
      </c>
      <c r="K17" s="401">
        <f t="shared" si="5"/>
        <v>16354864</v>
      </c>
      <c r="L17" s="338"/>
      <c r="M17" s="402">
        <v>0.4</v>
      </c>
      <c r="N17" s="377">
        <f t="shared" si="0"/>
        <v>6541945.6000000006</v>
      </c>
      <c r="O17" s="402">
        <v>0.3</v>
      </c>
      <c r="P17" s="403">
        <f t="shared" si="1"/>
        <v>4906459.2</v>
      </c>
      <c r="Q17" s="404">
        <v>0.3</v>
      </c>
      <c r="R17" s="377">
        <f t="shared" si="2"/>
        <v>4906459.2</v>
      </c>
      <c r="S17" s="405">
        <f t="shared" si="6"/>
        <v>1</v>
      </c>
      <c r="U17" s="410">
        <v>53103050000000</v>
      </c>
      <c r="V17" s="411" t="s">
        <v>13</v>
      </c>
      <c r="W17" s="412"/>
      <c r="Y17" s="342"/>
      <c r="AT17" s="343"/>
    </row>
    <row r="18" spans="1:46" ht="15.75" customHeight="1" thickBot="1" x14ac:dyDescent="0.25">
      <c r="A18" s="606"/>
      <c r="B18" s="609"/>
      <c r="C18" s="394"/>
      <c r="D18" s="395"/>
      <c r="E18" s="396"/>
      <c r="F18" s="397"/>
      <c r="G18" s="371"/>
      <c r="H18" s="398"/>
      <c r="I18" s="399"/>
      <c r="J18" s="400">
        <f t="shared" si="4"/>
        <v>0</v>
      </c>
      <c r="K18" s="401">
        <f t="shared" si="5"/>
        <v>0</v>
      </c>
      <c r="L18" s="338"/>
      <c r="M18" s="402"/>
      <c r="N18" s="377">
        <f t="shared" si="0"/>
        <v>0</v>
      </c>
      <c r="O18" s="402"/>
      <c r="P18" s="403">
        <f t="shared" si="1"/>
        <v>0</v>
      </c>
      <c r="Q18" s="404"/>
      <c r="R18" s="377">
        <f t="shared" si="2"/>
        <v>0</v>
      </c>
      <c r="S18" s="405">
        <f t="shared" si="6"/>
        <v>0</v>
      </c>
      <c r="U18" s="410">
        <v>53103060000000</v>
      </c>
      <c r="V18" s="411" t="s">
        <v>14</v>
      </c>
      <c r="W18" s="412"/>
      <c r="Y18" s="413"/>
      <c r="Z18" s="414"/>
      <c r="AA18" s="414"/>
      <c r="AB18" s="414"/>
      <c r="AC18" s="414"/>
      <c r="AD18" s="414"/>
      <c r="AE18" s="414"/>
      <c r="AF18" s="414"/>
      <c r="AG18" s="414"/>
      <c r="AH18" s="414"/>
      <c r="AI18" s="414"/>
      <c r="AJ18" s="414"/>
      <c r="AK18" s="414"/>
      <c r="AL18" s="414"/>
      <c r="AM18" s="414"/>
      <c r="AN18" s="414"/>
      <c r="AO18" s="414"/>
      <c r="AP18" s="414"/>
      <c r="AQ18" s="414"/>
      <c r="AR18" s="414"/>
      <c r="AS18" s="414"/>
      <c r="AT18" s="415"/>
    </row>
    <row r="19" spans="1:46" ht="15" customHeight="1" x14ac:dyDescent="0.2">
      <c r="A19" s="606"/>
      <c r="B19" s="609"/>
      <c r="C19" s="394"/>
      <c r="D19" s="395"/>
      <c r="E19" s="396" t="s">
        <v>270</v>
      </c>
      <c r="F19" s="397" t="s">
        <v>117</v>
      </c>
      <c r="G19" s="371">
        <v>19104012</v>
      </c>
      <c r="H19" s="398">
        <v>165270</v>
      </c>
      <c r="I19" s="399">
        <v>162394</v>
      </c>
      <c r="J19" s="400">
        <f t="shared" si="4"/>
        <v>19431676</v>
      </c>
      <c r="K19" s="401">
        <f t="shared" si="5"/>
        <v>21590429.356000002</v>
      </c>
      <c r="L19" s="338"/>
      <c r="M19" s="402">
        <v>0</v>
      </c>
      <c r="N19" s="377">
        <f t="shared" si="0"/>
        <v>0</v>
      </c>
      <c r="O19" s="402">
        <v>0</v>
      </c>
      <c r="P19" s="403">
        <f t="shared" si="1"/>
        <v>0</v>
      </c>
      <c r="Q19" s="404">
        <v>1</v>
      </c>
      <c r="R19" s="377">
        <f t="shared" si="2"/>
        <v>21590429.356000002</v>
      </c>
      <c r="S19" s="405">
        <f t="shared" si="6"/>
        <v>1</v>
      </c>
      <c r="U19" s="410">
        <v>53103080010000</v>
      </c>
      <c r="V19" s="411" t="s">
        <v>15</v>
      </c>
      <c r="W19" s="412"/>
    </row>
    <row r="20" spans="1:46" ht="15" customHeight="1" x14ac:dyDescent="0.2">
      <c r="A20" s="606"/>
      <c r="B20" s="609"/>
      <c r="C20" s="394"/>
      <c r="D20" s="395"/>
      <c r="E20" s="396"/>
      <c r="F20" s="397"/>
      <c r="G20" s="371"/>
      <c r="H20" s="416"/>
      <c r="I20" s="417"/>
      <c r="J20" s="400">
        <f t="shared" si="4"/>
        <v>0</v>
      </c>
      <c r="K20" s="401">
        <f t="shared" ref="K20:K61" si="7">+((G20*(1+$K$11))+H20+I20)</f>
        <v>0</v>
      </c>
      <c r="L20" s="338"/>
      <c r="M20" s="402"/>
      <c r="N20" s="377">
        <f t="shared" si="0"/>
        <v>0</v>
      </c>
      <c r="O20" s="402"/>
      <c r="P20" s="403">
        <f t="shared" si="1"/>
        <v>0</v>
      </c>
      <c r="Q20" s="404"/>
      <c r="R20" s="377">
        <f t="shared" si="2"/>
        <v>0</v>
      </c>
      <c r="S20" s="405">
        <f t="shared" si="6"/>
        <v>0</v>
      </c>
      <c r="U20" s="406"/>
      <c r="V20" s="407" t="s">
        <v>16</v>
      </c>
      <c r="W20" s="408">
        <f>SUM(W21:W39)</f>
        <v>3652048</v>
      </c>
    </row>
    <row r="21" spans="1:46" ht="15" customHeight="1" x14ac:dyDescent="0.2">
      <c r="A21" s="606"/>
      <c r="B21" s="609"/>
      <c r="C21" s="394"/>
      <c r="D21" s="395"/>
      <c r="E21" s="396"/>
      <c r="F21" s="397"/>
      <c r="G21" s="371"/>
      <c r="H21" s="371"/>
      <c r="I21" s="409"/>
      <c r="J21" s="400">
        <f t="shared" si="4"/>
        <v>0</v>
      </c>
      <c r="K21" s="401">
        <f t="shared" si="7"/>
        <v>0</v>
      </c>
      <c r="L21" s="338"/>
      <c r="M21" s="402"/>
      <c r="N21" s="377">
        <f t="shared" si="0"/>
        <v>0</v>
      </c>
      <c r="O21" s="402"/>
      <c r="P21" s="403">
        <f t="shared" si="1"/>
        <v>0</v>
      </c>
      <c r="Q21" s="404"/>
      <c r="R21" s="377">
        <f t="shared" si="2"/>
        <v>0</v>
      </c>
      <c r="S21" s="405">
        <f t="shared" si="6"/>
        <v>0</v>
      </c>
      <c r="U21" s="410">
        <v>53201010100000</v>
      </c>
      <c r="V21" s="411" t="s">
        <v>17</v>
      </c>
      <c r="W21" s="418">
        <v>0</v>
      </c>
    </row>
    <row r="22" spans="1:46" ht="15" customHeight="1" x14ac:dyDescent="0.2">
      <c r="A22" s="606"/>
      <c r="B22" s="609"/>
      <c r="C22" s="394"/>
      <c r="D22" s="395"/>
      <c r="E22" s="396"/>
      <c r="F22" s="397"/>
      <c r="G22" s="371"/>
      <c r="H22" s="371"/>
      <c r="I22" s="409"/>
      <c r="J22" s="400">
        <f t="shared" si="4"/>
        <v>0</v>
      </c>
      <c r="K22" s="401">
        <f t="shared" si="7"/>
        <v>0</v>
      </c>
      <c r="L22" s="338"/>
      <c r="M22" s="402"/>
      <c r="N22" s="377">
        <f t="shared" si="0"/>
        <v>0</v>
      </c>
      <c r="O22" s="402"/>
      <c r="P22" s="403">
        <f t="shared" si="1"/>
        <v>0</v>
      </c>
      <c r="Q22" s="404"/>
      <c r="R22" s="377">
        <f t="shared" si="2"/>
        <v>0</v>
      </c>
      <c r="S22" s="405">
        <f t="shared" si="6"/>
        <v>0</v>
      </c>
      <c r="U22" s="410">
        <v>53202010100000</v>
      </c>
      <c r="V22" s="411" t="s">
        <v>18</v>
      </c>
      <c r="W22" s="418">
        <v>0</v>
      </c>
    </row>
    <row r="23" spans="1:46" ht="15" customHeight="1" x14ac:dyDescent="0.2">
      <c r="A23" s="606"/>
      <c r="B23" s="609"/>
      <c r="C23" s="394"/>
      <c r="D23" s="395"/>
      <c r="E23" s="396"/>
      <c r="F23" s="397"/>
      <c r="G23" s="371"/>
      <c r="H23" s="371"/>
      <c r="I23" s="409"/>
      <c r="J23" s="400">
        <f t="shared" si="4"/>
        <v>0</v>
      </c>
      <c r="K23" s="401">
        <f t="shared" si="7"/>
        <v>0</v>
      </c>
      <c r="L23" s="338"/>
      <c r="M23" s="402"/>
      <c r="N23" s="377">
        <f t="shared" si="0"/>
        <v>0</v>
      </c>
      <c r="O23" s="402"/>
      <c r="P23" s="403">
        <f t="shared" si="1"/>
        <v>0</v>
      </c>
      <c r="Q23" s="404"/>
      <c r="R23" s="377">
        <f t="shared" si="2"/>
        <v>0</v>
      </c>
      <c r="S23" s="405">
        <f t="shared" si="6"/>
        <v>0</v>
      </c>
      <c r="U23" s="410">
        <v>53203010100000</v>
      </c>
      <c r="V23" s="411" t="s">
        <v>19</v>
      </c>
      <c r="W23" s="418">
        <v>0</v>
      </c>
    </row>
    <row r="24" spans="1:46" ht="15.75" customHeight="1" thickBot="1" x14ac:dyDescent="0.25">
      <c r="A24" s="606"/>
      <c r="B24" s="610"/>
      <c r="C24" s="419"/>
      <c r="D24" s="420"/>
      <c r="E24" s="421"/>
      <c r="F24" s="422"/>
      <c r="G24" s="423"/>
      <c r="H24" s="423"/>
      <c r="I24" s="424"/>
      <c r="J24" s="425">
        <f t="shared" si="4"/>
        <v>0</v>
      </c>
      <c r="K24" s="426">
        <f t="shared" si="7"/>
        <v>0</v>
      </c>
      <c r="L24" s="338"/>
      <c r="M24" s="427"/>
      <c r="N24" s="428">
        <f t="shared" si="0"/>
        <v>0</v>
      </c>
      <c r="O24" s="427"/>
      <c r="P24" s="429">
        <f t="shared" si="1"/>
        <v>0</v>
      </c>
      <c r="Q24" s="430"/>
      <c r="R24" s="428">
        <f t="shared" si="2"/>
        <v>0</v>
      </c>
      <c r="S24" s="431">
        <f t="shared" si="6"/>
        <v>0</v>
      </c>
      <c r="U24" s="410">
        <v>53203030000000</v>
      </c>
      <c r="V24" s="411" t="s">
        <v>20</v>
      </c>
      <c r="W24" s="418">
        <v>0</v>
      </c>
    </row>
    <row r="25" spans="1:46" ht="15" customHeight="1" x14ac:dyDescent="0.2">
      <c r="A25" s="606"/>
      <c r="B25" s="608" t="s">
        <v>91</v>
      </c>
      <c r="C25" s="367"/>
      <c r="D25" s="368"/>
      <c r="E25" s="369"/>
      <c r="F25" s="370"/>
      <c r="G25" s="372"/>
      <c r="H25" s="372"/>
      <c r="I25" s="373"/>
      <c r="J25" s="432">
        <f t="shared" si="4"/>
        <v>0</v>
      </c>
      <c r="K25" s="433">
        <f t="shared" si="7"/>
        <v>0</v>
      </c>
      <c r="L25" s="338"/>
      <c r="M25" s="376"/>
      <c r="N25" s="380">
        <f t="shared" si="0"/>
        <v>0</v>
      </c>
      <c r="O25" s="376"/>
      <c r="P25" s="378">
        <f t="shared" si="1"/>
        <v>0</v>
      </c>
      <c r="Q25" s="379"/>
      <c r="R25" s="380">
        <f t="shared" si="2"/>
        <v>0</v>
      </c>
      <c r="S25" s="381">
        <f t="shared" si="6"/>
        <v>0</v>
      </c>
      <c r="U25" s="410">
        <v>53204030000000</v>
      </c>
      <c r="V25" s="411" t="s">
        <v>21</v>
      </c>
      <c r="W25" s="418">
        <v>0</v>
      </c>
    </row>
    <row r="26" spans="1:46" ht="15" customHeight="1" x14ac:dyDescent="0.2">
      <c r="A26" s="606"/>
      <c r="B26" s="609"/>
      <c r="C26" s="394"/>
      <c r="D26" s="395"/>
      <c r="E26" s="396"/>
      <c r="F26" s="397"/>
      <c r="G26" s="371"/>
      <c r="H26" s="371"/>
      <c r="I26" s="409"/>
      <c r="J26" s="434">
        <f t="shared" si="4"/>
        <v>0</v>
      </c>
      <c r="K26" s="401">
        <f t="shared" si="7"/>
        <v>0</v>
      </c>
      <c r="L26" s="338"/>
      <c r="M26" s="402"/>
      <c r="N26" s="377">
        <f t="shared" si="0"/>
        <v>0</v>
      </c>
      <c r="O26" s="402"/>
      <c r="P26" s="403">
        <f t="shared" si="1"/>
        <v>0</v>
      </c>
      <c r="Q26" s="404"/>
      <c r="R26" s="377">
        <f t="shared" si="2"/>
        <v>0</v>
      </c>
      <c r="S26" s="405">
        <f t="shared" si="6"/>
        <v>0</v>
      </c>
      <c r="U26" s="410">
        <v>53204100100001</v>
      </c>
      <c r="V26" s="411" t="s">
        <v>22</v>
      </c>
      <c r="W26" s="418">
        <v>950250</v>
      </c>
    </row>
    <row r="27" spans="1:46" ht="15" customHeight="1" x14ac:dyDescent="0.2">
      <c r="A27" s="606"/>
      <c r="B27" s="609"/>
      <c r="C27" s="394"/>
      <c r="D27" s="395"/>
      <c r="E27" s="396"/>
      <c r="F27" s="397"/>
      <c r="G27" s="371"/>
      <c r="H27" s="371"/>
      <c r="I27" s="409"/>
      <c r="J27" s="434">
        <f t="shared" si="4"/>
        <v>0</v>
      </c>
      <c r="K27" s="401">
        <f t="shared" si="7"/>
        <v>0</v>
      </c>
      <c r="L27" s="338"/>
      <c r="M27" s="402"/>
      <c r="N27" s="377">
        <f t="shared" si="0"/>
        <v>0</v>
      </c>
      <c r="O27" s="402"/>
      <c r="P27" s="403">
        <f t="shared" si="1"/>
        <v>0</v>
      </c>
      <c r="Q27" s="404"/>
      <c r="R27" s="377">
        <f t="shared" si="2"/>
        <v>0</v>
      </c>
      <c r="S27" s="405">
        <f t="shared" si="6"/>
        <v>0</v>
      </c>
      <c r="U27" s="410">
        <v>53204130100000</v>
      </c>
      <c r="V27" s="411" t="s">
        <v>23</v>
      </c>
      <c r="W27" s="418">
        <v>0</v>
      </c>
    </row>
    <row r="28" spans="1:46" ht="15" customHeight="1" x14ac:dyDescent="0.2">
      <c r="A28" s="606"/>
      <c r="B28" s="609"/>
      <c r="C28" s="394"/>
      <c r="D28" s="395"/>
      <c r="E28" s="396"/>
      <c r="F28" s="397"/>
      <c r="G28" s="371"/>
      <c r="H28" s="371"/>
      <c r="I28" s="409"/>
      <c r="J28" s="434">
        <f t="shared" si="4"/>
        <v>0</v>
      </c>
      <c r="K28" s="401">
        <f t="shared" si="7"/>
        <v>0</v>
      </c>
      <c r="L28" s="338"/>
      <c r="M28" s="402"/>
      <c r="N28" s="377">
        <f t="shared" si="0"/>
        <v>0</v>
      </c>
      <c r="O28" s="402"/>
      <c r="P28" s="403">
        <f t="shared" si="1"/>
        <v>0</v>
      </c>
      <c r="Q28" s="404"/>
      <c r="R28" s="377">
        <f t="shared" si="2"/>
        <v>0</v>
      </c>
      <c r="S28" s="405">
        <f t="shared" si="6"/>
        <v>0</v>
      </c>
      <c r="U28" s="410">
        <v>53205010100000</v>
      </c>
      <c r="V28" s="411" t="s">
        <v>24</v>
      </c>
      <c r="W28" s="418">
        <v>0</v>
      </c>
    </row>
    <row r="29" spans="1:46" ht="15" customHeight="1" x14ac:dyDescent="0.2">
      <c r="A29" s="606"/>
      <c r="B29" s="609"/>
      <c r="C29" s="394"/>
      <c r="D29" s="395"/>
      <c r="E29" s="396"/>
      <c r="F29" s="397"/>
      <c r="G29" s="371"/>
      <c r="H29" s="371"/>
      <c r="I29" s="409"/>
      <c r="J29" s="434">
        <f t="shared" si="4"/>
        <v>0</v>
      </c>
      <c r="K29" s="401">
        <f t="shared" si="7"/>
        <v>0</v>
      </c>
      <c r="L29" s="338"/>
      <c r="M29" s="402"/>
      <c r="N29" s="377">
        <f t="shared" si="0"/>
        <v>0</v>
      </c>
      <c r="O29" s="402"/>
      <c r="P29" s="403">
        <f t="shared" si="1"/>
        <v>0</v>
      </c>
      <c r="Q29" s="404"/>
      <c r="R29" s="377">
        <f t="shared" si="2"/>
        <v>0</v>
      </c>
      <c r="S29" s="405">
        <f t="shared" si="6"/>
        <v>0</v>
      </c>
      <c r="U29" s="410">
        <v>53205020100000</v>
      </c>
      <c r="V29" s="411" t="s">
        <v>25</v>
      </c>
      <c r="W29" s="418">
        <v>0</v>
      </c>
    </row>
    <row r="30" spans="1:46" ht="15" customHeight="1" x14ac:dyDescent="0.2">
      <c r="A30" s="606"/>
      <c r="B30" s="609"/>
      <c r="C30" s="394"/>
      <c r="D30" s="395"/>
      <c r="E30" s="396"/>
      <c r="F30" s="397"/>
      <c r="G30" s="371"/>
      <c r="H30" s="371"/>
      <c r="I30" s="409"/>
      <c r="J30" s="434">
        <f t="shared" si="4"/>
        <v>0</v>
      </c>
      <c r="K30" s="401">
        <f t="shared" si="7"/>
        <v>0</v>
      </c>
      <c r="L30" s="338"/>
      <c r="M30" s="402"/>
      <c r="N30" s="377">
        <f t="shared" si="0"/>
        <v>0</v>
      </c>
      <c r="O30" s="402"/>
      <c r="P30" s="403">
        <f t="shared" si="1"/>
        <v>0</v>
      </c>
      <c r="Q30" s="404"/>
      <c r="R30" s="377">
        <f t="shared" si="2"/>
        <v>0</v>
      </c>
      <c r="S30" s="405">
        <f t="shared" si="6"/>
        <v>0</v>
      </c>
      <c r="U30" s="410">
        <v>53205030100000</v>
      </c>
      <c r="V30" s="411" t="s">
        <v>26</v>
      </c>
      <c r="W30" s="418">
        <v>0</v>
      </c>
    </row>
    <row r="31" spans="1:46" ht="15" customHeight="1" x14ac:dyDescent="0.2">
      <c r="A31" s="606"/>
      <c r="B31" s="609"/>
      <c r="C31" s="394"/>
      <c r="D31" s="395"/>
      <c r="E31" s="396"/>
      <c r="F31" s="397"/>
      <c r="G31" s="371"/>
      <c r="H31" s="371"/>
      <c r="I31" s="409"/>
      <c r="J31" s="434">
        <f t="shared" si="4"/>
        <v>0</v>
      </c>
      <c r="K31" s="401">
        <f t="shared" si="7"/>
        <v>0</v>
      </c>
      <c r="L31" s="338"/>
      <c r="M31" s="402"/>
      <c r="N31" s="377">
        <f t="shared" si="0"/>
        <v>0</v>
      </c>
      <c r="O31" s="402"/>
      <c r="P31" s="403">
        <f t="shared" si="1"/>
        <v>0</v>
      </c>
      <c r="Q31" s="404"/>
      <c r="R31" s="377">
        <f t="shared" si="2"/>
        <v>0</v>
      </c>
      <c r="S31" s="405">
        <f t="shared" si="6"/>
        <v>0</v>
      </c>
      <c r="U31" s="410">
        <v>53205050100000</v>
      </c>
      <c r="V31" s="411" t="s">
        <v>27</v>
      </c>
      <c r="W31" s="418">
        <v>0</v>
      </c>
    </row>
    <row r="32" spans="1:46" ht="15" customHeight="1" x14ac:dyDescent="0.2">
      <c r="A32" s="606"/>
      <c r="B32" s="609"/>
      <c r="C32" s="394"/>
      <c r="D32" s="395"/>
      <c r="E32" s="396"/>
      <c r="F32" s="397"/>
      <c r="G32" s="371"/>
      <c r="H32" s="371"/>
      <c r="I32" s="409"/>
      <c r="J32" s="434">
        <f t="shared" si="4"/>
        <v>0</v>
      </c>
      <c r="K32" s="401">
        <f t="shared" si="7"/>
        <v>0</v>
      </c>
      <c r="L32" s="338"/>
      <c r="M32" s="402"/>
      <c r="N32" s="377">
        <f t="shared" si="0"/>
        <v>0</v>
      </c>
      <c r="O32" s="402"/>
      <c r="P32" s="403">
        <f t="shared" si="1"/>
        <v>0</v>
      </c>
      <c r="Q32" s="404"/>
      <c r="R32" s="377">
        <f t="shared" si="2"/>
        <v>0</v>
      </c>
      <c r="S32" s="405">
        <f t="shared" si="6"/>
        <v>0</v>
      </c>
      <c r="U32" s="410">
        <v>53205060100000</v>
      </c>
      <c r="V32" s="411" t="s">
        <v>28</v>
      </c>
      <c r="W32" s="418">
        <v>0</v>
      </c>
    </row>
    <row r="33" spans="1:23" ht="15" customHeight="1" x14ac:dyDescent="0.2">
      <c r="A33" s="606"/>
      <c r="B33" s="609"/>
      <c r="C33" s="394"/>
      <c r="D33" s="395"/>
      <c r="E33" s="396"/>
      <c r="F33" s="397"/>
      <c r="G33" s="371"/>
      <c r="H33" s="371"/>
      <c r="I33" s="409"/>
      <c r="J33" s="434">
        <f t="shared" si="4"/>
        <v>0</v>
      </c>
      <c r="K33" s="401">
        <f t="shared" si="7"/>
        <v>0</v>
      </c>
      <c r="L33" s="338"/>
      <c r="M33" s="402"/>
      <c r="N33" s="377">
        <f t="shared" si="0"/>
        <v>0</v>
      </c>
      <c r="O33" s="402"/>
      <c r="P33" s="403">
        <f t="shared" si="1"/>
        <v>0</v>
      </c>
      <c r="Q33" s="404"/>
      <c r="R33" s="377">
        <f t="shared" si="2"/>
        <v>0</v>
      </c>
      <c r="S33" s="405">
        <f t="shared" si="6"/>
        <v>0</v>
      </c>
      <c r="U33" s="410">
        <v>53205070100000</v>
      </c>
      <c r="V33" s="411" t="s">
        <v>29</v>
      </c>
      <c r="W33" s="418">
        <v>0</v>
      </c>
    </row>
    <row r="34" spans="1:23" ht="15.75" customHeight="1" thickBot="1" x14ac:dyDescent="0.25">
      <c r="A34" s="606"/>
      <c r="B34" s="610"/>
      <c r="C34" s="419"/>
      <c r="D34" s="420"/>
      <c r="E34" s="421"/>
      <c r="F34" s="422"/>
      <c r="G34" s="423"/>
      <c r="H34" s="423"/>
      <c r="I34" s="424"/>
      <c r="J34" s="435">
        <f t="shared" si="4"/>
        <v>0</v>
      </c>
      <c r="K34" s="426">
        <f t="shared" si="7"/>
        <v>0</v>
      </c>
      <c r="L34" s="338"/>
      <c r="M34" s="427"/>
      <c r="N34" s="428">
        <f t="shared" si="0"/>
        <v>0</v>
      </c>
      <c r="O34" s="427"/>
      <c r="P34" s="429">
        <f t="shared" si="1"/>
        <v>0</v>
      </c>
      <c r="Q34" s="430"/>
      <c r="R34" s="428">
        <f t="shared" si="2"/>
        <v>0</v>
      </c>
      <c r="S34" s="431">
        <f t="shared" si="6"/>
        <v>0</v>
      </c>
      <c r="U34" s="410">
        <v>53208010100000</v>
      </c>
      <c r="V34" s="411" t="s">
        <v>30</v>
      </c>
      <c r="W34" s="418">
        <v>0</v>
      </c>
    </row>
    <row r="35" spans="1:23" ht="15" customHeight="1" x14ac:dyDescent="0.2">
      <c r="A35" s="606"/>
      <c r="B35" s="608" t="s">
        <v>90</v>
      </c>
      <c r="C35" s="367"/>
      <c r="D35" s="368"/>
      <c r="E35" s="369"/>
      <c r="F35" s="370"/>
      <c r="G35" s="372"/>
      <c r="H35" s="372"/>
      <c r="I35" s="373"/>
      <c r="J35" s="432">
        <f t="shared" si="4"/>
        <v>0</v>
      </c>
      <c r="K35" s="375">
        <f t="shared" si="7"/>
        <v>0</v>
      </c>
      <c r="L35" s="338"/>
      <c r="M35" s="376"/>
      <c r="N35" s="380">
        <f t="shared" si="0"/>
        <v>0</v>
      </c>
      <c r="O35" s="376"/>
      <c r="P35" s="378">
        <f t="shared" si="1"/>
        <v>0</v>
      </c>
      <c r="Q35" s="379"/>
      <c r="R35" s="380">
        <f t="shared" si="2"/>
        <v>0</v>
      </c>
      <c r="S35" s="381">
        <f t="shared" si="6"/>
        <v>0</v>
      </c>
      <c r="U35" s="410">
        <v>53208070100001</v>
      </c>
      <c r="V35" s="411" t="s">
        <v>31</v>
      </c>
      <c r="W35" s="418">
        <v>800000</v>
      </c>
    </row>
    <row r="36" spans="1:23" ht="15" customHeight="1" x14ac:dyDescent="0.2">
      <c r="A36" s="606"/>
      <c r="B36" s="609"/>
      <c r="C36" s="394"/>
      <c r="D36" s="395"/>
      <c r="E36" s="396"/>
      <c r="F36" s="397"/>
      <c r="G36" s="371"/>
      <c r="H36" s="371"/>
      <c r="I36" s="409"/>
      <c r="J36" s="434">
        <f t="shared" si="4"/>
        <v>0</v>
      </c>
      <c r="K36" s="401">
        <f t="shared" si="7"/>
        <v>0</v>
      </c>
      <c r="L36" s="338"/>
      <c r="M36" s="402"/>
      <c r="N36" s="377">
        <f t="shared" si="0"/>
        <v>0</v>
      </c>
      <c r="O36" s="402"/>
      <c r="P36" s="403">
        <f t="shared" si="1"/>
        <v>0</v>
      </c>
      <c r="Q36" s="404"/>
      <c r="R36" s="377">
        <f t="shared" si="2"/>
        <v>0</v>
      </c>
      <c r="S36" s="405">
        <f t="shared" si="6"/>
        <v>0</v>
      </c>
      <c r="U36" s="410">
        <v>53208100100001</v>
      </c>
      <c r="V36" s="411" t="s">
        <v>132</v>
      </c>
      <c r="W36" s="418">
        <v>0</v>
      </c>
    </row>
    <row r="37" spans="1:23" ht="15" customHeight="1" x14ac:dyDescent="0.2">
      <c r="A37" s="606"/>
      <c r="B37" s="609"/>
      <c r="C37" s="394"/>
      <c r="D37" s="395"/>
      <c r="E37" s="396"/>
      <c r="F37" s="397"/>
      <c r="G37" s="371"/>
      <c r="H37" s="371"/>
      <c r="I37" s="409"/>
      <c r="J37" s="434">
        <f t="shared" si="4"/>
        <v>0</v>
      </c>
      <c r="K37" s="401">
        <f t="shared" si="7"/>
        <v>0</v>
      </c>
      <c r="L37" s="338"/>
      <c r="M37" s="402"/>
      <c r="N37" s="377">
        <f t="shared" si="0"/>
        <v>0</v>
      </c>
      <c r="O37" s="402"/>
      <c r="P37" s="403">
        <f t="shared" si="1"/>
        <v>0</v>
      </c>
      <c r="Q37" s="404"/>
      <c r="R37" s="377">
        <f t="shared" si="2"/>
        <v>0</v>
      </c>
      <c r="S37" s="405">
        <f t="shared" si="6"/>
        <v>0</v>
      </c>
      <c r="U37" s="410">
        <v>53211030000000</v>
      </c>
      <c r="V37" s="411" t="s">
        <v>32</v>
      </c>
      <c r="W37" s="418">
        <v>0</v>
      </c>
    </row>
    <row r="38" spans="1:23" ht="15" customHeight="1" x14ac:dyDescent="0.2">
      <c r="A38" s="606"/>
      <c r="B38" s="609"/>
      <c r="C38" s="394"/>
      <c r="D38" s="395"/>
      <c r="E38" s="396"/>
      <c r="F38" s="397"/>
      <c r="G38" s="371"/>
      <c r="H38" s="371"/>
      <c r="I38" s="409"/>
      <c r="J38" s="434">
        <f t="shared" si="4"/>
        <v>0</v>
      </c>
      <c r="K38" s="401">
        <f t="shared" si="7"/>
        <v>0</v>
      </c>
      <c r="L38" s="338"/>
      <c r="M38" s="402"/>
      <c r="N38" s="377">
        <f t="shared" si="0"/>
        <v>0</v>
      </c>
      <c r="O38" s="402"/>
      <c r="P38" s="403">
        <f t="shared" si="1"/>
        <v>0</v>
      </c>
      <c r="Q38" s="404"/>
      <c r="R38" s="377">
        <f t="shared" si="2"/>
        <v>0</v>
      </c>
      <c r="S38" s="405">
        <f t="shared" si="6"/>
        <v>0</v>
      </c>
      <c r="U38" s="410">
        <v>53212020100000</v>
      </c>
      <c r="V38" s="411" t="s">
        <v>96</v>
      </c>
      <c r="W38" s="418">
        <v>920846</v>
      </c>
    </row>
    <row r="39" spans="1:23" ht="15.75" customHeight="1" thickBot="1" x14ac:dyDescent="0.25">
      <c r="A39" s="606"/>
      <c r="B39" s="610"/>
      <c r="C39" s="419"/>
      <c r="D39" s="420"/>
      <c r="E39" s="421"/>
      <c r="F39" s="422"/>
      <c r="G39" s="423"/>
      <c r="H39" s="423"/>
      <c r="I39" s="424"/>
      <c r="J39" s="435">
        <f t="shared" si="4"/>
        <v>0</v>
      </c>
      <c r="K39" s="426">
        <f t="shared" si="7"/>
        <v>0</v>
      </c>
      <c r="L39" s="338"/>
      <c r="M39" s="427"/>
      <c r="N39" s="428">
        <f t="shared" si="0"/>
        <v>0</v>
      </c>
      <c r="O39" s="427"/>
      <c r="P39" s="429">
        <f t="shared" si="1"/>
        <v>0</v>
      </c>
      <c r="Q39" s="430"/>
      <c r="R39" s="428">
        <f t="shared" si="2"/>
        <v>0</v>
      </c>
      <c r="S39" s="431">
        <f t="shared" si="6"/>
        <v>0</v>
      </c>
      <c r="U39" s="410">
        <v>53214020000000</v>
      </c>
      <c r="V39" s="411" t="s">
        <v>33</v>
      </c>
      <c r="W39" s="418">
        <v>980952</v>
      </c>
    </row>
    <row r="40" spans="1:23" ht="15" customHeight="1" x14ac:dyDescent="0.2">
      <c r="A40" s="606"/>
      <c r="B40" s="611" t="s">
        <v>118</v>
      </c>
      <c r="C40" s="436"/>
      <c r="D40" s="437"/>
      <c r="E40" s="438"/>
      <c r="F40" s="439"/>
      <c r="G40" s="372"/>
      <c r="H40" s="372"/>
      <c r="I40" s="373"/>
      <c r="J40" s="440">
        <f t="shared" ref="J40:J61" si="8">SUM(G40:I40)</f>
        <v>0</v>
      </c>
      <c r="K40" s="441">
        <f t="shared" si="7"/>
        <v>0</v>
      </c>
      <c r="L40" s="338"/>
      <c r="M40" s="376"/>
      <c r="N40" s="380">
        <f t="shared" si="0"/>
        <v>0</v>
      </c>
      <c r="O40" s="376"/>
      <c r="P40" s="378">
        <f t="shared" si="1"/>
        <v>0</v>
      </c>
      <c r="Q40" s="379"/>
      <c r="R40" s="380">
        <f t="shared" si="2"/>
        <v>0</v>
      </c>
      <c r="S40" s="381">
        <f t="shared" si="6"/>
        <v>0</v>
      </c>
      <c r="U40" s="382"/>
      <c r="V40" s="383" t="s">
        <v>34</v>
      </c>
      <c r="W40" s="384">
        <f>SUM(W41,W46,W49,W60,W70,W78)</f>
        <v>5811417</v>
      </c>
    </row>
    <row r="41" spans="1:23" ht="15" customHeight="1" x14ac:dyDescent="0.2">
      <c r="A41" s="606"/>
      <c r="B41" s="612"/>
      <c r="C41" s="442"/>
      <c r="D41" s="443"/>
      <c r="E41" s="444"/>
      <c r="F41" s="445"/>
      <c r="G41" s="371"/>
      <c r="H41" s="371"/>
      <c r="I41" s="409"/>
      <c r="J41" s="446">
        <f t="shared" si="8"/>
        <v>0</v>
      </c>
      <c r="K41" s="447">
        <f t="shared" si="7"/>
        <v>0</v>
      </c>
      <c r="L41" s="338"/>
      <c r="M41" s="402"/>
      <c r="N41" s="377">
        <f t="shared" si="0"/>
        <v>0</v>
      </c>
      <c r="O41" s="402"/>
      <c r="P41" s="403">
        <f t="shared" si="1"/>
        <v>0</v>
      </c>
      <c r="Q41" s="404"/>
      <c r="R41" s="377">
        <f t="shared" si="2"/>
        <v>0</v>
      </c>
      <c r="S41" s="405">
        <f t="shared" si="6"/>
        <v>0</v>
      </c>
      <c r="U41" s="406"/>
      <c r="V41" s="407" t="s">
        <v>35</v>
      </c>
      <c r="W41" s="408">
        <f>SUM(W42:W45)</f>
        <v>800000</v>
      </c>
    </row>
    <row r="42" spans="1:23" ht="15" customHeight="1" x14ac:dyDescent="0.2">
      <c r="A42" s="606"/>
      <c r="B42" s="612"/>
      <c r="C42" s="442"/>
      <c r="D42" s="443"/>
      <c r="E42" s="444"/>
      <c r="F42" s="445"/>
      <c r="G42" s="371"/>
      <c r="H42" s="371"/>
      <c r="I42" s="409"/>
      <c r="J42" s="446">
        <f t="shared" si="8"/>
        <v>0</v>
      </c>
      <c r="K42" s="447">
        <f t="shared" si="7"/>
        <v>0</v>
      </c>
      <c r="L42" s="338"/>
      <c r="M42" s="402"/>
      <c r="N42" s="377">
        <f t="shared" si="0"/>
        <v>0</v>
      </c>
      <c r="O42" s="402"/>
      <c r="P42" s="403">
        <f t="shared" si="1"/>
        <v>0</v>
      </c>
      <c r="Q42" s="404"/>
      <c r="R42" s="377">
        <f t="shared" si="2"/>
        <v>0</v>
      </c>
      <c r="S42" s="405">
        <f t="shared" si="6"/>
        <v>0</v>
      </c>
      <c r="U42" s="410">
        <v>53202020100000</v>
      </c>
      <c r="V42" s="411" t="s">
        <v>39</v>
      </c>
      <c r="W42" s="412"/>
    </row>
    <row r="43" spans="1:23" ht="15" customHeight="1" x14ac:dyDescent="0.2">
      <c r="A43" s="606"/>
      <c r="B43" s="612"/>
      <c r="C43" s="442"/>
      <c r="D43" s="443"/>
      <c r="E43" s="444"/>
      <c r="F43" s="445"/>
      <c r="G43" s="371"/>
      <c r="H43" s="371"/>
      <c r="I43" s="409"/>
      <c r="J43" s="446">
        <f t="shared" si="8"/>
        <v>0</v>
      </c>
      <c r="K43" s="447">
        <f t="shared" si="7"/>
        <v>0</v>
      </c>
      <c r="L43" s="338"/>
      <c r="M43" s="402"/>
      <c r="N43" s="377">
        <f t="shared" si="0"/>
        <v>0</v>
      </c>
      <c r="O43" s="402"/>
      <c r="P43" s="403">
        <f t="shared" si="1"/>
        <v>0</v>
      </c>
      <c r="Q43" s="404"/>
      <c r="R43" s="377">
        <f t="shared" si="2"/>
        <v>0</v>
      </c>
      <c r="S43" s="405">
        <f t="shared" si="6"/>
        <v>0</v>
      </c>
      <c r="U43" s="410">
        <v>53202030000000</v>
      </c>
      <c r="V43" s="411" t="s">
        <v>40</v>
      </c>
      <c r="W43" s="412"/>
    </row>
    <row r="44" spans="1:23" ht="15" customHeight="1" x14ac:dyDescent="0.2">
      <c r="A44" s="606"/>
      <c r="B44" s="612"/>
      <c r="C44" s="442"/>
      <c r="D44" s="443"/>
      <c r="E44" s="444"/>
      <c r="F44" s="445"/>
      <c r="G44" s="371"/>
      <c r="H44" s="371"/>
      <c r="I44" s="409"/>
      <c r="J44" s="446">
        <f t="shared" si="8"/>
        <v>0</v>
      </c>
      <c r="K44" s="447">
        <f t="shared" si="7"/>
        <v>0</v>
      </c>
      <c r="L44" s="338"/>
      <c r="M44" s="402"/>
      <c r="N44" s="377">
        <f t="shared" si="0"/>
        <v>0</v>
      </c>
      <c r="O44" s="402"/>
      <c r="P44" s="403">
        <f t="shared" si="1"/>
        <v>0</v>
      </c>
      <c r="Q44" s="404"/>
      <c r="R44" s="377">
        <f t="shared" si="2"/>
        <v>0</v>
      </c>
      <c r="S44" s="405">
        <f t="shared" si="6"/>
        <v>0</v>
      </c>
      <c r="U44" s="410">
        <v>53211020000000</v>
      </c>
      <c r="V44" s="411" t="s">
        <v>41</v>
      </c>
      <c r="W44" s="412">
        <v>200000</v>
      </c>
    </row>
    <row r="45" spans="1:23" ht="15" customHeight="1" x14ac:dyDescent="0.2">
      <c r="A45" s="606"/>
      <c r="B45" s="612"/>
      <c r="C45" s="442"/>
      <c r="D45" s="443"/>
      <c r="E45" s="444"/>
      <c r="F45" s="445"/>
      <c r="G45" s="371"/>
      <c r="H45" s="371"/>
      <c r="I45" s="409"/>
      <c r="J45" s="446">
        <f t="shared" si="8"/>
        <v>0</v>
      </c>
      <c r="K45" s="447">
        <f t="shared" si="7"/>
        <v>0</v>
      </c>
      <c r="L45" s="338"/>
      <c r="M45" s="402"/>
      <c r="N45" s="377">
        <f t="shared" si="0"/>
        <v>0</v>
      </c>
      <c r="O45" s="402"/>
      <c r="P45" s="403">
        <f t="shared" si="1"/>
        <v>0</v>
      </c>
      <c r="Q45" s="404"/>
      <c r="R45" s="377">
        <f t="shared" si="2"/>
        <v>0</v>
      </c>
      <c r="S45" s="405">
        <f t="shared" si="6"/>
        <v>0</v>
      </c>
      <c r="U45" s="410">
        <v>53101004030000</v>
      </c>
      <c r="V45" s="411" t="s">
        <v>38</v>
      </c>
      <c r="W45" s="412">
        <v>600000</v>
      </c>
    </row>
    <row r="46" spans="1:23" ht="15" customHeight="1" x14ac:dyDescent="0.2">
      <c r="A46" s="606"/>
      <c r="B46" s="612"/>
      <c r="C46" s="442"/>
      <c r="D46" s="443"/>
      <c r="E46" s="444"/>
      <c r="F46" s="445"/>
      <c r="G46" s="371"/>
      <c r="H46" s="371"/>
      <c r="I46" s="409"/>
      <c r="J46" s="446">
        <f t="shared" si="8"/>
        <v>0</v>
      </c>
      <c r="K46" s="447">
        <f t="shared" si="7"/>
        <v>0</v>
      </c>
      <c r="L46" s="338"/>
      <c r="M46" s="402"/>
      <c r="N46" s="377">
        <f t="shared" si="0"/>
        <v>0</v>
      </c>
      <c r="O46" s="402"/>
      <c r="P46" s="403">
        <f t="shared" si="1"/>
        <v>0</v>
      </c>
      <c r="Q46" s="404"/>
      <c r="R46" s="377">
        <f t="shared" si="2"/>
        <v>0</v>
      </c>
      <c r="S46" s="405">
        <f t="shared" si="6"/>
        <v>0</v>
      </c>
      <c r="U46" s="406"/>
      <c r="V46" s="407" t="s">
        <v>42</v>
      </c>
      <c r="W46" s="408">
        <f>SUM(W47:W48)</f>
        <v>0</v>
      </c>
    </row>
    <row r="47" spans="1:23" ht="15" customHeight="1" x14ac:dyDescent="0.2">
      <c r="A47" s="606"/>
      <c r="B47" s="612"/>
      <c r="C47" s="442"/>
      <c r="D47" s="443"/>
      <c r="E47" s="444"/>
      <c r="F47" s="445"/>
      <c r="G47" s="371"/>
      <c r="H47" s="371"/>
      <c r="I47" s="409"/>
      <c r="J47" s="446">
        <f t="shared" si="8"/>
        <v>0</v>
      </c>
      <c r="K47" s="447">
        <f t="shared" si="7"/>
        <v>0</v>
      </c>
      <c r="L47" s="338"/>
      <c r="M47" s="402"/>
      <c r="N47" s="377">
        <f t="shared" si="0"/>
        <v>0</v>
      </c>
      <c r="O47" s="402"/>
      <c r="P47" s="403">
        <f t="shared" si="1"/>
        <v>0</v>
      </c>
      <c r="Q47" s="404"/>
      <c r="R47" s="377">
        <f t="shared" si="2"/>
        <v>0</v>
      </c>
      <c r="S47" s="405">
        <f t="shared" si="6"/>
        <v>0</v>
      </c>
      <c r="U47" s="410">
        <v>53205080000000</v>
      </c>
      <c r="V47" s="411" t="s">
        <v>43</v>
      </c>
      <c r="W47" s="412"/>
    </row>
    <row r="48" spans="1:23" ht="15" customHeight="1" x14ac:dyDescent="0.2">
      <c r="A48" s="606"/>
      <c r="B48" s="612"/>
      <c r="C48" s="442"/>
      <c r="D48" s="443"/>
      <c r="E48" s="444"/>
      <c r="F48" s="445"/>
      <c r="G48" s="371"/>
      <c r="H48" s="371"/>
      <c r="I48" s="409"/>
      <c r="J48" s="446">
        <f t="shared" si="8"/>
        <v>0</v>
      </c>
      <c r="K48" s="447">
        <f t="shared" si="7"/>
        <v>0</v>
      </c>
      <c r="L48" s="338"/>
      <c r="M48" s="402"/>
      <c r="N48" s="377">
        <f t="shared" si="0"/>
        <v>0</v>
      </c>
      <c r="O48" s="402"/>
      <c r="P48" s="403">
        <f t="shared" si="1"/>
        <v>0</v>
      </c>
      <c r="Q48" s="404"/>
      <c r="R48" s="377">
        <f t="shared" si="2"/>
        <v>0</v>
      </c>
      <c r="S48" s="405">
        <f t="shared" si="6"/>
        <v>0</v>
      </c>
      <c r="U48" s="410">
        <v>53205990000000</v>
      </c>
      <c r="V48" s="411" t="s">
        <v>44</v>
      </c>
      <c r="W48" s="412"/>
    </row>
    <row r="49" spans="1:23" ht="15" customHeight="1" x14ac:dyDescent="0.2">
      <c r="A49" s="606"/>
      <c r="B49" s="612"/>
      <c r="C49" s="442"/>
      <c r="D49" s="443"/>
      <c r="E49" s="444"/>
      <c r="F49" s="445"/>
      <c r="G49" s="371"/>
      <c r="H49" s="371"/>
      <c r="I49" s="409"/>
      <c r="J49" s="446">
        <f t="shared" si="8"/>
        <v>0</v>
      </c>
      <c r="K49" s="447">
        <f t="shared" si="7"/>
        <v>0</v>
      </c>
      <c r="L49" s="338"/>
      <c r="M49" s="402"/>
      <c r="N49" s="377">
        <f t="shared" si="0"/>
        <v>0</v>
      </c>
      <c r="O49" s="402"/>
      <c r="P49" s="403">
        <f t="shared" si="1"/>
        <v>0</v>
      </c>
      <c r="Q49" s="404"/>
      <c r="R49" s="377">
        <f t="shared" si="2"/>
        <v>0</v>
      </c>
      <c r="S49" s="405">
        <f t="shared" si="6"/>
        <v>0</v>
      </c>
      <c r="U49" s="406"/>
      <c r="V49" s="407" t="s">
        <v>45</v>
      </c>
      <c r="W49" s="408">
        <f>SUM(W50:W59)</f>
        <v>3191417</v>
      </c>
    </row>
    <row r="50" spans="1:23" ht="15" customHeight="1" x14ac:dyDescent="0.2">
      <c r="A50" s="606"/>
      <c r="B50" s="612"/>
      <c r="C50" s="442"/>
      <c r="D50" s="443"/>
      <c r="E50" s="444"/>
      <c r="F50" s="445"/>
      <c r="G50" s="371"/>
      <c r="H50" s="371"/>
      <c r="I50" s="409"/>
      <c r="J50" s="446">
        <f t="shared" si="8"/>
        <v>0</v>
      </c>
      <c r="K50" s="447">
        <f t="shared" si="7"/>
        <v>0</v>
      </c>
      <c r="L50" s="338"/>
      <c r="M50" s="402"/>
      <c r="N50" s="377">
        <f t="shared" si="0"/>
        <v>0</v>
      </c>
      <c r="O50" s="402"/>
      <c r="P50" s="403">
        <f t="shared" si="1"/>
        <v>0</v>
      </c>
      <c r="Q50" s="404"/>
      <c r="R50" s="377">
        <f t="shared" si="2"/>
        <v>0</v>
      </c>
      <c r="S50" s="405">
        <f t="shared" si="6"/>
        <v>0</v>
      </c>
      <c r="U50" s="410">
        <v>53203010200000</v>
      </c>
      <c r="V50" s="411" t="s">
        <v>46</v>
      </c>
      <c r="W50" s="412"/>
    </row>
    <row r="51" spans="1:23" ht="15" customHeight="1" x14ac:dyDescent="0.2">
      <c r="A51" s="606"/>
      <c r="B51" s="612"/>
      <c r="C51" s="442"/>
      <c r="D51" s="443"/>
      <c r="E51" s="444"/>
      <c r="F51" s="445"/>
      <c r="G51" s="371"/>
      <c r="H51" s="371"/>
      <c r="I51" s="409"/>
      <c r="J51" s="446">
        <f t="shared" si="8"/>
        <v>0</v>
      </c>
      <c r="K51" s="447">
        <f t="shared" si="7"/>
        <v>0</v>
      </c>
      <c r="L51" s="338"/>
      <c r="M51" s="402"/>
      <c r="N51" s="377">
        <f t="shared" si="0"/>
        <v>0</v>
      </c>
      <c r="O51" s="402"/>
      <c r="P51" s="403">
        <f t="shared" si="1"/>
        <v>0</v>
      </c>
      <c r="Q51" s="404"/>
      <c r="R51" s="377">
        <f t="shared" si="2"/>
        <v>0</v>
      </c>
      <c r="S51" s="405">
        <f t="shared" si="6"/>
        <v>0</v>
      </c>
      <c r="U51" s="410">
        <v>53204010000000</v>
      </c>
      <c r="V51" s="411" t="s">
        <v>47</v>
      </c>
      <c r="W51" s="448">
        <v>985417</v>
      </c>
    </row>
    <row r="52" spans="1:23" ht="15" customHeight="1" x14ac:dyDescent="0.2">
      <c r="A52" s="606"/>
      <c r="B52" s="612"/>
      <c r="C52" s="442"/>
      <c r="D52" s="443"/>
      <c r="E52" s="444"/>
      <c r="F52" s="445"/>
      <c r="G52" s="371"/>
      <c r="H52" s="371"/>
      <c r="I52" s="409"/>
      <c r="J52" s="446">
        <f t="shared" si="8"/>
        <v>0</v>
      </c>
      <c r="K52" s="447">
        <f t="shared" si="7"/>
        <v>0</v>
      </c>
      <c r="L52" s="338"/>
      <c r="M52" s="402"/>
      <c r="N52" s="377">
        <f t="shared" si="0"/>
        <v>0</v>
      </c>
      <c r="O52" s="402"/>
      <c r="P52" s="403">
        <f t="shared" si="1"/>
        <v>0</v>
      </c>
      <c r="Q52" s="404"/>
      <c r="R52" s="377">
        <f t="shared" si="2"/>
        <v>0</v>
      </c>
      <c r="S52" s="405">
        <f t="shared" si="6"/>
        <v>0</v>
      </c>
      <c r="U52" s="410">
        <v>53204040200000</v>
      </c>
      <c r="V52" s="411" t="s">
        <v>48</v>
      </c>
      <c r="W52" s="448">
        <v>70000</v>
      </c>
    </row>
    <row r="53" spans="1:23" ht="15" customHeight="1" x14ac:dyDescent="0.2">
      <c r="A53" s="606"/>
      <c r="B53" s="612"/>
      <c r="C53" s="442"/>
      <c r="D53" s="443"/>
      <c r="E53" s="444"/>
      <c r="F53" s="445"/>
      <c r="G53" s="371"/>
      <c r="H53" s="371"/>
      <c r="I53" s="409"/>
      <c r="J53" s="446">
        <f t="shared" si="8"/>
        <v>0</v>
      </c>
      <c r="K53" s="447">
        <f t="shared" si="7"/>
        <v>0</v>
      </c>
      <c r="L53" s="338"/>
      <c r="M53" s="402"/>
      <c r="N53" s="377">
        <f t="shared" si="0"/>
        <v>0</v>
      </c>
      <c r="O53" s="402"/>
      <c r="P53" s="403">
        <f t="shared" si="1"/>
        <v>0</v>
      </c>
      <c r="Q53" s="404"/>
      <c r="R53" s="377">
        <f t="shared" si="2"/>
        <v>0</v>
      </c>
      <c r="S53" s="405">
        <f t="shared" si="6"/>
        <v>0</v>
      </c>
      <c r="U53" s="410">
        <v>53204060000000</v>
      </c>
      <c r="V53" s="411" t="s">
        <v>49</v>
      </c>
      <c r="W53" s="448">
        <v>100000</v>
      </c>
    </row>
    <row r="54" spans="1:23" ht="15" customHeight="1" x14ac:dyDescent="0.2">
      <c r="A54" s="606"/>
      <c r="B54" s="612"/>
      <c r="C54" s="442"/>
      <c r="D54" s="443"/>
      <c r="E54" s="444"/>
      <c r="F54" s="445"/>
      <c r="G54" s="371"/>
      <c r="H54" s="371"/>
      <c r="I54" s="409"/>
      <c r="J54" s="446">
        <f t="shared" si="8"/>
        <v>0</v>
      </c>
      <c r="K54" s="447">
        <f t="shared" si="7"/>
        <v>0</v>
      </c>
      <c r="L54" s="338"/>
      <c r="M54" s="402"/>
      <c r="N54" s="377">
        <f t="shared" si="0"/>
        <v>0</v>
      </c>
      <c r="O54" s="402"/>
      <c r="P54" s="403">
        <f t="shared" si="1"/>
        <v>0</v>
      </c>
      <c r="Q54" s="404"/>
      <c r="R54" s="377">
        <f t="shared" si="2"/>
        <v>0</v>
      </c>
      <c r="S54" s="405">
        <f t="shared" si="6"/>
        <v>0</v>
      </c>
      <c r="U54" s="410">
        <v>53204070000000</v>
      </c>
      <c r="V54" s="411" t="s">
        <v>50</v>
      </c>
      <c r="W54" s="448">
        <v>956000</v>
      </c>
    </row>
    <row r="55" spans="1:23" ht="15" customHeight="1" x14ac:dyDescent="0.2">
      <c r="A55" s="606"/>
      <c r="B55" s="612"/>
      <c r="C55" s="442"/>
      <c r="D55" s="443"/>
      <c r="E55" s="444"/>
      <c r="F55" s="445"/>
      <c r="G55" s="371"/>
      <c r="H55" s="371"/>
      <c r="I55" s="409"/>
      <c r="J55" s="446">
        <f t="shared" si="8"/>
        <v>0</v>
      </c>
      <c r="K55" s="447">
        <f t="shared" si="7"/>
        <v>0</v>
      </c>
      <c r="L55" s="338"/>
      <c r="M55" s="402"/>
      <c r="N55" s="377">
        <f t="shared" si="0"/>
        <v>0</v>
      </c>
      <c r="O55" s="402"/>
      <c r="P55" s="403">
        <f t="shared" si="1"/>
        <v>0</v>
      </c>
      <c r="Q55" s="404"/>
      <c r="R55" s="377">
        <f t="shared" si="2"/>
        <v>0</v>
      </c>
      <c r="S55" s="405">
        <f t="shared" si="6"/>
        <v>0</v>
      </c>
      <c r="U55" s="410">
        <v>53204080000000</v>
      </c>
      <c r="V55" s="411" t="s">
        <v>51</v>
      </c>
      <c r="W55" s="448">
        <v>80000</v>
      </c>
    </row>
    <row r="56" spans="1:23" ht="15" customHeight="1" x14ac:dyDescent="0.2">
      <c r="A56" s="606"/>
      <c r="B56" s="612"/>
      <c r="C56" s="442"/>
      <c r="D56" s="443"/>
      <c r="E56" s="444"/>
      <c r="F56" s="445"/>
      <c r="G56" s="371"/>
      <c r="H56" s="371"/>
      <c r="I56" s="409"/>
      <c r="J56" s="446">
        <f t="shared" si="8"/>
        <v>0</v>
      </c>
      <c r="K56" s="447">
        <f t="shared" si="7"/>
        <v>0</v>
      </c>
      <c r="L56" s="338"/>
      <c r="M56" s="402"/>
      <c r="N56" s="377">
        <f t="shared" si="0"/>
        <v>0</v>
      </c>
      <c r="O56" s="402"/>
      <c r="P56" s="403">
        <f t="shared" si="1"/>
        <v>0</v>
      </c>
      <c r="Q56" s="404"/>
      <c r="R56" s="377">
        <f t="shared" si="2"/>
        <v>0</v>
      </c>
      <c r="S56" s="405">
        <f t="shared" si="6"/>
        <v>0</v>
      </c>
      <c r="U56" s="410">
        <v>53214010000000</v>
      </c>
      <c r="V56" s="411" t="s">
        <v>52</v>
      </c>
      <c r="W56" s="448">
        <v>500000</v>
      </c>
    </row>
    <row r="57" spans="1:23" ht="15" customHeight="1" x14ac:dyDescent="0.2">
      <c r="A57" s="606"/>
      <c r="B57" s="612"/>
      <c r="C57" s="442"/>
      <c r="D57" s="443"/>
      <c r="E57" s="444"/>
      <c r="F57" s="445"/>
      <c r="G57" s="371"/>
      <c r="H57" s="371"/>
      <c r="I57" s="409"/>
      <c r="J57" s="446">
        <f t="shared" si="8"/>
        <v>0</v>
      </c>
      <c r="K57" s="447">
        <f t="shared" si="7"/>
        <v>0</v>
      </c>
      <c r="L57" s="338"/>
      <c r="M57" s="402"/>
      <c r="N57" s="377">
        <f t="shared" si="0"/>
        <v>0</v>
      </c>
      <c r="O57" s="402"/>
      <c r="P57" s="403">
        <f t="shared" si="1"/>
        <v>0</v>
      </c>
      <c r="Q57" s="404"/>
      <c r="R57" s="377">
        <f t="shared" si="2"/>
        <v>0</v>
      </c>
      <c r="S57" s="405">
        <f t="shared" si="6"/>
        <v>0</v>
      </c>
      <c r="U57" s="410">
        <v>53214040000000</v>
      </c>
      <c r="V57" s="411" t="s">
        <v>133</v>
      </c>
      <c r="W57" s="448">
        <v>500000</v>
      </c>
    </row>
    <row r="58" spans="1:23" ht="15" customHeight="1" x14ac:dyDescent="0.2">
      <c r="A58" s="606"/>
      <c r="B58" s="612"/>
      <c r="C58" s="442"/>
      <c r="D58" s="443"/>
      <c r="E58" s="444"/>
      <c r="F58" s="445"/>
      <c r="G58" s="371"/>
      <c r="H58" s="371"/>
      <c r="I58" s="409"/>
      <c r="J58" s="446">
        <f t="shared" si="8"/>
        <v>0</v>
      </c>
      <c r="K58" s="447">
        <f t="shared" si="7"/>
        <v>0</v>
      </c>
      <c r="L58" s="338"/>
      <c r="M58" s="402"/>
      <c r="N58" s="377">
        <f t="shared" si="0"/>
        <v>0</v>
      </c>
      <c r="O58" s="402"/>
      <c r="P58" s="403">
        <f t="shared" si="1"/>
        <v>0</v>
      </c>
      <c r="Q58" s="404"/>
      <c r="R58" s="377">
        <f t="shared" si="2"/>
        <v>0</v>
      </c>
      <c r="S58" s="405">
        <f t="shared" si="6"/>
        <v>0</v>
      </c>
      <c r="U58" s="410">
        <v>55201010100004</v>
      </c>
      <c r="V58" s="411" t="s">
        <v>53</v>
      </c>
      <c r="W58" s="412"/>
    </row>
    <row r="59" spans="1:23" ht="15" customHeight="1" x14ac:dyDescent="0.2">
      <c r="A59" s="606"/>
      <c r="B59" s="612"/>
      <c r="C59" s="442"/>
      <c r="D59" s="443"/>
      <c r="E59" s="444"/>
      <c r="F59" s="445"/>
      <c r="G59" s="371"/>
      <c r="H59" s="371"/>
      <c r="I59" s="409"/>
      <c r="J59" s="446">
        <f t="shared" si="8"/>
        <v>0</v>
      </c>
      <c r="K59" s="447">
        <f t="shared" si="7"/>
        <v>0</v>
      </c>
      <c r="L59" s="338"/>
      <c r="M59" s="402"/>
      <c r="N59" s="377">
        <f t="shared" si="0"/>
        <v>0</v>
      </c>
      <c r="O59" s="402"/>
      <c r="P59" s="403">
        <f t="shared" si="1"/>
        <v>0</v>
      </c>
      <c r="Q59" s="404"/>
      <c r="R59" s="377">
        <f t="shared" si="2"/>
        <v>0</v>
      </c>
      <c r="S59" s="405">
        <f t="shared" si="6"/>
        <v>0</v>
      </c>
      <c r="U59" s="410">
        <v>55201010100005</v>
      </c>
      <c r="V59" s="411" t="s">
        <v>54</v>
      </c>
      <c r="W59" s="412">
        <v>0</v>
      </c>
    </row>
    <row r="60" spans="1:23" ht="15" customHeight="1" x14ac:dyDescent="0.2">
      <c r="A60" s="606"/>
      <c r="B60" s="612"/>
      <c r="C60" s="442"/>
      <c r="D60" s="443"/>
      <c r="E60" s="444"/>
      <c r="F60" s="445"/>
      <c r="G60" s="371"/>
      <c r="H60" s="371"/>
      <c r="I60" s="409"/>
      <c r="J60" s="446">
        <f t="shared" si="8"/>
        <v>0</v>
      </c>
      <c r="K60" s="447">
        <f t="shared" si="7"/>
        <v>0</v>
      </c>
      <c r="L60" s="338"/>
      <c r="M60" s="402"/>
      <c r="N60" s="377">
        <f t="shared" si="0"/>
        <v>0</v>
      </c>
      <c r="O60" s="402"/>
      <c r="P60" s="403">
        <f t="shared" si="1"/>
        <v>0</v>
      </c>
      <c r="Q60" s="404"/>
      <c r="R60" s="377">
        <f t="shared" si="2"/>
        <v>0</v>
      </c>
      <c r="S60" s="405">
        <f t="shared" si="6"/>
        <v>0</v>
      </c>
      <c r="U60" s="406"/>
      <c r="V60" s="407" t="s">
        <v>55</v>
      </c>
      <c r="W60" s="408">
        <f>SUM(W61:W69)</f>
        <v>520000</v>
      </c>
    </row>
    <row r="61" spans="1:23" ht="15.75" customHeight="1" thickBot="1" x14ac:dyDescent="0.25">
      <c r="A61" s="607"/>
      <c r="B61" s="613"/>
      <c r="C61" s="419"/>
      <c r="D61" s="420"/>
      <c r="E61" s="421"/>
      <c r="F61" s="422"/>
      <c r="G61" s="423"/>
      <c r="H61" s="423"/>
      <c r="I61" s="424"/>
      <c r="J61" s="435">
        <f t="shared" si="8"/>
        <v>0</v>
      </c>
      <c r="K61" s="426">
        <f t="shared" si="7"/>
        <v>0</v>
      </c>
      <c r="L61" s="338"/>
      <c r="M61" s="427"/>
      <c r="N61" s="428">
        <f t="shared" si="0"/>
        <v>0</v>
      </c>
      <c r="O61" s="427"/>
      <c r="P61" s="429">
        <f t="shared" si="1"/>
        <v>0</v>
      </c>
      <c r="Q61" s="430"/>
      <c r="R61" s="428">
        <f t="shared" si="2"/>
        <v>0</v>
      </c>
      <c r="S61" s="431">
        <f t="shared" si="6"/>
        <v>0</v>
      </c>
      <c r="U61" s="410">
        <v>53207010000000</v>
      </c>
      <c r="V61" s="411" t="s">
        <v>56</v>
      </c>
      <c r="W61" s="412"/>
    </row>
    <row r="62" spans="1:23" ht="16.5" thickBot="1" x14ac:dyDescent="0.25">
      <c r="K62" s="449">
        <f>SUM(K15:K61)</f>
        <v>56971357.356000006</v>
      </c>
      <c r="M62" s="450">
        <f>+IFERROR(N62/$K$62,0)</f>
        <v>0.24841204171361606</v>
      </c>
      <c r="N62" s="451">
        <f>SUM(N15:N61)</f>
        <v>14152371.200000001</v>
      </c>
      <c r="O62" s="450">
        <f>+IFERROR(P62/$K$62,0)</f>
        <v>0.18630903128521203</v>
      </c>
      <c r="P62" s="451">
        <f>SUM(P15:P61)</f>
        <v>10614278.4</v>
      </c>
      <c r="Q62" s="450">
        <f>+IFERROR(R62/$K$62,0)</f>
        <v>0.56527892700117188</v>
      </c>
      <c r="R62" s="451">
        <f>SUM(R15:R61)</f>
        <v>32204707.756000005</v>
      </c>
      <c r="U62" s="410">
        <v>53207020000000</v>
      </c>
      <c r="V62" s="411" t="s">
        <v>57</v>
      </c>
      <c r="W62" s="412"/>
    </row>
    <row r="63" spans="1:23" x14ac:dyDescent="0.2">
      <c r="K63" s="452">
        <v>1</v>
      </c>
      <c r="U63" s="410">
        <v>53208020000000</v>
      </c>
      <c r="V63" s="411" t="s">
        <v>58</v>
      </c>
      <c r="W63" s="412"/>
    </row>
    <row r="64" spans="1:23" x14ac:dyDescent="0.2">
      <c r="U64" s="410">
        <v>53208990000000</v>
      </c>
      <c r="V64" s="411" t="s">
        <v>59</v>
      </c>
      <c r="W64" s="412"/>
    </row>
    <row r="65" spans="1:23" x14ac:dyDescent="0.2">
      <c r="U65" s="410">
        <v>53209010000000</v>
      </c>
      <c r="V65" s="411" t="s">
        <v>60</v>
      </c>
      <c r="W65" s="412"/>
    </row>
    <row r="66" spans="1:23" x14ac:dyDescent="0.2">
      <c r="L66" s="338"/>
      <c r="U66" s="410">
        <v>53209040000000</v>
      </c>
      <c r="V66" s="411" t="s">
        <v>61</v>
      </c>
      <c r="W66" s="412"/>
    </row>
    <row r="67" spans="1:23" ht="13.5" thickBot="1" x14ac:dyDescent="0.25">
      <c r="L67" s="338"/>
      <c r="U67" s="410">
        <v>53209050000000</v>
      </c>
      <c r="V67" s="411" t="s">
        <v>62</v>
      </c>
      <c r="W67" s="412"/>
    </row>
    <row r="68" spans="1:23" x14ac:dyDescent="0.2">
      <c r="A68" s="562" t="s">
        <v>271</v>
      </c>
      <c r="B68" s="565" t="s">
        <v>272</v>
      </c>
      <c r="C68" s="367"/>
      <c r="D68" s="368"/>
      <c r="E68" s="369"/>
      <c r="F68" s="370"/>
      <c r="G68" s="372"/>
      <c r="H68" s="372"/>
      <c r="I68" s="373"/>
      <c r="J68" s="432">
        <f t="shared" ref="J68:J72" si="9">SUM(G68:I68)</f>
        <v>0</v>
      </c>
      <c r="K68" s="375">
        <f t="shared" ref="K68:K72" si="10">G68*(1+$K$11)+H68+I68</f>
        <v>0</v>
      </c>
      <c r="L68" s="338"/>
      <c r="U68" s="410">
        <v>53209990000000</v>
      </c>
      <c r="V68" s="411" t="s">
        <v>63</v>
      </c>
      <c r="W68" s="412"/>
    </row>
    <row r="69" spans="1:23" x14ac:dyDescent="0.2">
      <c r="A69" s="563"/>
      <c r="B69" s="566"/>
      <c r="C69" s="453"/>
      <c r="D69" s="454"/>
      <c r="E69" s="455"/>
      <c r="F69" s="456"/>
      <c r="G69" s="371"/>
      <c r="H69" s="371"/>
      <c r="I69" s="409"/>
      <c r="J69" s="434">
        <f>SUM(G69:I69)</f>
        <v>0</v>
      </c>
      <c r="K69" s="401">
        <f t="shared" si="10"/>
        <v>0</v>
      </c>
      <c r="L69" s="338"/>
      <c r="U69" s="410">
        <v>53210020100000</v>
      </c>
      <c r="V69" s="411" t="s">
        <v>64</v>
      </c>
      <c r="W69" s="412">
        <v>520000</v>
      </c>
    </row>
    <row r="70" spans="1:23" x14ac:dyDescent="0.2">
      <c r="A70" s="563"/>
      <c r="B70" s="566"/>
      <c r="C70" s="453"/>
      <c r="D70" s="454"/>
      <c r="E70" s="455"/>
      <c r="F70" s="456"/>
      <c r="G70" s="371"/>
      <c r="H70" s="371"/>
      <c r="I70" s="409"/>
      <c r="J70" s="434">
        <f t="shared" si="9"/>
        <v>0</v>
      </c>
      <c r="K70" s="401">
        <f t="shared" si="10"/>
        <v>0</v>
      </c>
      <c r="L70" s="338"/>
      <c r="U70" s="406"/>
      <c r="V70" s="407" t="s">
        <v>65</v>
      </c>
      <c r="W70" s="408">
        <f>SUM(W71:W77)</f>
        <v>1300000</v>
      </c>
    </row>
    <row r="71" spans="1:23" x14ac:dyDescent="0.2">
      <c r="A71" s="563"/>
      <c r="B71" s="566"/>
      <c r="C71" s="394"/>
      <c r="D71" s="395"/>
      <c r="E71" s="396"/>
      <c r="F71" s="397"/>
      <c r="G71" s="371"/>
      <c r="H71" s="371"/>
      <c r="I71" s="409"/>
      <c r="J71" s="434">
        <f t="shared" si="9"/>
        <v>0</v>
      </c>
      <c r="K71" s="401">
        <f t="shared" si="10"/>
        <v>0</v>
      </c>
      <c r="L71" s="338"/>
      <c r="M71" s="457"/>
      <c r="O71" s="457"/>
      <c r="Q71" s="457"/>
      <c r="U71" s="410">
        <v>53206030000000</v>
      </c>
      <c r="V71" s="411" t="s">
        <v>97</v>
      </c>
      <c r="W71" s="412"/>
    </row>
    <row r="72" spans="1:23" ht="13.5" thickBot="1" x14ac:dyDescent="0.25">
      <c r="A72" s="564"/>
      <c r="B72" s="567"/>
      <c r="C72" s="419"/>
      <c r="D72" s="420"/>
      <c r="E72" s="421"/>
      <c r="F72" s="422"/>
      <c r="G72" s="423"/>
      <c r="H72" s="423"/>
      <c r="I72" s="424"/>
      <c r="J72" s="435">
        <f t="shared" si="9"/>
        <v>0</v>
      </c>
      <c r="K72" s="426">
        <f t="shared" si="10"/>
        <v>0</v>
      </c>
      <c r="U72" s="410">
        <v>53206040000000</v>
      </c>
      <c r="V72" s="411" t="s">
        <v>98</v>
      </c>
      <c r="W72" s="458">
        <v>1200000</v>
      </c>
    </row>
    <row r="73" spans="1:23" ht="16.5" thickBot="1" x14ac:dyDescent="0.25">
      <c r="C73" s="337"/>
      <c r="D73" s="337"/>
      <c r="E73" s="459"/>
      <c r="F73" s="459"/>
      <c r="G73" s="459"/>
      <c r="H73" s="459"/>
      <c r="I73" s="459"/>
      <c r="K73" s="460">
        <f>SUM(K68:K72)</f>
        <v>0</v>
      </c>
      <c r="U73" s="410">
        <v>53206060000000</v>
      </c>
      <c r="V73" s="411" t="s">
        <v>99</v>
      </c>
      <c r="W73" s="458">
        <v>0</v>
      </c>
    </row>
    <row r="74" spans="1:23" x14ac:dyDescent="0.2">
      <c r="K74" s="452">
        <v>1</v>
      </c>
      <c r="U74" s="410">
        <v>53206070000000</v>
      </c>
      <c r="V74" s="411" t="s">
        <v>100</v>
      </c>
      <c r="W74" s="458">
        <v>100000</v>
      </c>
    </row>
    <row r="75" spans="1:23" ht="12.75" customHeight="1" thickBot="1" x14ac:dyDescent="0.25">
      <c r="H75" s="345"/>
      <c r="U75" s="410">
        <v>53206990000000</v>
      </c>
      <c r="V75" s="411" t="s">
        <v>101</v>
      </c>
      <c r="W75" s="412"/>
    </row>
    <row r="76" spans="1:23" ht="12.75" customHeight="1" x14ac:dyDescent="0.2">
      <c r="A76" s="562" t="s">
        <v>271</v>
      </c>
      <c r="B76" s="565" t="s">
        <v>119</v>
      </c>
      <c r="C76" s="367"/>
      <c r="D76" s="368"/>
      <c r="E76" s="369"/>
      <c r="F76" s="370"/>
      <c r="G76" s="372"/>
      <c r="H76" s="372"/>
      <c r="I76" s="373"/>
      <c r="J76" s="432">
        <f t="shared" ref="J76" si="11">SUM(G76:I76)</f>
        <v>0</v>
      </c>
      <c r="K76" s="375">
        <f t="shared" ref="K76:K80" si="12">G76*(1+$K$11)+H76+I76</f>
        <v>0</v>
      </c>
      <c r="U76" s="410">
        <v>53208030000000</v>
      </c>
      <c r="V76" s="411" t="s">
        <v>102</v>
      </c>
      <c r="W76" s="412"/>
    </row>
    <row r="77" spans="1:23" ht="12.75" customHeight="1" x14ac:dyDescent="0.2">
      <c r="A77" s="563"/>
      <c r="B77" s="566"/>
      <c r="C77" s="453"/>
      <c r="D77" s="454"/>
      <c r="E77" s="455"/>
      <c r="F77" s="456"/>
      <c r="G77" s="371"/>
      <c r="H77" s="371"/>
      <c r="I77" s="409"/>
      <c r="J77" s="434">
        <f>SUM(G77:I77)</f>
        <v>0</v>
      </c>
      <c r="K77" s="401">
        <f t="shared" si="12"/>
        <v>0</v>
      </c>
      <c r="U77" s="410">
        <v>53212060000000</v>
      </c>
      <c r="V77" s="411" t="s">
        <v>95</v>
      </c>
      <c r="W77" s="412"/>
    </row>
    <row r="78" spans="1:23" ht="12.75" customHeight="1" x14ac:dyDescent="0.2">
      <c r="A78" s="563"/>
      <c r="B78" s="566"/>
      <c r="C78" s="453"/>
      <c r="D78" s="454"/>
      <c r="E78" s="455"/>
      <c r="F78" s="456"/>
      <c r="G78" s="371"/>
      <c r="H78" s="371"/>
      <c r="I78" s="409"/>
      <c r="J78" s="434">
        <f t="shared" ref="J78:J80" si="13">SUM(G78:I78)</f>
        <v>0</v>
      </c>
      <c r="K78" s="401">
        <f t="shared" si="12"/>
        <v>0</v>
      </c>
      <c r="U78" s="406"/>
      <c r="V78" s="407" t="s">
        <v>66</v>
      </c>
      <c r="W78" s="408">
        <f>SUM(W79:W79)</f>
        <v>0</v>
      </c>
    </row>
    <row r="79" spans="1:23" ht="13.5" customHeight="1" x14ac:dyDescent="0.2">
      <c r="A79" s="563"/>
      <c r="B79" s="566"/>
      <c r="C79" s="394"/>
      <c r="D79" s="395"/>
      <c r="E79" s="396"/>
      <c r="F79" s="397"/>
      <c r="G79" s="371"/>
      <c r="H79" s="371"/>
      <c r="I79" s="409"/>
      <c r="J79" s="434">
        <f t="shared" si="13"/>
        <v>0</v>
      </c>
      <c r="K79" s="401">
        <f t="shared" si="12"/>
        <v>0</v>
      </c>
      <c r="U79" s="410">
        <v>53204999000000</v>
      </c>
      <c r="V79" s="411" t="s">
        <v>94</v>
      </c>
      <c r="W79" s="412"/>
    </row>
    <row r="80" spans="1:23" ht="13.5" thickBot="1" x14ac:dyDescent="0.25">
      <c r="A80" s="564"/>
      <c r="B80" s="567"/>
      <c r="C80" s="419"/>
      <c r="D80" s="420"/>
      <c r="E80" s="421"/>
      <c r="F80" s="422"/>
      <c r="G80" s="423"/>
      <c r="H80" s="423"/>
      <c r="I80" s="424"/>
      <c r="J80" s="435">
        <f t="shared" si="13"/>
        <v>0</v>
      </c>
      <c r="K80" s="426">
        <f t="shared" si="12"/>
        <v>0</v>
      </c>
      <c r="U80" s="461"/>
      <c r="V80" s="462" t="s">
        <v>144</v>
      </c>
      <c r="W80" s="463">
        <f>+W40+W15</f>
        <v>9463465</v>
      </c>
    </row>
    <row r="81" spans="1:12" ht="16.5" thickBot="1" x14ac:dyDescent="0.25">
      <c r="C81" s="337"/>
      <c r="D81" s="337"/>
      <c r="E81" s="459"/>
      <c r="F81" s="459"/>
      <c r="G81" s="459"/>
      <c r="H81" s="459"/>
      <c r="I81" s="459"/>
      <c r="K81" s="460">
        <f>SUM(K76:K80)</f>
        <v>0</v>
      </c>
    </row>
    <row r="82" spans="1:12" x14ac:dyDescent="0.2">
      <c r="K82" s="452">
        <v>1</v>
      </c>
    </row>
    <row r="83" spans="1:12" ht="13.5" thickBot="1" x14ac:dyDescent="0.25"/>
    <row r="84" spans="1:12" x14ac:dyDescent="0.2">
      <c r="A84" s="562" t="s">
        <v>271</v>
      </c>
      <c r="B84" s="565" t="s">
        <v>273</v>
      </c>
      <c r="C84" s="367"/>
      <c r="D84" s="368"/>
      <c r="E84" s="369"/>
      <c r="F84" s="370"/>
      <c r="G84" s="372"/>
      <c r="H84" s="372"/>
      <c r="I84" s="373"/>
      <c r="J84" s="432">
        <f t="shared" ref="J84" si="14">SUM(G84:I84)</f>
        <v>0</v>
      </c>
      <c r="K84" s="375">
        <f t="shared" ref="K84:K88" si="15">G84*(1+$K$11)+H84+I84</f>
        <v>0</v>
      </c>
    </row>
    <row r="85" spans="1:12" x14ac:dyDescent="0.2">
      <c r="A85" s="563"/>
      <c r="B85" s="566"/>
      <c r="C85" s="453"/>
      <c r="D85" s="454"/>
      <c r="E85" s="455"/>
      <c r="F85" s="456"/>
      <c r="G85" s="371"/>
      <c r="H85" s="371"/>
      <c r="I85" s="409"/>
      <c r="J85" s="434">
        <f>SUM(G85:I85)</f>
        <v>0</v>
      </c>
      <c r="K85" s="401">
        <f t="shared" si="15"/>
        <v>0</v>
      </c>
    </row>
    <row r="86" spans="1:12" x14ac:dyDescent="0.2">
      <c r="A86" s="563"/>
      <c r="B86" s="566"/>
      <c r="C86" s="453"/>
      <c r="D86" s="454"/>
      <c r="E86" s="455"/>
      <c r="F86" s="456"/>
      <c r="G86" s="371"/>
      <c r="H86" s="371"/>
      <c r="I86" s="409"/>
      <c r="J86" s="434">
        <f t="shared" ref="J86:J88" si="16">SUM(G86:I86)</f>
        <v>0</v>
      </c>
      <c r="K86" s="401">
        <f t="shared" si="15"/>
        <v>0</v>
      </c>
    </row>
    <row r="87" spans="1:12" x14ac:dyDescent="0.2">
      <c r="A87" s="563"/>
      <c r="B87" s="566"/>
      <c r="C87" s="394"/>
      <c r="D87" s="395"/>
      <c r="E87" s="396"/>
      <c r="F87" s="397"/>
      <c r="G87" s="371"/>
      <c r="H87" s="371"/>
      <c r="I87" s="409"/>
      <c r="J87" s="434">
        <f t="shared" si="16"/>
        <v>0</v>
      </c>
      <c r="K87" s="401">
        <f t="shared" si="15"/>
        <v>0</v>
      </c>
    </row>
    <row r="88" spans="1:12" ht="13.5" thickBot="1" x14ac:dyDescent="0.25">
      <c r="A88" s="564"/>
      <c r="B88" s="567"/>
      <c r="C88" s="419"/>
      <c r="D88" s="420"/>
      <c r="E88" s="421"/>
      <c r="F88" s="422"/>
      <c r="G88" s="423"/>
      <c r="H88" s="423"/>
      <c r="I88" s="424"/>
      <c r="J88" s="435">
        <f t="shared" si="16"/>
        <v>0</v>
      </c>
      <c r="K88" s="426">
        <f t="shared" si="15"/>
        <v>0</v>
      </c>
    </row>
    <row r="89" spans="1:12" ht="16.5" thickBot="1" x14ac:dyDescent="0.25">
      <c r="C89" s="337"/>
      <c r="D89" s="337"/>
      <c r="E89" s="459"/>
      <c r="F89" s="459"/>
      <c r="G89" s="459"/>
      <c r="H89" s="459"/>
      <c r="I89" s="459"/>
      <c r="K89" s="460">
        <f>SUM(K84:K88)</f>
        <v>0</v>
      </c>
    </row>
    <row r="90" spans="1:12" x14ac:dyDescent="0.2">
      <c r="K90" s="452">
        <v>1</v>
      </c>
    </row>
    <row r="93" spans="1:12" x14ac:dyDescent="0.2">
      <c r="L93" s="464"/>
    </row>
    <row r="98" spans="11:11" ht="15" x14ac:dyDescent="0.25">
      <c r="K98" s="465"/>
    </row>
    <row r="100" spans="11:11" x14ac:dyDescent="0.2">
      <c r="K100" s="466"/>
    </row>
  </sheetData>
  <mergeCells count="47">
    <mergeCell ref="A76:A80"/>
    <mergeCell ref="B76:B80"/>
    <mergeCell ref="A84:A88"/>
    <mergeCell ref="B84:B88"/>
    <mergeCell ref="A9:H9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U9:W10"/>
    <mergeCell ref="U13:U14"/>
    <mergeCell ref="V13:V14"/>
    <mergeCell ref="AG13:AH13"/>
    <mergeCell ref="K13:K14"/>
    <mergeCell ref="M13:N13"/>
    <mergeCell ref="O13:P13"/>
    <mergeCell ref="Q13:R13"/>
    <mergeCell ref="M12:R12"/>
    <mergeCell ref="A68:A72"/>
    <mergeCell ref="B68:B72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80" zoomScaleNormal="80" workbookViewId="0">
      <selection activeCell="B17" sqref="B17"/>
    </sheetView>
  </sheetViews>
  <sheetFormatPr baseColWidth="10" defaultColWidth="11.42578125" defaultRowHeight="12.75" x14ac:dyDescent="0.2"/>
  <cols>
    <col min="1" max="1" width="42.140625" style="2" bestFit="1" customWidth="1"/>
    <col min="2" max="2" width="33" style="2" bestFit="1" customWidth="1"/>
    <col min="3" max="3" width="14.140625" style="2" customWidth="1"/>
    <col min="4" max="4" width="14.140625" style="2" bestFit="1" customWidth="1"/>
    <col min="5" max="17" width="14.140625" style="2" customWidth="1"/>
    <col min="18" max="18" width="13.28515625" style="2" customWidth="1"/>
    <col min="19" max="19" width="14.140625" style="2" bestFit="1" customWidth="1"/>
    <col min="20" max="20" width="14.1406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32" t="s">
        <v>206</v>
      </c>
      <c r="IJ1" s="2"/>
      <c r="IK1" s="2"/>
    </row>
    <row r="2" spans="1:245" s="4" customFormat="1" x14ac:dyDescent="0.2">
      <c r="B2" s="5"/>
      <c r="G2" s="32" t="s">
        <v>199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618" t="str">
        <f>+'B) Reajuste Tarifas y Ocupación'!F5</f>
        <v>(DEPTO./DELEG.)</v>
      </c>
      <c r="H4" s="619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2"/>
      <c r="H5" s="32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494" t="s">
        <v>162</v>
      </c>
      <c r="B6" s="494"/>
      <c r="C6" s="494"/>
      <c r="D6" s="494"/>
      <c r="E6" s="75"/>
      <c r="F6" s="6"/>
      <c r="G6" s="32"/>
      <c r="H6" s="32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626" t="s">
        <v>112</v>
      </c>
      <c r="B8" s="628" t="s">
        <v>5</v>
      </c>
      <c r="C8" s="623" t="s">
        <v>250</v>
      </c>
      <c r="D8" s="624"/>
      <c r="E8" s="624"/>
      <c r="F8" s="624"/>
      <c r="G8" s="625"/>
      <c r="H8" s="620" t="s">
        <v>244</v>
      </c>
      <c r="I8" s="621"/>
      <c r="J8" s="621"/>
      <c r="K8" s="621"/>
      <c r="L8" s="622"/>
      <c r="M8" s="616" t="s">
        <v>122</v>
      </c>
      <c r="N8" s="616"/>
      <c r="O8" s="616"/>
      <c r="P8" s="616"/>
      <c r="Q8" s="617"/>
      <c r="R8" s="616" t="s">
        <v>123</v>
      </c>
      <c r="S8" s="616"/>
      <c r="T8" s="616"/>
      <c r="U8" s="616"/>
      <c r="V8" s="617"/>
    </row>
    <row r="9" spans="1:245" ht="64.5" thickBot="1" x14ac:dyDescent="0.25">
      <c r="A9" s="627" t="e">
        <f>NA()</f>
        <v>#N/A</v>
      </c>
      <c r="B9" s="629" t="e">
        <f>NA()</f>
        <v>#N/A</v>
      </c>
      <c r="C9" s="237" t="s">
        <v>85</v>
      </c>
      <c r="D9" s="238" t="s">
        <v>141</v>
      </c>
      <c r="E9" s="238" t="s">
        <v>142</v>
      </c>
      <c r="F9" s="238" t="s">
        <v>86</v>
      </c>
      <c r="G9" s="239" t="s">
        <v>87</v>
      </c>
      <c r="H9" s="240" t="s">
        <v>85</v>
      </c>
      <c r="I9" s="241" t="s">
        <v>141</v>
      </c>
      <c r="J9" s="241" t="s">
        <v>142</v>
      </c>
      <c r="K9" s="241" t="s">
        <v>86</v>
      </c>
      <c r="L9" s="242" t="s">
        <v>87</v>
      </c>
      <c r="M9" s="243" t="s">
        <v>85</v>
      </c>
      <c r="N9" s="241" t="s">
        <v>141</v>
      </c>
      <c r="O9" s="241" t="s">
        <v>142</v>
      </c>
      <c r="P9" s="241" t="s">
        <v>86</v>
      </c>
      <c r="Q9" s="244" t="s">
        <v>87</v>
      </c>
      <c r="R9" s="245" t="s">
        <v>85</v>
      </c>
      <c r="S9" s="241" t="s">
        <v>141</v>
      </c>
      <c r="T9" s="241" t="s">
        <v>142</v>
      </c>
      <c r="U9" s="241" t="s">
        <v>86</v>
      </c>
      <c r="V9" s="242" t="s">
        <v>87</v>
      </c>
    </row>
    <row r="10" spans="1:245" x14ac:dyDescent="0.2">
      <c r="A10" s="614" t="str">
        <f>+'B) Reajuste Tarifas y Ocupación'!A12</f>
        <v>Jardín Infantil Pequeños Colonos</v>
      </c>
      <c r="B10" s="190" t="str">
        <f>+'B) Reajuste Tarifas y Ocupación'!B12</f>
        <v>Media jornada</v>
      </c>
      <c r="C10" s="246">
        <f>+'B) Reajuste Tarifas y Ocupación'!M12</f>
        <v>108300</v>
      </c>
      <c r="D10" s="192">
        <f>+'B) Reajuste Tarifas y Ocupación'!N12</f>
        <v>146300</v>
      </c>
      <c r="E10" s="192">
        <f>+'B) Reajuste Tarifas y Ocupación'!O12</f>
        <v>151700</v>
      </c>
      <c r="F10" s="192">
        <f>+'B) Reajuste Tarifas y Ocupación'!P12</f>
        <v>207600</v>
      </c>
      <c r="G10" s="247">
        <f>+'B) Reajuste Tarifas y Ocupación'!Q12</f>
        <v>251800</v>
      </c>
      <c r="H10" s="248">
        <f>+'B) Reajuste Tarifas y Ocupación'!C12</f>
        <v>95000</v>
      </c>
      <c r="I10" s="197">
        <f>+'B) Reajuste Tarifas y Ocupación'!D12</f>
        <v>128200</v>
      </c>
      <c r="J10" s="197">
        <f>+'B) Reajuste Tarifas y Ocupación'!E12</f>
        <v>132900</v>
      </c>
      <c r="K10" s="197">
        <f>+'B) Reajuste Tarifas y Ocupación'!F12</f>
        <v>182100</v>
      </c>
      <c r="L10" s="253">
        <f>+'B) Reajuste Tarifas y Ocupación'!G12</f>
        <v>220800</v>
      </c>
      <c r="M10" s="251">
        <f t="shared" ref="M10:Q11" si="0">C10-H10</f>
        <v>13300</v>
      </c>
      <c r="N10" s="146">
        <f t="shared" si="0"/>
        <v>18100</v>
      </c>
      <c r="O10" s="146">
        <f t="shared" si="0"/>
        <v>18800</v>
      </c>
      <c r="P10" s="146">
        <f t="shared" si="0"/>
        <v>25500</v>
      </c>
      <c r="Q10" s="249">
        <f t="shared" si="0"/>
        <v>31000</v>
      </c>
      <c r="R10" s="250">
        <f>+'B) Reajuste Tarifas y Ocupación'!H12</f>
        <v>0.14000000000000001</v>
      </c>
      <c r="S10" s="202">
        <f>+'B) Reajuste Tarifas y Ocupación'!I12</f>
        <v>0.14000000000000001</v>
      </c>
      <c r="T10" s="202">
        <f>+'B) Reajuste Tarifas y Ocupación'!J12</f>
        <v>0.14000000000000001</v>
      </c>
      <c r="U10" s="202">
        <f>+'B) Reajuste Tarifas y Ocupación'!K12</f>
        <v>0.14000000000000001</v>
      </c>
      <c r="V10" s="203">
        <f>+'B) Reajuste Tarifas y Ocupación'!L12</f>
        <v>0.14000000000000001</v>
      </c>
    </row>
    <row r="11" spans="1:245" ht="13.5" thickBot="1" x14ac:dyDescent="0.25">
      <c r="A11" s="615"/>
      <c r="B11" s="191" t="str">
        <f>+'B) Reajuste Tarifas y Ocupación'!B13</f>
        <v>Doble Jornada</v>
      </c>
      <c r="C11" s="194">
        <f>+'B) Reajuste Tarifas y Ocupación'!M13</f>
        <v>142200</v>
      </c>
      <c r="D11" s="195">
        <f>+'B) Reajuste Tarifas y Ocupación'!N13</f>
        <v>192000</v>
      </c>
      <c r="E11" s="195">
        <f>+'B) Reajuste Tarifas y Ocupación'!O13</f>
        <v>199100</v>
      </c>
      <c r="F11" s="195">
        <f>+'B) Reajuste Tarifas y Ocupación'!P13</f>
        <v>255900</v>
      </c>
      <c r="G11" s="77">
        <f>+'B) Reajuste Tarifas y Ocupación'!Q13</f>
        <v>306800</v>
      </c>
      <c r="H11" s="198">
        <f>+'B) Reajuste Tarifas y Ocupación'!C13</f>
        <v>124700</v>
      </c>
      <c r="I11" s="199">
        <f>+'B) Reajuste Tarifas y Ocupación'!D13</f>
        <v>168400</v>
      </c>
      <c r="J11" s="199">
        <f>+'B) Reajuste Tarifas y Ocupación'!E13</f>
        <v>174600</v>
      </c>
      <c r="K11" s="199">
        <f>+'B) Reajuste Tarifas y Ocupación'!F13</f>
        <v>224400</v>
      </c>
      <c r="L11" s="254">
        <f>+'B) Reajuste Tarifas y Ocupación'!G13</f>
        <v>269100</v>
      </c>
      <c r="M11" s="252">
        <f t="shared" si="0"/>
        <v>17500</v>
      </c>
      <c r="N11" s="200">
        <f t="shared" si="0"/>
        <v>23600</v>
      </c>
      <c r="O11" s="200">
        <f t="shared" si="0"/>
        <v>24500</v>
      </c>
      <c r="P11" s="200">
        <f t="shared" si="0"/>
        <v>31500</v>
      </c>
      <c r="Q11" s="201">
        <f t="shared" si="0"/>
        <v>37700</v>
      </c>
      <c r="R11" s="204">
        <f>+'B) Reajuste Tarifas y Ocupación'!H13</f>
        <v>0.14000000000000001</v>
      </c>
      <c r="S11" s="205">
        <f>+'B) Reajuste Tarifas y Ocupación'!I13</f>
        <v>0.14000000000000001</v>
      </c>
      <c r="T11" s="205">
        <f>+'B) Reajuste Tarifas y Ocupación'!J13</f>
        <v>0.14000000000000001</v>
      </c>
      <c r="U11" s="205">
        <f>+'B) Reajuste Tarifas y Ocupación'!K13</f>
        <v>0.14000000000000001</v>
      </c>
      <c r="V11" s="206">
        <f>+'B) Reajuste Tarifas y Ocupación'!L13</f>
        <v>0.14000000000000001</v>
      </c>
    </row>
  </sheetData>
  <sheetProtection algorithmName="SHA-512" hashValue="XdaFA2vv0JGEgc+BpxCy5woHTnNg8U3kkF3ITq5+F/hoVRQtNwnzrPB3zYRc0dXOeRwFgIefjnwyj9k6E/rXgw==" saltValue="62UgAs+8GKN4dFNCSx16yg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Z30"/>
  <sheetViews>
    <sheetView showGridLines="0" zoomScale="80" zoomScaleNormal="80" workbookViewId="0">
      <selection activeCell="F39" sqref="F39"/>
    </sheetView>
  </sheetViews>
  <sheetFormatPr baseColWidth="10" defaultColWidth="11.42578125" defaultRowHeight="12.75" x14ac:dyDescent="0.2"/>
  <cols>
    <col min="1" max="1" width="7.140625" style="21" customWidth="1"/>
    <col min="2" max="2" width="37.28515625" style="21" customWidth="1"/>
    <col min="3" max="3" width="5" style="21" customWidth="1"/>
    <col min="4" max="4" width="24.140625" style="21" customWidth="1"/>
    <col min="5" max="5" width="25.140625" style="21" customWidth="1"/>
    <col min="6" max="6" width="22.140625" style="21" customWidth="1"/>
    <col min="7" max="7" width="18.5703125" style="21" bestFit="1" customWidth="1"/>
    <col min="8" max="9" width="15" style="21" customWidth="1"/>
    <col min="10" max="10" width="15.140625" style="21" customWidth="1"/>
    <col min="11" max="11" width="17.42578125" style="21" customWidth="1"/>
    <col min="12" max="13" width="19.140625" style="21" customWidth="1"/>
    <col min="14" max="14" width="16.140625" style="21" customWidth="1"/>
    <col min="15" max="15" width="17.140625" style="21" customWidth="1"/>
    <col min="16" max="16" width="14.85546875" style="21" customWidth="1"/>
    <col min="17" max="17" width="17.7109375" style="21" customWidth="1"/>
    <col min="18" max="18" width="17.140625" style="21" customWidth="1"/>
    <col min="19" max="19" width="18.140625" style="21" customWidth="1"/>
    <col min="20" max="20" width="16.28515625" style="21" customWidth="1"/>
    <col min="21" max="21" width="15.85546875" style="21" customWidth="1"/>
    <col min="22" max="22" width="14.85546875" style="21" customWidth="1"/>
    <col min="23" max="23" width="15.85546875" style="21" customWidth="1"/>
    <col min="24" max="24" width="14.28515625" style="21" customWidth="1"/>
    <col min="25" max="25" width="14.85546875" style="21" customWidth="1"/>
    <col min="26" max="26" width="14.140625" style="21" customWidth="1"/>
    <col min="27" max="27" width="16.85546875" style="21" customWidth="1"/>
    <col min="28" max="28" width="17.5703125" style="21" customWidth="1"/>
    <col min="29" max="29" width="15.28515625" style="21" customWidth="1"/>
    <col min="30" max="30" width="19.7109375" style="21" customWidth="1"/>
    <col min="31" max="31" width="17.42578125" style="21" customWidth="1"/>
    <col min="32" max="32" width="12" style="21" customWidth="1"/>
    <col min="33" max="16384" width="11.42578125" style="21"/>
  </cols>
  <sheetData>
    <row r="1" spans="2:260" s="4" customFormat="1" x14ac:dyDescent="0.2">
      <c r="E1" s="32" t="s">
        <v>207</v>
      </c>
      <c r="F1" s="32"/>
      <c r="G1" s="32"/>
      <c r="H1" s="32"/>
      <c r="I1" s="32"/>
      <c r="J1" s="32"/>
      <c r="IN1" s="2"/>
      <c r="IO1" s="2"/>
    </row>
    <row r="2" spans="2:260" s="4" customFormat="1" x14ac:dyDescent="0.2">
      <c r="E2" s="32" t="s">
        <v>200</v>
      </c>
      <c r="F2" s="32"/>
      <c r="G2" s="32"/>
      <c r="H2" s="32"/>
      <c r="I2" s="32"/>
      <c r="J2" s="32"/>
      <c r="IN2" s="2"/>
      <c r="IO2" s="2"/>
    </row>
    <row r="3" spans="2:260" s="4" customFormat="1" x14ac:dyDescent="0.2">
      <c r="B3" s="17"/>
      <c r="IE3" s="2"/>
      <c r="IF3" s="2"/>
      <c r="IG3" s="2"/>
      <c r="IH3" s="2"/>
      <c r="II3" s="2"/>
      <c r="IJ3" s="2"/>
    </row>
    <row r="4" spans="2:260" s="4" customFormat="1" ht="18.75" customHeight="1" x14ac:dyDescent="0.2">
      <c r="B4" s="17"/>
      <c r="D4" s="73" t="s">
        <v>0</v>
      </c>
      <c r="E4" s="82" t="str">
        <f>+'B) Reajuste Tarifas y Ocupación'!F5</f>
        <v>(DEPTO./DELEG.)</v>
      </c>
      <c r="F4" s="49"/>
      <c r="G4" s="50"/>
      <c r="H4" s="50"/>
      <c r="I4" s="50"/>
      <c r="J4" s="50"/>
      <c r="K4" s="50"/>
      <c r="O4" s="1"/>
      <c r="IE4" s="2"/>
      <c r="IF4" s="2"/>
      <c r="IG4" s="2"/>
      <c r="IH4" s="2"/>
      <c r="II4" s="2"/>
      <c r="IJ4" s="2"/>
    </row>
    <row r="5" spans="2:260" s="4" customFormat="1" x14ac:dyDescent="0.2">
      <c r="B5" s="17"/>
      <c r="D5" s="6"/>
      <c r="E5" s="32"/>
      <c r="F5" s="32"/>
      <c r="G5" s="32"/>
      <c r="H5" s="32"/>
      <c r="I5" s="32"/>
      <c r="J5" s="32"/>
      <c r="K5" s="32"/>
      <c r="O5" s="1"/>
      <c r="IE5" s="2"/>
      <c r="IF5" s="2"/>
      <c r="IG5" s="2"/>
      <c r="IH5" s="2"/>
      <c r="II5" s="2"/>
      <c r="IJ5" s="2"/>
    </row>
    <row r="6" spans="2:260" s="4" customFormat="1" x14ac:dyDescent="0.2">
      <c r="B6" s="17"/>
      <c r="D6" s="6"/>
      <c r="E6" s="32"/>
      <c r="F6" s="32"/>
      <c r="G6" s="32"/>
      <c r="H6" s="32"/>
      <c r="I6" s="32"/>
      <c r="J6" s="32"/>
      <c r="K6" s="32"/>
      <c r="O6" s="1"/>
      <c r="IE6" s="2"/>
      <c r="IF6" s="2"/>
      <c r="IG6" s="2"/>
      <c r="IH6" s="2"/>
      <c r="II6" s="2"/>
      <c r="IJ6" s="2"/>
    </row>
    <row r="7" spans="2:260" s="4" customFormat="1" ht="15.75" x14ac:dyDescent="0.2">
      <c r="B7" s="300" t="s">
        <v>163</v>
      </c>
      <c r="C7" s="300"/>
      <c r="D7" s="300"/>
      <c r="E7" s="300"/>
      <c r="F7" s="74"/>
      <c r="G7" s="74"/>
      <c r="H7" s="51" t="s">
        <v>4</v>
      </c>
      <c r="I7" s="52">
        <v>0.05</v>
      </c>
      <c r="J7" s="74"/>
      <c r="K7" s="32"/>
      <c r="O7" s="1"/>
      <c r="IE7" s="2"/>
      <c r="IF7" s="2"/>
      <c r="IG7" s="2"/>
      <c r="IH7" s="2"/>
      <c r="II7" s="2"/>
      <c r="IJ7" s="2"/>
    </row>
    <row r="8" spans="2:260" ht="16.5" thickBot="1" x14ac:dyDescent="0.25">
      <c r="H8" s="74"/>
      <c r="I8" s="74"/>
      <c r="J8" s="74"/>
      <c r="K8" s="32"/>
      <c r="L8" s="4"/>
    </row>
    <row r="9" spans="2:260" ht="12.75" customHeight="1" x14ac:dyDescent="0.2">
      <c r="B9" s="643" t="s">
        <v>112</v>
      </c>
      <c r="C9" s="645" t="s">
        <v>242</v>
      </c>
      <c r="D9" s="645" t="s">
        <v>73</v>
      </c>
      <c r="E9" s="645" t="s">
        <v>74</v>
      </c>
      <c r="F9" s="641" t="s">
        <v>3</v>
      </c>
      <c r="G9" s="641" t="s">
        <v>81</v>
      </c>
      <c r="H9" s="641" t="s">
        <v>245</v>
      </c>
      <c r="I9" s="630" t="s">
        <v>256</v>
      </c>
      <c r="J9" s="641" t="s">
        <v>257</v>
      </c>
      <c r="K9" s="641" t="s">
        <v>258</v>
      </c>
      <c r="L9" s="630" t="s">
        <v>255</v>
      </c>
      <c r="M9" s="632" t="s">
        <v>113</v>
      </c>
      <c r="P9" s="20"/>
      <c r="Q9" s="20"/>
      <c r="R9" s="20"/>
      <c r="S9" s="20"/>
      <c r="T9" s="20"/>
      <c r="U9" s="20"/>
    </row>
    <row r="10" spans="2:260" ht="58.5" customHeight="1" thickBot="1" x14ac:dyDescent="0.25">
      <c r="B10" s="644"/>
      <c r="C10" s="646"/>
      <c r="D10" s="646"/>
      <c r="E10" s="646"/>
      <c r="F10" s="642"/>
      <c r="G10" s="642"/>
      <c r="H10" s="642"/>
      <c r="I10" s="631"/>
      <c r="J10" s="642"/>
      <c r="K10" s="642"/>
      <c r="L10" s="631"/>
      <c r="M10" s="633"/>
      <c r="N10"/>
      <c r="O10" s="44"/>
      <c r="P10" s="44"/>
      <c r="Q10" s="15"/>
      <c r="R10" s="15"/>
      <c r="S10" s="15"/>
      <c r="T10"/>
      <c r="U10" s="634"/>
      <c r="V10" s="634"/>
      <c r="W10" s="634"/>
      <c r="X10" s="634"/>
      <c r="Y10"/>
    </row>
    <row r="11" spans="2:260" customFormat="1" x14ac:dyDescent="0.2">
      <c r="B11" s="635" t="str">
        <f>+'B) Reajuste Tarifas y Ocupación'!A12</f>
        <v>Jardín Infantil Pequeños Colonos</v>
      </c>
      <c r="C11" s="304"/>
      <c r="D11" s="304" t="s">
        <v>243</v>
      </c>
      <c r="E11" s="304" t="s">
        <v>130</v>
      </c>
      <c r="F11" s="304" t="s">
        <v>136</v>
      </c>
      <c r="G11" s="304" t="s">
        <v>131</v>
      </c>
      <c r="H11" s="301">
        <v>0</v>
      </c>
      <c r="I11" s="305">
        <f>+H11*(1+$I$7)</f>
        <v>0</v>
      </c>
      <c r="J11" s="301">
        <v>0</v>
      </c>
      <c r="K11" s="301">
        <v>0</v>
      </c>
      <c r="L11" s="306">
        <f>+I11+J11+K11</f>
        <v>0</v>
      </c>
      <c r="M11" s="638">
        <f>SUM(L11:L22)</f>
        <v>0</v>
      </c>
      <c r="O11" s="26"/>
      <c r="P11" s="26"/>
      <c r="Q11" s="45"/>
      <c r="R11" s="45"/>
      <c r="S11" s="45"/>
      <c r="T11" s="23"/>
      <c r="U11" s="22"/>
      <c r="V11" s="22"/>
      <c r="W11" s="22"/>
      <c r="X11" s="22"/>
      <c r="Y11" s="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</row>
    <row r="12" spans="2:260" customFormat="1" x14ac:dyDescent="0.2">
      <c r="B12" s="636"/>
      <c r="C12" s="86"/>
      <c r="D12" s="86" t="s">
        <v>243</v>
      </c>
      <c r="E12" s="86" t="s">
        <v>130</v>
      </c>
      <c r="F12" s="86" t="s">
        <v>137</v>
      </c>
      <c r="G12" s="86" t="s">
        <v>131</v>
      </c>
      <c r="H12" s="83">
        <v>0</v>
      </c>
      <c r="I12" s="305">
        <f t="shared" ref="I12:I21" si="0">+H12*(1+$I$7)</f>
        <v>0</v>
      </c>
      <c r="J12" s="83">
        <v>0</v>
      </c>
      <c r="K12" s="83">
        <v>0</v>
      </c>
      <c r="L12" s="302">
        <f>+I12+J12+K12</f>
        <v>0</v>
      </c>
      <c r="M12" s="639"/>
      <c r="O12" s="26"/>
      <c r="P12" s="26"/>
      <c r="Q12" s="15"/>
      <c r="R12" s="15"/>
      <c r="S12" s="15"/>
      <c r="T12" s="23"/>
      <c r="U12" s="22"/>
      <c r="V12" s="22"/>
      <c r="W12" s="22"/>
      <c r="X12" s="22"/>
      <c r="Y12" s="24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</row>
    <row r="13" spans="2:260" customFormat="1" x14ac:dyDescent="0.2">
      <c r="B13" s="636"/>
      <c r="C13" s="86"/>
      <c r="D13" s="86" t="s">
        <v>243</v>
      </c>
      <c r="E13" s="86" t="s">
        <v>130</v>
      </c>
      <c r="F13" s="86" t="s">
        <v>138</v>
      </c>
      <c r="G13" s="86" t="s">
        <v>131</v>
      </c>
      <c r="H13" s="83">
        <v>0</v>
      </c>
      <c r="I13" s="305">
        <f t="shared" si="0"/>
        <v>0</v>
      </c>
      <c r="J13" s="83">
        <v>0</v>
      </c>
      <c r="K13" s="83">
        <v>0</v>
      </c>
      <c r="L13" s="302">
        <f t="shared" ref="L13:L22" si="1">+I13+J13+K13</f>
        <v>0</v>
      </c>
      <c r="M13" s="639"/>
      <c r="O13" s="26"/>
      <c r="P13" s="26"/>
      <c r="Q13" s="15"/>
      <c r="R13" s="15"/>
      <c r="S13" s="15"/>
      <c r="T13" s="23"/>
      <c r="U13" s="22"/>
      <c r="V13" s="22"/>
      <c r="W13" s="22"/>
      <c r="X13" s="22"/>
      <c r="Y13" s="24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</row>
    <row r="14" spans="2:260" customFormat="1" x14ac:dyDescent="0.2">
      <c r="B14" s="636"/>
      <c r="C14" s="86"/>
      <c r="D14" s="86" t="s">
        <v>243</v>
      </c>
      <c r="E14" s="86" t="s">
        <v>130</v>
      </c>
      <c r="F14" s="86" t="s">
        <v>139</v>
      </c>
      <c r="G14" s="86" t="s">
        <v>131</v>
      </c>
      <c r="H14" s="83">
        <v>0</v>
      </c>
      <c r="I14" s="305">
        <f t="shared" si="0"/>
        <v>0</v>
      </c>
      <c r="J14" s="83">
        <v>0</v>
      </c>
      <c r="K14" s="83">
        <v>0</v>
      </c>
      <c r="L14" s="302">
        <f t="shared" si="1"/>
        <v>0</v>
      </c>
      <c r="M14" s="639"/>
      <c r="O14" s="26"/>
      <c r="P14" s="26"/>
      <c r="Q14" s="15"/>
      <c r="R14" s="15"/>
      <c r="S14" s="15"/>
      <c r="T14" s="23"/>
      <c r="U14" s="22"/>
      <c r="V14" s="22"/>
      <c r="W14" s="22"/>
      <c r="X14" s="22"/>
      <c r="Y14" s="24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</row>
    <row r="15" spans="2:260" customFormat="1" x14ac:dyDescent="0.2">
      <c r="B15" s="636"/>
      <c r="C15" s="86"/>
      <c r="D15" s="86" t="s">
        <v>243</v>
      </c>
      <c r="E15" s="86" t="s">
        <v>130</v>
      </c>
      <c r="F15" s="86" t="s">
        <v>140</v>
      </c>
      <c r="G15" s="86" t="s">
        <v>131</v>
      </c>
      <c r="H15" s="83">
        <v>0</v>
      </c>
      <c r="I15" s="305">
        <f t="shared" si="0"/>
        <v>0</v>
      </c>
      <c r="J15" s="83">
        <v>0</v>
      </c>
      <c r="K15" s="83">
        <v>0</v>
      </c>
      <c r="L15" s="302">
        <f t="shared" si="1"/>
        <v>0</v>
      </c>
      <c r="M15" s="639"/>
      <c r="O15" s="26"/>
      <c r="P15" s="26"/>
      <c r="Q15" s="15"/>
      <c r="R15" s="15"/>
      <c r="S15" s="15"/>
      <c r="T15" s="23"/>
      <c r="U15" s="22"/>
      <c r="V15" s="22"/>
      <c r="W15" s="22"/>
      <c r="X15" s="22"/>
      <c r="Y15" s="2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</row>
    <row r="16" spans="2:260" customFormat="1" x14ac:dyDescent="0.2">
      <c r="B16" s="636"/>
      <c r="C16" s="86"/>
      <c r="D16" s="86"/>
      <c r="E16" s="86"/>
      <c r="F16" s="86"/>
      <c r="G16" s="86"/>
      <c r="H16" s="83">
        <v>0</v>
      </c>
      <c r="I16" s="305">
        <f t="shared" si="0"/>
        <v>0</v>
      </c>
      <c r="J16" s="83">
        <v>0</v>
      </c>
      <c r="K16" s="83">
        <v>0</v>
      </c>
      <c r="L16" s="302">
        <f t="shared" si="1"/>
        <v>0</v>
      </c>
      <c r="M16" s="639"/>
      <c r="O16" s="26"/>
      <c r="P16" s="26"/>
      <c r="Q16" s="15"/>
      <c r="R16" s="15"/>
      <c r="S16" s="15"/>
      <c r="T16" s="23"/>
      <c r="U16" s="22"/>
      <c r="V16" s="22"/>
      <c r="W16" s="22"/>
      <c r="X16" s="22"/>
      <c r="Y16" s="2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</row>
    <row r="17" spans="2:260" customFormat="1" x14ac:dyDescent="0.2">
      <c r="B17" s="636"/>
      <c r="C17" s="86"/>
      <c r="D17" s="86"/>
      <c r="E17" s="86"/>
      <c r="F17" s="86"/>
      <c r="G17" s="86"/>
      <c r="H17" s="83">
        <v>0</v>
      </c>
      <c r="I17" s="305">
        <f t="shared" si="0"/>
        <v>0</v>
      </c>
      <c r="J17" s="83">
        <v>0</v>
      </c>
      <c r="K17" s="83">
        <v>0</v>
      </c>
      <c r="L17" s="302">
        <f t="shared" si="1"/>
        <v>0</v>
      </c>
      <c r="M17" s="639"/>
      <c r="O17" s="26"/>
      <c r="P17" s="26"/>
      <c r="Q17" s="15"/>
      <c r="R17" s="15"/>
      <c r="S17" s="15"/>
      <c r="T17" s="23"/>
      <c r="U17" s="22"/>
      <c r="V17" s="22"/>
      <c r="W17" s="22"/>
      <c r="X17" s="22"/>
      <c r="Y17" s="2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</row>
    <row r="18" spans="2:260" customFormat="1" x14ac:dyDescent="0.2">
      <c r="B18" s="636"/>
      <c r="C18" s="86"/>
      <c r="D18" s="86"/>
      <c r="E18" s="86"/>
      <c r="F18" s="86"/>
      <c r="G18" s="86"/>
      <c r="H18" s="83">
        <v>0</v>
      </c>
      <c r="I18" s="305">
        <f t="shared" si="0"/>
        <v>0</v>
      </c>
      <c r="J18" s="83">
        <v>0</v>
      </c>
      <c r="K18" s="83">
        <v>0</v>
      </c>
      <c r="L18" s="302">
        <f t="shared" si="1"/>
        <v>0</v>
      </c>
      <c r="M18" s="639"/>
      <c r="O18" s="26"/>
      <c r="P18" s="26"/>
      <c r="Q18" s="15"/>
      <c r="R18" s="15"/>
      <c r="S18" s="15"/>
      <c r="T18" s="23"/>
      <c r="U18" s="22"/>
      <c r="V18" s="22"/>
      <c r="W18" s="22"/>
      <c r="X18" s="22"/>
      <c r="Y18" s="24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</row>
    <row r="19" spans="2:260" customFormat="1" x14ac:dyDescent="0.2">
      <c r="B19" s="636"/>
      <c r="C19" s="86"/>
      <c r="D19" s="86"/>
      <c r="E19" s="86"/>
      <c r="F19" s="86"/>
      <c r="G19" s="86"/>
      <c r="H19" s="83">
        <v>0</v>
      </c>
      <c r="I19" s="305">
        <f t="shared" si="0"/>
        <v>0</v>
      </c>
      <c r="J19" s="83">
        <v>0</v>
      </c>
      <c r="K19" s="83">
        <v>0</v>
      </c>
      <c r="L19" s="302">
        <f t="shared" si="1"/>
        <v>0</v>
      </c>
      <c r="M19" s="639"/>
      <c r="O19" s="26"/>
      <c r="P19" s="26"/>
      <c r="Q19" s="15"/>
      <c r="R19" s="15"/>
      <c r="S19" s="15"/>
      <c r="T19" s="23"/>
      <c r="U19" s="22"/>
      <c r="V19" s="22"/>
      <c r="W19" s="22"/>
      <c r="X19" s="22"/>
      <c r="Y19" s="24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</row>
    <row r="20" spans="2:260" customFormat="1" x14ac:dyDescent="0.2">
      <c r="B20" s="636"/>
      <c r="C20" s="86"/>
      <c r="D20" s="86"/>
      <c r="E20" s="86"/>
      <c r="F20" s="86"/>
      <c r="G20" s="86"/>
      <c r="H20" s="83">
        <v>0</v>
      </c>
      <c r="I20" s="305">
        <f t="shared" si="0"/>
        <v>0</v>
      </c>
      <c r="J20" s="83">
        <v>0</v>
      </c>
      <c r="K20" s="83">
        <v>0</v>
      </c>
      <c r="L20" s="302">
        <f t="shared" si="1"/>
        <v>0</v>
      </c>
      <c r="M20" s="639"/>
      <c r="O20" s="26"/>
      <c r="P20" s="26"/>
      <c r="Q20" s="15"/>
      <c r="R20" s="15"/>
      <c r="S20" s="15"/>
      <c r="T20" s="23"/>
      <c r="U20" s="22"/>
      <c r="V20" s="22"/>
      <c r="W20" s="22"/>
      <c r="X20" s="22"/>
      <c r="Y20" s="2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</row>
    <row r="21" spans="2:260" customFormat="1" x14ac:dyDescent="0.2">
      <c r="B21" s="636"/>
      <c r="C21" s="86"/>
      <c r="D21" s="86"/>
      <c r="E21" s="86"/>
      <c r="F21" s="86"/>
      <c r="G21" s="86"/>
      <c r="H21" s="83">
        <v>0</v>
      </c>
      <c r="I21" s="305">
        <f t="shared" si="0"/>
        <v>0</v>
      </c>
      <c r="J21" s="83">
        <v>0</v>
      </c>
      <c r="K21" s="83">
        <v>0</v>
      </c>
      <c r="L21" s="302">
        <f t="shared" si="1"/>
        <v>0</v>
      </c>
      <c r="M21" s="639"/>
      <c r="O21" s="26"/>
      <c r="P21" s="26"/>
      <c r="Q21" s="15"/>
      <c r="R21" s="15"/>
      <c r="S21" s="15"/>
      <c r="T21" s="23"/>
      <c r="U21" s="22"/>
      <c r="V21" s="22"/>
      <c r="W21" s="22"/>
      <c r="X21" s="22"/>
      <c r="Y21" s="2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</row>
    <row r="22" spans="2:260" ht="13.5" thickBot="1" x14ac:dyDescent="0.25">
      <c r="B22" s="637"/>
      <c r="C22" s="87"/>
      <c r="D22" s="87"/>
      <c r="E22" s="87"/>
      <c r="F22" s="87"/>
      <c r="G22" s="87"/>
      <c r="H22" s="88">
        <v>0</v>
      </c>
      <c r="I22" s="305">
        <f>+H22*(1+$I$7)</f>
        <v>0</v>
      </c>
      <c r="J22" s="88">
        <v>0</v>
      </c>
      <c r="K22" s="88">
        <v>0</v>
      </c>
      <c r="L22" s="303">
        <f t="shared" si="1"/>
        <v>0</v>
      </c>
      <c r="M22" s="640"/>
      <c r="N22"/>
      <c r="O22" s="26"/>
      <c r="P22" s="26"/>
      <c r="Q22" s="26"/>
      <c r="R22" s="26"/>
      <c r="S22" s="26"/>
      <c r="T22" s="27"/>
      <c r="U22" s="26"/>
      <c r="V22" s="26"/>
      <c r="W22" s="26"/>
      <c r="X22" s="26"/>
      <c r="Y22" s="28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</row>
    <row r="23" spans="2:260" ht="16.5" thickBot="1" x14ac:dyDescent="0.25">
      <c r="B23" s="19"/>
      <c r="C23"/>
      <c r="D23"/>
      <c r="E23" s="33"/>
      <c r="F23" s="33"/>
      <c r="G23" s="33"/>
      <c r="H23" s="33"/>
      <c r="I23" s="307">
        <f>SUM(I11:I22)</f>
        <v>0</v>
      </c>
      <c r="J23" s="307">
        <f>SUM(J11:J22)</f>
        <v>0</v>
      </c>
      <c r="K23" s="307">
        <f>SUM(K11:K22)</f>
        <v>0</v>
      </c>
      <c r="M23" s="89">
        <f>SUM(M11:M22)</f>
        <v>0</v>
      </c>
      <c r="N23" s="20"/>
      <c r="O23" s="20"/>
      <c r="P23" s="20"/>
      <c r="Q23" s="26"/>
      <c r="R23" s="26"/>
      <c r="S23" s="26"/>
      <c r="T23" s="29"/>
      <c r="U23" s="29"/>
      <c r="V23" s="30"/>
      <c r="W23" s="30"/>
    </row>
    <row r="24" spans="2:260" x14ac:dyDescent="0.2">
      <c r="B24" s="19"/>
      <c r="C24"/>
      <c r="D24"/>
      <c r="E24" s="33"/>
      <c r="F24" s="33"/>
      <c r="G24" s="33"/>
      <c r="H24" s="33"/>
      <c r="I24" s="33"/>
      <c r="J24" s="33"/>
      <c r="K24" s="31"/>
      <c r="L24" s="31"/>
      <c r="M24" s="31"/>
      <c r="N24" s="20"/>
      <c r="O24" s="20"/>
      <c r="P24" s="20"/>
      <c r="Q24" s="26"/>
      <c r="R24" s="26"/>
      <c r="S24" s="26"/>
      <c r="T24" s="29"/>
      <c r="U24" s="29"/>
      <c r="V24" s="30"/>
      <c r="W24" s="30"/>
    </row>
    <row r="25" spans="2:260" x14ac:dyDescent="0.2">
      <c r="B25" s="19"/>
      <c r="C25" s="19"/>
      <c r="D25" s="19"/>
      <c r="E25" s="19"/>
      <c r="F25" s="19"/>
      <c r="G25" s="19"/>
      <c r="H25" s="19"/>
      <c r="I25" s="19"/>
      <c r="J25" s="1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0"/>
    </row>
    <row r="26" spans="2:260" x14ac:dyDescent="0.2">
      <c r="B26" s="19"/>
      <c r="C26" s="19"/>
      <c r="D26" s="19"/>
      <c r="E26" s="19"/>
      <c r="F26" s="19"/>
      <c r="G26" s="19"/>
      <c r="H26" s="19"/>
      <c r="I26" s="19"/>
      <c r="J26" s="1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30"/>
    </row>
    <row r="27" spans="2:260" x14ac:dyDescent="0.2">
      <c r="B27" s="19"/>
      <c r="C27" s="19"/>
      <c r="D27" s="19"/>
      <c r="E27" s="19"/>
      <c r="F27" s="19"/>
      <c r="G27" s="19"/>
      <c r="H27" s="19"/>
      <c r="I27" s="19"/>
      <c r="J27" s="1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0"/>
    </row>
    <row r="28" spans="2:260" x14ac:dyDescent="0.2">
      <c r="B28" s="19"/>
      <c r="C28" s="19"/>
      <c r="D28" s="19"/>
      <c r="E28" s="19"/>
      <c r="F28" s="19"/>
      <c r="G28" s="19"/>
      <c r="H28" s="19"/>
      <c r="I28" s="19"/>
      <c r="J28" s="1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</row>
    <row r="29" spans="2:260" x14ac:dyDescent="0.2">
      <c r="B29" s="19"/>
      <c r="C29" s="19"/>
      <c r="D29" s="19"/>
      <c r="E29" s="19"/>
      <c r="F29" s="19"/>
      <c r="G29" s="19"/>
      <c r="H29" s="19"/>
      <c r="I29" s="19"/>
      <c r="J29" s="19"/>
      <c r="K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0"/>
    </row>
    <row r="30" spans="2:260" x14ac:dyDescent="0.2">
      <c r="B30" s="19"/>
      <c r="C30" s="19"/>
      <c r="D30" s="19"/>
      <c r="E30" s="19"/>
      <c r="F30" s="19"/>
      <c r="G30" s="19"/>
      <c r="H30" s="19"/>
      <c r="I30" s="19"/>
      <c r="J30" s="1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30"/>
    </row>
  </sheetData>
  <sheetProtection algorithmName="SHA-512" hashValue="siOWPoS65b9lS/VI0WNW5WVp5raLpvE2SnOxba+rSr+vVmSLLiLKZGnrnff7bOoVUq7Ra2iIXf0u0uT3wUaz7Q==" saltValue="ro+KESgl1aWWg+D+EQypJg==" spinCount="100000" sheet="1" objects="1" scenarios="1"/>
  <mergeCells count="15">
    <mergeCell ref="L9:L10"/>
    <mergeCell ref="M9:M10"/>
    <mergeCell ref="U10:X10"/>
    <mergeCell ref="B11:B22"/>
    <mergeCell ref="M11:M22"/>
    <mergeCell ref="G9:G10"/>
    <mergeCell ref="H9:H10"/>
    <mergeCell ref="I9:I10"/>
    <mergeCell ref="J9:J10"/>
    <mergeCell ref="K9:K10"/>
    <mergeCell ref="B9:B10"/>
    <mergeCell ref="D9:D10"/>
    <mergeCell ref="E9:E10"/>
    <mergeCell ref="F9:F10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="80" zoomScaleNormal="80" workbookViewId="0">
      <selection activeCell="N16" sqref="N16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32"/>
      <c r="C1" s="32"/>
      <c r="D1" s="32" t="s">
        <v>208</v>
      </c>
      <c r="E1" s="32"/>
      <c r="F1" s="32"/>
      <c r="G1" s="32"/>
      <c r="H1" s="32"/>
      <c r="I1" s="32"/>
      <c r="J1" s="32"/>
      <c r="K1" s="32"/>
      <c r="L1" s="32"/>
      <c r="M1" s="32"/>
      <c r="N1" s="32"/>
      <c r="P1" s="32"/>
    </row>
    <row r="2" spans="1:19" x14ac:dyDescent="0.2">
      <c r="B2" s="32"/>
      <c r="C2" s="32"/>
      <c r="D2" s="32" t="s">
        <v>201</v>
      </c>
      <c r="E2" s="32"/>
      <c r="F2" s="32"/>
      <c r="G2" s="32"/>
      <c r="H2" s="32"/>
      <c r="I2" s="32"/>
      <c r="J2" s="32"/>
      <c r="K2" s="32"/>
      <c r="L2" s="32"/>
      <c r="M2" s="32"/>
      <c r="N2" s="32"/>
      <c r="P2" s="32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4" t="s">
        <v>0</v>
      </c>
      <c r="D4" s="651" t="str">
        <f>+'B) Reajuste Tarifas y Ocupación'!F5</f>
        <v>(DEPTO./DELEG.)</v>
      </c>
      <c r="E4" s="484"/>
      <c r="F4" s="652"/>
      <c r="G4" s="32"/>
      <c r="H4" s="32"/>
      <c r="I4" s="32"/>
      <c r="J4" s="32"/>
      <c r="K4" s="32"/>
      <c r="L4" s="32"/>
      <c r="N4" s="32"/>
      <c r="P4" s="32"/>
    </row>
    <row r="5" spans="1:19" x14ac:dyDescent="0.2">
      <c r="A5" s="6"/>
      <c r="B5" s="6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P5" s="32"/>
    </row>
    <row r="6" spans="1:19" x14ac:dyDescent="0.2">
      <c r="A6" s="6"/>
      <c r="B6" s="6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P6" s="32"/>
    </row>
    <row r="7" spans="1:19" ht="12.75" customHeight="1" x14ac:dyDescent="0.2">
      <c r="A7" s="664" t="s">
        <v>128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6"/>
      <c r="P7" s="42"/>
    </row>
    <row r="8" spans="1:19" x14ac:dyDescent="0.2">
      <c r="A8" s="667"/>
      <c r="B8" s="668"/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  <c r="N8" s="668"/>
      <c r="O8" s="669"/>
      <c r="P8" s="42"/>
    </row>
    <row r="9" spans="1:19" x14ac:dyDescent="0.2">
      <c r="A9" s="670"/>
      <c r="B9" s="671"/>
      <c r="C9" s="671"/>
      <c r="D9" s="671"/>
      <c r="E9" s="671"/>
      <c r="F9" s="671"/>
      <c r="G9" s="671"/>
      <c r="H9" s="671"/>
      <c r="I9" s="671"/>
      <c r="J9" s="671"/>
      <c r="K9" s="671"/>
      <c r="L9" s="671"/>
      <c r="M9" s="671"/>
      <c r="N9" s="671"/>
      <c r="O9" s="672"/>
      <c r="P9" s="42"/>
    </row>
    <row r="10" spans="1:19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9" x14ac:dyDescent="0.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9" ht="15.75" x14ac:dyDescent="0.2">
      <c r="A12" s="494" t="s">
        <v>164</v>
      </c>
      <c r="B12" s="494"/>
      <c r="C12" s="494"/>
      <c r="D12" s="494"/>
      <c r="E12" s="75"/>
      <c r="F12" s="42"/>
      <c r="G12" s="42"/>
      <c r="H12" s="42"/>
      <c r="I12" s="34"/>
      <c r="J12" s="34"/>
      <c r="K12" s="42"/>
      <c r="L12" s="42"/>
      <c r="M12" s="42"/>
      <c r="N12" s="42"/>
      <c r="O12" s="42"/>
      <c r="P12" s="42"/>
    </row>
    <row r="13" spans="1:19" ht="13.5" thickBot="1" x14ac:dyDescent="0.25">
      <c r="A13" s="6"/>
      <c r="B13" s="6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P13" s="32"/>
    </row>
    <row r="14" spans="1:19" ht="20.25" customHeight="1" x14ac:dyDescent="0.2">
      <c r="A14" s="655" t="s">
        <v>135</v>
      </c>
      <c r="B14" s="657" t="s">
        <v>5</v>
      </c>
      <c r="C14" s="491" t="s">
        <v>250</v>
      </c>
      <c r="D14" s="492"/>
      <c r="E14" s="492"/>
      <c r="F14" s="492"/>
      <c r="G14" s="493"/>
      <c r="H14" s="661" t="s">
        <v>145</v>
      </c>
      <c r="I14" s="662"/>
      <c r="J14" s="662"/>
      <c r="K14" s="662"/>
      <c r="L14" s="663"/>
      <c r="M14" s="659" t="s">
        <v>108</v>
      </c>
      <c r="N14" s="660"/>
      <c r="O14" s="653" t="s">
        <v>109</v>
      </c>
      <c r="P14" s="654"/>
      <c r="Q14" s="649" t="s">
        <v>129</v>
      </c>
    </row>
    <row r="15" spans="1:19" ht="70.5" customHeight="1" thickBot="1" x14ac:dyDescent="0.25">
      <c r="A15" s="656"/>
      <c r="B15" s="658"/>
      <c r="C15" s="207" t="s">
        <v>85</v>
      </c>
      <c r="D15" s="208" t="s">
        <v>141</v>
      </c>
      <c r="E15" s="208" t="s">
        <v>142</v>
      </c>
      <c r="F15" s="208" t="s">
        <v>86</v>
      </c>
      <c r="G15" s="209" t="s">
        <v>87</v>
      </c>
      <c r="H15" s="210" t="s">
        <v>85</v>
      </c>
      <c r="I15" s="211" t="s">
        <v>141</v>
      </c>
      <c r="J15" s="211" t="s">
        <v>142</v>
      </c>
      <c r="K15" s="211" t="s">
        <v>86</v>
      </c>
      <c r="L15" s="212" t="s">
        <v>87</v>
      </c>
      <c r="M15" s="213" t="s">
        <v>72</v>
      </c>
      <c r="N15" s="85" t="s">
        <v>84</v>
      </c>
      <c r="O15" s="214" t="s">
        <v>72</v>
      </c>
      <c r="P15" s="85" t="s">
        <v>84</v>
      </c>
      <c r="Q15" s="650"/>
    </row>
    <row r="16" spans="1:19" ht="14.25" customHeight="1" x14ac:dyDescent="0.2">
      <c r="A16" s="647" t="str">
        <f>'B) Reajuste Tarifas y Ocupación'!A12</f>
        <v>Jardín Infantil Pequeños Colonos</v>
      </c>
      <c r="B16" s="255" t="str">
        <f>+'B) Reajuste Tarifas y Ocupación'!B12</f>
        <v>Media jornada</v>
      </c>
      <c r="C16" s="246">
        <f>+'B) Reajuste Tarifas y Ocupación'!M12</f>
        <v>108300</v>
      </c>
      <c r="D16" s="192">
        <f>+'B) Reajuste Tarifas y Ocupación'!N12</f>
        <v>146300</v>
      </c>
      <c r="E16" s="192">
        <f>+'B) Reajuste Tarifas y Ocupación'!O12</f>
        <v>151700</v>
      </c>
      <c r="F16" s="192">
        <f>+'B) Reajuste Tarifas y Ocupación'!P12</f>
        <v>207600</v>
      </c>
      <c r="G16" s="193">
        <f>+'B) Reajuste Tarifas y Ocupación'!Q12</f>
        <v>251800</v>
      </c>
      <c r="H16" s="256">
        <f t="shared" ref="H16:K17" si="0">IFERROR(C16/$Q16,0)</f>
        <v>0.86639999999999995</v>
      </c>
      <c r="I16" s="78">
        <f t="shared" si="0"/>
        <v>1.1704000000000001</v>
      </c>
      <c r="J16" s="78">
        <f t="shared" si="0"/>
        <v>1.2136</v>
      </c>
      <c r="K16" s="78">
        <f t="shared" si="0"/>
        <v>1.6608000000000001</v>
      </c>
      <c r="L16" s="79">
        <f t="shared" ref="L16" si="1">IFERROR(G16/$Q16,0)</f>
        <v>2.0144000000000002</v>
      </c>
      <c r="M16" s="257" t="s">
        <v>126</v>
      </c>
      <c r="N16" s="90">
        <v>120000</v>
      </c>
      <c r="O16" s="257" t="s">
        <v>127</v>
      </c>
      <c r="P16" s="90">
        <v>130000</v>
      </c>
      <c r="Q16" s="215">
        <f>AVERAGE(N16,P16)</f>
        <v>125000</v>
      </c>
      <c r="R16" s="15"/>
      <c r="S16" s="16"/>
    </row>
    <row r="17" spans="1:19" ht="21.75" customHeight="1" thickBot="1" x14ac:dyDescent="0.25">
      <c r="A17" s="648"/>
      <c r="B17" s="258" t="str">
        <f>+'B) Reajuste Tarifas y Ocupación'!B13</f>
        <v>Doble Jornada</v>
      </c>
      <c r="C17" s="194">
        <f>+'B) Reajuste Tarifas y Ocupación'!M13</f>
        <v>142200</v>
      </c>
      <c r="D17" s="195">
        <f>+'B) Reajuste Tarifas y Ocupación'!N13</f>
        <v>192000</v>
      </c>
      <c r="E17" s="195">
        <f>+'B) Reajuste Tarifas y Ocupación'!O13</f>
        <v>199100</v>
      </c>
      <c r="F17" s="195">
        <f>+'B) Reajuste Tarifas y Ocupación'!P13</f>
        <v>255900</v>
      </c>
      <c r="G17" s="196">
        <f>+'B) Reajuste Tarifas y Ocupación'!Q13</f>
        <v>306800</v>
      </c>
      <c r="H17" s="93">
        <f t="shared" si="0"/>
        <v>1.1375908992728059</v>
      </c>
      <c r="I17" s="94">
        <f t="shared" si="0"/>
        <v>1.5359877120983032</v>
      </c>
      <c r="J17" s="94">
        <f t="shared" si="0"/>
        <v>1.5927872577019384</v>
      </c>
      <c r="K17" s="94">
        <f t="shared" si="0"/>
        <v>2.0471836225310196</v>
      </c>
      <c r="L17" s="95">
        <f t="shared" ref="L17" si="2">IFERROR(G17/$Q17,0)</f>
        <v>2.4543803649570806</v>
      </c>
      <c r="M17" s="91" t="s">
        <v>126</v>
      </c>
      <c r="N17" s="92">
        <v>120001</v>
      </c>
      <c r="O17" s="91" t="s">
        <v>127</v>
      </c>
      <c r="P17" s="92">
        <v>130001</v>
      </c>
      <c r="Q17" s="216">
        <f>AVERAGE(N17,P17)</f>
        <v>125001</v>
      </c>
      <c r="R17" s="15"/>
      <c r="S17" s="16"/>
    </row>
  </sheetData>
  <sheetProtection algorithmName="SHA-512" hashValue="mY4yl61U+AH5gWRspjd/a/KsBppRD7J1SVi687YVsbZgOX6nfEYsbfjr7offhBRD/p8yiYfRWXIZyKCHXwMCTw==" saltValue="/a55+DnD+Z7b9fxkt0Jg6A==" spinCount="100000" sheet="1" objects="1" scenarios="1"/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2024-11-18T13:27:05Z</dcterms:modified>
</cp:coreProperties>
</file>