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EncRecreativa\Desktop\Tarifas 2026\BIENIQUE\"/>
    </mc:Choice>
  </mc:AlternateContent>
  <xr:revisionPtr revIDLastSave="0" documentId="8_{42F47F68-48F2-4C50-A8AF-FA7423F77024}" xr6:coauthVersionLast="47" xr6:coauthVersionMax="47" xr10:uidLastSave="{00000000-0000-0000-0000-000000000000}"/>
  <bookViews>
    <workbookView xWindow="-110" yWindow="-110" windowWidth="19420" windowHeight="11500" tabRatio="735" activeTab="3" xr2:uid="{00000000-000D-0000-FFFF-FFFF00000000}"/>
  </bookViews>
  <sheets>
    <sheet name="Instructivo" sheetId="13" r:id="rId1"/>
    <sheet name="Tabla Indice" sheetId="12" r:id="rId2"/>
    <sheet name="Analisis" sheetId="14" state="hidden" r:id="rId3"/>
    <sheet name="A) Resumen Ingresos y Egresos" sheetId="1" r:id="rId4"/>
    <sheet name="INGRESOS" sheetId="2" state="hidden" r:id="rId5"/>
    <sheet name="B) Reajuste Tarifas y Ocupación" sheetId="3" r:id="rId6"/>
    <sheet name="C) Costos Directos" sheetId="4" r:id="rId7"/>
    <sheet name="D) Costos Indirectos " sheetId="5" r:id="rId8"/>
    <sheet name="E) Resumen Tarifado " sheetId="6" r:id="rId9"/>
    <sheet name="F) Remuneraciones" sheetId="7" r:id="rId10"/>
    <sheet name="G) Comparación Mercado" sheetId="8" r:id="rId11"/>
    <sheet name="H) Detalle Datos" sheetId="9" r:id="rId12"/>
    <sheet name="I) Costo Desayuno" sheetId="10" r:id="rId13"/>
    <sheet name="J)ESTRUCTURA ECONOMICA MENS." sheetId="11" r:id="rId14"/>
    <sheet name="% REAJUSTE" sheetId="16" state="hidden" r:id="rId15"/>
    <sheet name="IVA" sheetId="17" r:id="rId16"/>
  </sheets>
  <externalReferences>
    <externalReference r:id="rId17"/>
  </externalReferences>
  <definedNames>
    <definedName name="_xlnm.Print_Area" localSheetId="0">Instructivo!$N$96:$X$131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6" i="1" l="1"/>
  <c r="D472" i="4"/>
  <c r="I12" i="1"/>
  <c r="J12" i="1" s="1"/>
  <c r="AD52" i="3"/>
  <c r="AD50" i="3"/>
  <c r="AD49" i="3"/>
  <c r="AD48" i="3"/>
  <c r="AD47" i="3"/>
  <c r="AD63" i="3"/>
  <c r="AD62" i="3"/>
  <c r="AD61" i="3"/>
  <c r="AD60" i="3"/>
  <c r="AD59" i="3"/>
  <c r="M66" i="7"/>
  <c r="L11" i="7"/>
  <c r="L66" i="7"/>
  <c r="K66" i="7"/>
  <c r="K15" i="5"/>
  <c r="J15" i="5"/>
  <c r="I62" i="17" l="1"/>
  <c r="L62" i="17" s="1"/>
  <c r="H62" i="17"/>
  <c r="K62" i="17" s="1"/>
  <c r="I61" i="17"/>
  <c r="L61" i="17" s="1"/>
  <c r="H61" i="17"/>
  <c r="K61" i="17" s="1"/>
  <c r="I60" i="17"/>
  <c r="L60" i="17" s="1"/>
  <c r="H60" i="17"/>
  <c r="K60" i="17" s="1"/>
  <c r="I59" i="17"/>
  <c r="L59" i="17" s="1"/>
  <c r="H59" i="17"/>
  <c r="K59" i="17" s="1"/>
  <c r="I57" i="17"/>
  <c r="L57" i="17" s="1"/>
  <c r="H57" i="17"/>
  <c r="K57" i="17" s="1"/>
  <c r="I56" i="17"/>
  <c r="L56" i="17" s="1"/>
  <c r="H56" i="17"/>
  <c r="K56" i="17" s="1"/>
  <c r="I55" i="17"/>
  <c r="L55" i="17" s="1"/>
  <c r="H55" i="17"/>
  <c r="K55" i="17" s="1"/>
  <c r="I54" i="17"/>
  <c r="L54" i="17" s="1"/>
  <c r="H54" i="17"/>
  <c r="K54" i="17" s="1"/>
  <c r="I53" i="17"/>
  <c r="L53" i="17" s="1"/>
  <c r="H53" i="17"/>
  <c r="K53" i="17" s="1"/>
  <c r="I52" i="17"/>
  <c r="L52" i="17" s="1"/>
  <c r="H52" i="17"/>
  <c r="K52" i="17" s="1"/>
  <c r="I51" i="17"/>
  <c r="L51" i="17" s="1"/>
  <c r="H51" i="17"/>
  <c r="K51" i="17" s="1"/>
  <c r="I50" i="17"/>
  <c r="L50" i="17" s="1"/>
  <c r="H50" i="17"/>
  <c r="K50" i="17" s="1"/>
  <c r="I49" i="17"/>
  <c r="L49" i="17" s="1"/>
  <c r="H49" i="17"/>
  <c r="K49" i="17" s="1"/>
  <c r="I48" i="17"/>
  <c r="L48" i="17" s="1"/>
  <c r="H48" i="17"/>
  <c r="K48" i="17" s="1"/>
  <c r="I46" i="17"/>
  <c r="L46" i="17" s="1"/>
  <c r="H46" i="17"/>
  <c r="K46" i="17" s="1"/>
  <c r="I45" i="17"/>
  <c r="L45" i="17" s="1"/>
  <c r="H45" i="17"/>
  <c r="K45" i="17" s="1"/>
  <c r="I44" i="17"/>
  <c r="L44" i="17" s="1"/>
  <c r="H44" i="17"/>
  <c r="K44" i="17" s="1"/>
  <c r="I43" i="17"/>
  <c r="L43" i="17" s="1"/>
  <c r="H43" i="17"/>
  <c r="K43" i="17" s="1"/>
  <c r="I42" i="17"/>
  <c r="L42" i="17" s="1"/>
  <c r="H42" i="17"/>
  <c r="K42" i="17" s="1"/>
  <c r="I41" i="17"/>
  <c r="L41" i="17" s="1"/>
  <c r="H41" i="17"/>
  <c r="K41" i="17" s="1"/>
  <c r="I40" i="17"/>
  <c r="L40" i="17" s="1"/>
  <c r="H40" i="17"/>
  <c r="K40" i="17" s="1"/>
  <c r="I38" i="17"/>
  <c r="L38" i="17" s="1"/>
  <c r="H38" i="17"/>
  <c r="K38" i="17" s="1"/>
  <c r="I37" i="17"/>
  <c r="L37" i="17" s="1"/>
  <c r="H37" i="17"/>
  <c r="K37" i="17" s="1"/>
  <c r="I36" i="17"/>
  <c r="L36" i="17" s="1"/>
  <c r="H36" i="17"/>
  <c r="K36" i="17" s="1"/>
  <c r="I35" i="17"/>
  <c r="L35" i="17" s="1"/>
  <c r="H35" i="17"/>
  <c r="K35" i="17" s="1"/>
  <c r="I34" i="17"/>
  <c r="L34" i="17" s="1"/>
  <c r="H34" i="17"/>
  <c r="K34" i="17" s="1"/>
  <c r="I33" i="17"/>
  <c r="L33" i="17" s="1"/>
  <c r="H33" i="17"/>
  <c r="K33" i="17" s="1"/>
  <c r="I32" i="17"/>
  <c r="L32" i="17" s="1"/>
  <c r="H32" i="17"/>
  <c r="K32" i="17" s="1"/>
  <c r="I31" i="17"/>
  <c r="L31" i="17" s="1"/>
  <c r="H31" i="17"/>
  <c r="K31" i="17" s="1"/>
  <c r="I30" i="17"/>
  <c r="L30" i="17" s="1"/>
  <c r="H30" i="17"/>
  <c r="K30" i="17" s="1"/>
  <c r="I29" i="17"/>
  <c r="L29" i="17" s="1"/>
  <c r="H29" i="17"/>
  <c r="K29" i="17" s="1"/>
  <c r="I28" i="17"/>
  <c r="L28" i="17" s="1"/>
  <c r="H28" i="17"/>
  <c r="K28" i="17" s="1"/>
  <c r="I27" i="17"/>
  <c r="L27" i="17" s="1"/>
  <c r="H27" i="17"/>
  <c r="K27" i="17" s="1"/>
  <c r="I26" i="17"/>
  <c r="L26" i="17" s="1"/>
  <c r="H26" i="17"/>
  <c r="K26" i="17" s="1"/>
  <c r="I25" i="17"/>
  <c r="L25" i="17" s="1"/>
  <c r="H25" i="17"/>
  <c r="K25" i="17" s="1"/>
  <c r="I24" i="17"/>
  <c r="L24" i="17" s="1"/>
  <c r="H24" i="17"/>
  <c r="K24" i="17" s="1"/>
  <c r="I23" i="17"/>
  <c r="L23" i="17" s="1"/>
  <c r="H23" i="17"/>
  <c r="K23" i="17" s="1"/>
  <c r="I22" i="17"/>
  <c r="L22" i="17" s="1"/>
  <c r="H22" i="17"/>
  <c r="K22" i="17" s="1"/>
  <c r="I21" i="17"/>
  <c r="L21" i="17" s="1"/>
  <c r="H21" i="17"/>
  <c r="K21" i="17" s="1"/>
  <c r="I20" i="17"/>
  <c r="L20" i="17" s="1"/>
  <c r="H20" i="17"/>
  <c r="K20" i="17" s="1"/>
  <c r="I19" i="17"/>
  <c r="L19" i="17" s="1"/>
  <c r="H19" i="17"/>
  <c r="K19" i="17" s="1"/>
  <c r="I18" i="17"/>
  <c r="L18" i="17" s="1"/>
  <c r="H18" i="17"/>
  <c r="K18" i="17" s="1"/>
  <c r="I17" i="17"/>
  <c r="L17" i="17" s="1"/>
  <c r="H17" i="17"/>
  <c r="K17" i="17" s="1"/>
  <c r="I15" i="17"/>
  <c r="L15" i="17" s="1"/>
  <c r="H15" i="17"/>
  <c r="K15" i="17" s="1"/>
  <c r="I14" i="17"/>
  <c r="L14" i="17" s="1"/>
  <c r="H14" i="17"/>
  <c r="K14" i="17" s="1"/>
  <c r="I13" i="17"/>
  <c r="L13" i="17" s="1"/>
  <c r="H13" i="17"/>
  <c r="K13" i="17" s="1"/>
  <c r="I12" i="17"/>
  <c r="L12" i="17" s="1"/>
  <c r="H12" i="17"/>
  <c r="K12" i="17" s="1"/>
  <c r="I11" i="17"/>
  <c r="L11" i="17" s="1"/>
  <c r="H11" i="17"/>
  <c r="K11" i="17" s="1"/>
  <c r="I10" i="17"/>
  <c r="L10" i="17" s="1"/>
  <c r="H10" i="17"/>
  <c r="K10" i="17" s="1"/>
  <c r="I9" i="17"/>
  <c r="L9" i="17" s="1"/>
  <c r="H9" i="17"/>
  <c r="K9" i="17" s="1"/>
  <c r="I8" i="17"/>
  <c r="L8" i="17" s="1"/>
  <c r="H8" i="17"/>
  <c r="K8" i="17" s="1"/>
  <c r="I7" i="17"/>
  <c r="L7" i="17" s="1"/>
  <c r="H7" i="17"/>
  <c r="K7" i="17" s="1"/>
  <c r="I6" i="17"/>
  <c r="L6" i="17" s="1"/>
  <c r="H6" i="17"/>
  <c r="K6" i="17" s="1"/>
  <c r="I4" i="17"/>
  <c r="L4" i="17" s="1"/>
  <c r="H4" i="17"/>
  <c r="K4" i="17" s="1"/>
  <c r="K63" i="16"/>
  <c r="N63" i="16" s="1"/>
  <c r="J63" i="16"/>
  <c r="M63" i="16" s="1"/>
  <c r="H63" i="16"/>
  <c r="G63" i="16"/>
  <c r="K62" i="16"/>
  <c r="J62" i="16"/>
  <c r="H62" i="16"/>
  <c r="N62" i="16" s="1"/>
  <c r="G62" i="16"/>
  <c r="M62" i="16" s="1"/>
  <c r="K61" i="16"/>
  <c r="N61" i="16" s="1"/>
  <c r="J61" i="16"/>
  <c r="M61" i="16" s="1"/>
  <c r="H61" i="16"/>
  <c r="G61" i="16"/>
  <c r="K60" i="16"/>
  <c r="J60" i="16"/>
  <c r="H60" i="16"/>
  <c r="N60" i="16" s="1"/>
  <c r="G60" i="16"/>
  <c r="M60" i="16" s="1"/>
  <c r="K58" i="16"/>
  <c r="N58" i="16" s="1"/>
  <c r="J58" i="16"/>
  <c r="M58" i="16" s="1"/>
  <c r="K57" i="16"/>
  <c r="N57" i="16" s="1"/>
  <c r="J57" i="16"/>
  <c r="M57" i="16" s="1"/>
  <c r="K56" i="16"/>
  <c r="N56" i="16" s="1"/>
  <c r="J56" i="16"/>
  <c r="M56" i="16" s="1"/>
  <c r="K55" i="16"/>
  <c r="N55" i="16" s="1"/>
  <c r="J55" i="16"/>
  <c r="M55" i="16" s="1"/>
  <c r="K54" i="16"/>
  <c r="N54" i="16" s="1"/>
  <c r="J54" i="16"/>
  <c r="M54" i="16" s="1"/>
  <c r="K53" i="16"/>
  <c r="N53" i="16" s="1"/>
  <c r="J53" i="16"/>
  <c r="M53" i="16" s="1"/>
  <c r="K52" i="16"/>
  <c r="N52" i="16" s="1"/>
  <c r="J52" i="16"/>
  <c r="M52" i="16" s="1"/>
  <c r="K51" i="16"/>
  <c r="N51" i="16" s="1"/>
  <c r="J51" i="16"/>
  <c r="M51" i="16" s="1"/>
  <c r="K50" i="16"/>
  <c r="N50" i="16" s="1"/>
  <c r="J50" i="16"/>
  <c r="M50" i="16" s="1"/>
  <c r="K49" i="16"/>
  <c r="N49" i="16" s="1"/>
  <c r="J49" i="16"/>
  <c r="M49" i="16" s="1"/>
  <c r="K48" i="16"/>
  <c r="J48" i="16"/>
  <c r="N47" i="16"/>
  <c r="M47" i="16"/>
  <c r="K47" i="16"/>
  <c r="J47" i="16"/>
  <c r="N46" i="16"/>
  <c r="M46" i="16"/>
  <c r="K46" i="16"/>
  <c r="J46" i="16"/>
  <c r="N45" i="16"/>
  <c r="M45" i="16"/>
  <c r="K45" i="16"/>
  <c r="J45" i="16"/>
  <c r="N44" i="16"/>
  <c r="M44" i="16"/>
  <c r="K44" i="16"/>
  <c r="J44" i="16"/>
  <c r="N43" i="16"/>
  <c r="M43" i="16"/>
  <c r="K43" i="16"/>
  <c r="J43" i="16"/>
  <c r="N42" i="16"/>
  <c r="M42" i="16"/>
  <c r="K42" i="16"/>
  <c r="J42" i="16"/>
  <c r="N41" i="16"/>
  <c r="M41" i="16"/>
  <c r="K41" i="16"/>
  <c r="J41" i="16"/>
  <c r="K40" i="16"/>
  <c r="J40" i="16"/>
  <c r="K39" i="16"/>
  <c r="N39" i="16" s="1"/>
  <c r="J39" i="16"/>
  <c r="M39" i="16" s="1"/>
  <c r="K38" i="16"/>
  <c r="N38" i="16" s="1"/>
  <c r="J38" i="16"/>
  <c r="M38" i="16" s="1"/>
  <c r="K37" i="16"/>
  <c r="N37" i="16" s="1"/>
  <c r="J37" i="16"/>
  <c r="M37" i="16" s="1"/>
  <c r="K36" i="16"/>
  <c r="N36" i="16" s="1"/>
  <c r="J36" i="16"/>
  <c r="M36" i="16" s="1"/>
  <c r="K35" i="16"/>
  <c r="N35" i="16" s="1"/>
  <c r="J35" i="16"/>
  <c r="M35" i="16" s="1"/>
  <c r="K34" i="16"/>
  <c r="N34" i="16" s="1"/>
  <c r="J34" i="16"/>
  <c r="M34" i="16" s="1"/>
  <c r="K33" i="16"/>
  <c r="N33" i="16" s="1"/>
  <c r="J33" i="16"/>
  <c r="M33" i="16" s="1"/>
  <c r="K32" i="16"/>
  <c r="N32" i="16" s="1"/>
  <c r="J32" i="16"/>
  <c r="M32" i="16" s="1"/>
  <c r="K31" i="16"/>
  <c r="N31" i="16" s="1"/>
  <c r="J31" i="16"/>
  <c r="M31" i="16" s="1"/>
  <c r="K30" i="16"/>
  <c r="N30" i="16" s="1"/>
  <c r="J30" i="16"/>
  <c r="M30" i="16" s="1"/>
  <c r="K29" i="16"/>
  <c r="N29" i="16" s="1"/>
  <c r="J29" i="16"/>
  <c r="M29" i="16" s="1"/>
  <c r="K28" i="16"/>
  <c r="N28" i="16" s="1"/>
  <c r="J28" i="16"/>
  <c r="M28" i="16" s="1"/>
  <c r="K27" i="16"/>
  <c r="N27" i="16" s="1"/>
  <c r="J27" i="16"/>
  <c r="M27" i="16" s="1"/>
  <c r="K26" i="16"/>
  <c r="N26" i="16" s="1"/>
  <c r="J26" i="16"/>
  <c r="M26" i="16" s="1"/>
  <c r="K25" i="16"/>
  <c r="N25" i="16" s="1"/>
  <c r="J25" i="16"/>
  <c r="M25" i="16" s="1"/>
  <c r="K24" i="16"/>
  <c r="N24" i="16" s="1"/>
  <c r="J24" i="16"/>
  <c r="M24" i="16" s="1"/>
  <c r="K23" i="16"/>
  <c r="N23" i="16" s="1"/>
  <c r="J23" i="16"/>
  <c r="M23" i="16" s="1"/>
  <c r="K22" i="16"/>
  <c r="N22" i="16" s="1"/>
  <c r="J22" i="16"/>
  <c r="M22" i="16" s="1"/>
  <c r="K21" i="16"/>
  <c r="N21" i="16" s="1"/>
  <c r="J21" i="16"/>
  <c r="M21" i="16" s="1"/>
  <c r="N20" i="16"/>
  <c r="M20" i="16"/>
  <c r="K20" i="16"/>
  <c r="J20" i="16"/>
  <c r="N19" i="16"/>
  <c r="M19" i="16"/>
  <c r="K19" i="16"/>
  <c r="J19" i="16"/>
  <c r="N18" i="16"/>
  <c r="M18" i="16"/>
  <c r="K18" i="16"/>
  <c r="J18" i="16"/>
  <c r="K17" i="16"/>
  <c r="J17" i="16"/>
  <c r="K16" i="16"/>
  <c r="N16" i="16" s="1"/>
  <c r="J16" i="16"/>
  <c r="M16" i="16" s="1"/>
  <c r="K15" i="16"/>
  <c r="N15" i="16" s="1"/>
  <c r="J15" i="16"/>
  <c r="M15" i="16" s="1"/>
  <c r="K14" i="16"/>
  <c r="N14" i="16" s="1"/>
  <c r="J14" i="16"/>
  <c r="M14" i="16" s="1"/>
  <c r="K13" i="16"/>
  <c r="N13" i="16" s="1"/>
  <c r="J13" i="16"/>
  <c r="M13" i="16" s="1"/>
  <c r="K12" i="16"/>
  <c r="N12" i="16" s="1"/>
  <c r="J12" i="16"/>
  <c r="M12" i="16" s="1"/>
  <c r="K11" i="16"/>
  <c r="N11" i="16" s="1"/>
  <c r="J11" i="16"/>
  <c r="M11" i="16" s="1"/>
  <c r="K10" i="16"/>
  <c r="N10" i="16" s="1"/>
  <c r="J10" i="16"/>
  <c r="M10" i="16" s="1"/>
  <c r="K9" i="16"/>
  <c r="N9" i="16" s="1"/>
  <c r="J9" i="16"/>
  <c r="M9" i="16" s="1"/>
  <c r="K8" i="16"/>
  <c r="N8" i="16" s="1"/>
  <c r="J8" i="16"/>
  <c r="M8" i="16" s="1"/>
  <c r="K7" i="16"/>
  <c r="N7" i="16" s="1"/>
  <c r="J7" i="16"/>
  <c r="M7" i="16" s="1"/>
  <c r="K6" i="16"/>
  <c r="J6" i="16"/>
  <c r="N5" i="16"/>
  <c r="M5" i="16"/>
  <c r="K5" i="16"/>
  <c r="J5" i="16"/>
  <c r="K100" i="11"/>
  <c r="C100" i="11"/>
  <c r="K89" i="11"/>
  <c r="C89" i="11"/>
  <c r="N89" i="11" s="1"/>
  <c r="K78" i="11"/>
  <c r="C78" i="11"/>
  <c r="O77" i="11"/>
  <c r="N76" i="11"/>
  <c r="M76" i="11"/>
  <c r="L76" i="11"/>
  <c r="K76" i="11"/>
  <c r="J76" i="11"/>
  <c r="I76" i="11"/>
  <c r="H76" i="11"/>
  <c r="G76" i="11"/>
  <c r="F76" i="11"/>
  <c r="E76" i="11"/>
  <c r="D76" i="11"/>
  <c r="C76" i="11"/>
  <c r="K67" i="11"/>
  <c r="C67" i="11"/>
  <c r="N67" i="11" s="1"/>
  <c r="O67" i="11" s="1"/>
  <c r="N65" i="11"/>
  <c r="M65" i="11"/>
  <c r="L65" i="11"/>
  <c r="K65" i="11"/>
  <c r="J65" i="11"/>
  <c r="I65" i="11"/>
  <c r="H65" i="11"/>
  <c r="G65" i="11"/>
  <c r="F65" i="11"/>
  <c r="E65" i="11"/>
  <c r="D65" i="11"/>
  <c r="C65" i="11"/>
  <c r="O56" i="11"/>
  <c r="K56" i="11"/>
  <c r="C56" i="11"/>
  <c r="N56" i="11" s="1"/>
  <c r="N54" i="11"/>
  <c r="M54" i="11"/>
  <c r="L54" i="11"/>
  <c r="K54" i="11"/>
  <c r="J54" i="11"/>
  <c r="I54" i="11"/>
  <c r="H54" i="11"/>
  <c r="G54" i="11"/>
  <c r="F54" i="11"/>
  <c r="E54" i="11"/>
  <c r="D54" i="11"/>
  <c r="C54" i="11"/>
  <c r="K45" i="11"/>
  <c r="C45" i="11"/>
  <c r="K34" i="11"/>
  <c r="C34" i="11"/>
  <c r="N34" i="11" s="1"/>
  <c r="O33" i="11"/>
  <c r="N32" i="11"/>
  <c r="M32" i="11"/>
  <c r="L32" i="11"/>
  <c r="K32" i="11"/>
  <c r="J32" i="11"/>
  <c r="I32" i="11"/>
  <c r="H32" i="11"/>
  <c r="G32" i="11"/>
  <c r="F32" i="11"/>
  <c r="E32" i="11"/>
  <c r="D32" i="11"/>
  <c r="C32" i="11"/>
  <c r="O32" i="11" s="1"/>
  <c r="K23" i="11"/>
  <c r="C23" i="11"/>
  <c r="N21" i="11"/>
  <c r="M21" i="11"/>
  <c r="L21" i="11"/>
  <c r="K21" i="11"/>
  <c r="J21" i="11"/>
  <c r="I21" i="11"/>
  <c r="H21" i="11"/>
  <c r="G21" i="11"/>
  <c r="F21" i="11"/>
  <c r="E21" i="11"/>
  <c r="D21" i="11"/>
  <c r="C21" i="11"/>
  <c r="O21" i="11" s="1"/>
  <c r="K12" i="11"/>
  <c r="C12" i="11"/>
  <c r="J29" i="10"/>
  <c r="E27" i="10"/>
  <c r="E26" i="10"/>
  <c r="E25" i="10"/>
  <c r="E24" i="10"/>
  <c r="E23" i="10"/>
  <c r="E22" i="10"/>
  <c r="E21" i="10"/>
  <c r="E20" i="10"/>
  <c r="E19" i="10"/>
  <c r="E18" i="10"/>
  <c r="E17" i="10"/>
  <c r="E16" i="10"/>
  <c r="E15" i="10"/>
  <c r="E29" i="10" s="1"/>
  <c r="M75" i="8"/>
  <c r="B75" i="8"/>
  <c r="M74" i="8"/>
  <c r="B74" i="8"/>
  <c r="M73" i="8"/>
  <c r="B73" i="8"/>
  <c r="M72" i="8"/>
  <c r="B72" i="8"/>
  <c r="M71" i="8"/>
  <c r="B71" i="8"/>
  <c r="M70" i="8"/>
  <c r="B70" i="8"/>
  <c r="M69" i="8"/>
  <c r="B69" i="8"/>
  <c r="M68" i="8"/>
  <c r="B68" i="8"/>
  <c r="M67" i="8"/>
  <c r="B67" i="8"/>
  <c r="M66" i="8"/>
  <c r="B66" i="8"/>
  <c r="A66" i="8"/>
  <c r="M65" i="8"/>
  <c r="B65" i="8"/>
  <c r="M64" i="8"/>
  <c r="B64" i="8"/>
  <c r="M63" i="8"/>
  <c r="B63" i="8"/>
  <c r="M62" i="8"/>
  <c r="B62" i="8"/>
  <c r="M61" i="8"/>
  <c r="B61" i="8"/>
  <c r="M60" i="8"/>
  <c r="B60" i="8"/>
  <c r="M59" i="8"/>
  <c r="B59" i="8"/>
  <c r="M58" i="8"/>
  <c r="B58" i="8"/>
  <c r="M57" i="8"/>
  <c r="B57" i="8"/>
  <c r="M56" i="8"/>
  <c r="B56" i="8"/>
  <c r="M55" i="8"/>
  <c r="B55" i="8"/>
  <c r="M54" i="8"/>
  <c r="B54" i="8"/>
  <c r="A54" i="8"/>
  <c r="M53" i="8"/>
  <c r="B53" i="8"/>
  <c r="M52" i="8"/>
  <c r="B52" i="8"/>
  <c r="M51" i="8"/>
  <c r="B51" i="8"/>
  <c r="A51" i="8"/>
  <c r="M50" i="8"/>
  <c r="B50" i="8"/>
  <c r="M49" i="8"/>
  <c r="B49" i="8"/>
  <c r="A49" i="8"/>
  <c r="M48" i="8"/>
  <c r="B48" i="8"/>
  <c r="M47" i="8"/>
  <c r="B47" i="8"/>
  <c r="A47" i="8"/>
  <c r="M46" i="8"/>
  <c r="B46" i="8"/>
  <c r="M45" i="8"/>
  <c r="B45" i="8"/>
  <c r="M44" i="8"/>
  <c r="B44" i="8"/>
  <c r="M43" i="8"/>
  <c r="B43" i="8"/>
  <c r="M42" i="8"/>
  <c r="B42" i="8"/>
  <c r="M41" i="8"/>
  <c r="B41" i="8"/>
  <c r="M40" i="8"/>
  <c r="B40" i="8"/>
  <c r="M39" i="8"/>
  <c r="B39" i="8"/>
  <c r="M38" i="8"/>
  <c r="B38" i="8"/>
  <c r="M37" i="8"/>
  <c r="B37" i="8"/>
  <c r="M36" i="8"/>
  <c r="B36" i="8"/>
  <c r="M35" i="8"/>
  <c r="B35" i="8"/>
  <c r="M34" i="8"/>
  <c r="B34" i="8"/>
  <c r="M33" i="8"/>
  <c r="B33" i="8"/>
  <c r="M32" i="8"/>
  <c r="B32" i="8"/>
  <c r="M31" i="8"/>
  <c r="B31" i="8"/>
  <c r="A31" i="8"/>
  <c r="M30" i="8"/>
  <c r="B30" i="8"/>
  <c r="M29" i="8"/>
  <c r="B29" i="8"/>
  <c r="M28" i="8"/>
  <c r="B28" i="8"/>
  <c r="A28" i="8"/>
  <c r="M27" i="8"/>
  <c r="B27" i="8"/>
  <c r="M26" i="8"/>
  <c r="B26" i="8"/>
  <c r="A26" i="8"/>
  <c r="M25" i="8"/>
  <c r="B25" i="8"/>
  <c r="M24" i="8"/>
  <c r="B24" i="8"/>
  <c r="M23" i="8"/>
  <c r="B23" i="8"/>
  <c r="M22" i="8"/>
  <c r="B22" i="8"/>
  <c r="M21" i="8"/>
  <c r="B21" i="8"/>
  <c r="M20" i="8"/>
  <c r="B20" i="8"/>
  <c r="M19" i="8"/>
  <c r="B19" i="8"/>
  <c r="M18" i="8"/>
  <c r="B18" i="8"/>
  <c r="M17" i="8"/>
  <c r="B17" i="8"/>
  <c r="A17" i="8"/>
  <c r="L186" i="7"/>
  <c r="K186" i="7"/>
  <c r="L185" i="7"/>
  <c r="K185" i="7"/>
  <c r="L184" i="7"/>
  <c r="K184" i="7"/>
  <c r="L183" i="7"/>
  <c r="K183" i="7"/>
  <c r="L182" i="7"/>
  <c r="K182" i="7"/>
  <c r="L181" i="7"/>
  <c r="K181" i="7"/>
  <c r="L180" i="7"/>
  <c r="K180" i="7"/>
  <c r="L179" i="7"/>
  <c r="K179" i="7"/>
  <c r="L178" i="7"/>
  <c r="K178" i="7"/>
  <c r="L177" i="7"/>
  <c r="K177" i="7"/>
  <c r="L176" i="7"/>
  <c r="E99" i="11" s="1"/>
  <c r="K176" i="7"/>
  <c r="L175" i="7"/>
  <c r="K175" i="7"/>
  <c r="L174" i="7"/>
  <c r="K174" i="7"/>
  <c r="L173" i="7"/>
  <c r="K173" i="7"/>
  <c r="L172" i="7"/>
  <c r="K172" i="7"/>
  <c r="L171" i="7"/>
  <c r="K171" i="7"/>
  <c r="L170" i="7"/>
  <c r="K170" i="7"/>
  <c r="L169" i="7"/>
  <c r="K169" i="7"/>
  <c r="L168" i="7"/>
  <c r="K168" i="7"/>
  <c r="L167" i="7"/>
  <c r="K167" i="7"/>
  <c r="L166" i="7"/>
  <c r="K166" i="7"/>
  <c r="L165" i="7"/>
  <c r="K165" i="7"/>
  <c r="B165" i="7"/>
  <c r="L164" i="7"/>
  <c r="K164" i="7"/>
  <c r="L163" i="7"/>
  <c r="K163" i="7"/>
  <c r="L162" i="7"/>
  <c r="K162" i="7"/>
  <c r="L161" i="7"/>
  <c r="K161" i="7"/>
  <c r="L160" i="7"/>
  <c r="K160" i="7"/>
  <c r="L159" i="7"/>
  <c r="K159" i="7"/>
  <c r="L158" i="7"/>
  <c r="K158" i="7"/>
  <c r="L157" i="7"/>
  <c r="K157" i="7"/>
  <c r="L156" i="7"/>
  <c r="K156" i="7"/>
  <c r="L155" i="7"/>
  <c r="K155" i="7"/>
  <c r="L154" i="7"/>
  <c r="K154" i="7"/>
  <c r="L153" i="7"/>
  <c r="K153" i="7"/>
  <c r="L152" i="7"/>
  <c r="K152" i="7"/>
  <c r="L151" i="7"/>
  <c r="K151" i="7"/>
  <c r="L150" i="7"/>
  <c r="K150" i="7"/>
  <c r="L149" i="7"/>
  <c r="K149" i="7"/>
  <c r="L148" i="7"/>
  <c r="K148" i="7"/>
  <c r="L147" i="7"/>
  <c r="K147" i="7"/>
  <c r="L146" i="7"/>
  <c r="K146" i="7"/>
  <c r="L145" i="7"/>
  <c r="K145" i="7"/>
  <c r="L144" i="7"/>
  <c r="K144" i="7"/>
  <c r="L143" i="7"/>
  <c r="K143" i="7"/>
  <c r="B143" i="7"/>
  <c r="L142" i="7"/>
  <c r="K142" i="7"/>
  <c r="L141" i="7"/>
  <c r="K141" i="7"/>
  <c r="L140" i="7"/>
  <c r="K140" i="7"/>
  <c r="L139" i="7"/>
  <c r="K139" i="7"/>
  <c r="L138" i="7"/>
  <c r="K138" i="7"/>
  <c r="L137" i="7"/>
  <c r="K137" i="7"/>
  <c r="L136" i="7"/>
  <c r="K136" i="7"/>
  <c r="L135" i="7"/>
  <c r="K135" i="7"/>
  <c r="L134" i="7"/>
  <c r="K134" i="7"/>
  <c r="L133" i="7"/>
  <c r="M132" i="7" s="1"/>
  <c r="D445" i="4" s="1"/>
  <c r="H445" i="4" s="1"/>
  <c r="K133" i="7"/>
  <c r="L132" i="7"/>
  <c r="K132" i="7"/>
  <c r="B132" i="7"/>
  <c r="L131" i="7"/>
  <c r="K131" i="7"/>
  <c r="L130" i="7"/>
  <c r="K130" i="7"/>
  <c r="L129" i="7"/>
  <c r="K129" i="7"/>
  <c r="L128" i="7"/>
  <c r="K128" i="7"/>
  <c r="L127" i="7"/>
  <c r="K127" i="7"/>
  <c r="L126" i="7"/>
  <c r="K126" i="7"/>
  <c r="L125" i="7"/>
  <c r="K125" i="7"/>
  <c r="L124" i="7"/>
  <c r="K124" i="7"/>
  <c r="L123" i="7"/>
  <c r="L122" i="7"/>
  <c r="K122" i="7"/>
  <c r="L121" i="7"/>
  <c r="K121" i="7"/>
  <c r="H121" i="7"/>
  <c r="L120" i="7"/>
  <c r="K120" i="7"/>
  <c r="L119" i="7"/>
  <c r="K119" i="7"/>
  <c r="L118" i="7"/>
  <c r="K118" i="7"/>
  <c r="L117" i="7"/>
  <c r="K117" i="7"/>
  <c r="L116" i="7"/>
  <c r="K116" i="7"/>
  <c r="L115" i="7"/>
  <c r="K115" i="7"/>
  <c r="L114" i="7"/>
  <c r="K114" i="7"/>
  <c r="L113" i="7"/>
  <c r="K113" i="7"/>
  <c r="L112" i="7"/>
  <c r="K112" i="7"/>
  <c r="L111" i="7"/>
  <c r="K111" i="7"/>
  <c r="L110" i="7"/>
  <c r="K110" i="7"/>
  <c r="B110" i="7"/>
  <c r="L109" i="7"/>
  <c r="K109" i="7"/>
  <c r="L108" i="7"/>
  <c r="K108" i="7"/>
  <c r="L107" i="7"/>
  <c r="K107" i="7"/>
  <c r="L106" i="7"/>
  <c r="K106" i="7"/>
  <c r="L105" i="7"/>
  <c r="K105" i="7"/>
  <c r="L104" i="7"/>
  <c r="K104" i="7"/>
  <c r="L103" i="7"/>
  <c r="K103" i="7"/>
  <c r="L102" i="7"/>
  <c r="K102" i="7"/>
  <c r="L101" i="7"/>
  <c r="K101" i="7"/>
  <c r="L100" i="7"/>
  <c r="K100" i="7"/>
  <c r="H99" i="7"/>
  <c r="L98" i="7"/>
  <c r="K98" i="7"/>
  <c r="L97" i="7"/>
  <c r="K97" i="7"/>
  <c r="L96" i="7"/>
  <c r="K96" i="7"/>
  <c r="L95" i="7"/>
  <c r="K95" i="7"/>
  <c r="L94" i="7"/>
  <c r="K94" i="7"/>
  <c r="L93" i="7"/>
  <c r="K93" i="7"/>
  <c r="L92" i="7"/>
  <c r="K92" i="7"/>
  <c r="L91" i="7"/>
  <c r="K91" i="7"/>
  <c r="L90" i="7"/>
  <c r="K90" i="7"/>
  <c r="L89" i="7"/>
  <c r="K89" i="7"/>
  <c r="L88" i="7"/>
  <c r="K88" i="7"/>
  <c r="B88" i="7"/>
  <c r="L87" i="7"/>
  <c r="K87" i="7"/>
  <c r="L86" i="7"/>
  <c r="K86" i="7"/>
  <c r="L85" i="7"/>
  <c r="K85" i="7"/>
  <c r="L84" i="7"/>
  <c r="K84" i="7"/>
  <c r="L83" i="7"/>
  <c r="K83" i="7"/>
  <c r="L82" i="7"/>
  <c r="K82" i="7"/>
  <c r="L81" i="7"/>
  <c r="K81" i="7"/>
  <c r="L80" i="7"/>
  <c r="K80" i="7"/>
  <c r="L79" i="7"/>
  <c r="K79" i="7"/>
  <c r="L78" i="7"/>
  <c r="K78" i="7"/>
  <c r="H77" i="7"/>
  <c r="L77" i="7" s="1"/>
  <c r="L76" i="7"/>
  <c r="K76" i="7"/>
  <c r="L75" i="7"/>
  <c r="K75" i="7"/>
  <c r="L74" i="7"/>
  <c r="K74" i="7"/>
  <c r="L73" i="7"/>
  <c r="K73" i="7"/>
  <c r="L72" i="7"/>
  <c r="K72" i="7"/>
  <c r="L71" i="7"/>
  <c r="K71" i="7"/>
  <c r="L70" i="7"/>
  <c r="K70" i="7"/>
  <c r="L69" i="7"/>
  <c r="K69" i="7"/>
  <c r="L68" i="7"/>
  <c r="K68" i="7"/>
  <c r="L67" i="7"/>
  <c r="K67" i="7"/>
  <c r="B66" i="7"/>
  <c r="L65" i="7"/>
  <c r="K65" i="7"/>
  <c r="L64" i="7"/>
  <c r="K64" i="7"/>
  <c r="L63" i="7"/>
  <c r="K63" i="7"/>
  <c r="L62" i="7"/>
  <c r="K62" i="7"/>
  <c r="L61" i="7"/>
  <c r="K61" i="7"/>
  <c r="L60" i="7"/>
  <c r="K60" i="7"/>
  <c r="L59" i="7"/>
  <c r="K59" i="7"/>
  <c r="L58" i="7"/>
  <c r="K58" i="7"/>
  <c r="L57" i="7"/>
  <c r="K57" i="7"/>
  <c r="L56" i="7"/>
  <c r="M55" i="7" s="1"/>
  <c r="D157" i="4" s="1"/>
  <c r="K56" i="7"/>
  <c r="L55" i="7"/>
  <c r="K55" i="7"/>
  <c r="B55" i="7"/>
  <c r="L54" i="7"/>
  <c r="K54" i="7"/>
  <c r="L53" i="7"/>
  <c r="K53" i="7"/>
  <c r="L52" i="7"/>
  <c r="K52" i="7"/>
  <c r="L51" i="7"/>
  <c r="K51" i="7"/>
  <c r="L50" i="7"/>
  <c r="K50" i="7"/>
  <c r="L49" i="7"/>
  <c r="K49" i="7"/>
  <c r="L48" i="7"/>
  <c r="K48" i="7"/>
  <c r="L47" i="7"/>
  <c r="K47" i="7"/>
  <c r="L46" i="7"/>
  <c r="K46" i="7"/>
  <c r="L45" i="7"/>
  <c r="K45" i="7"/>
  <c r="L44" i="7"/>
  <c r="K44" i="7"/>
  <c r="L43" i="7"/>
  <c r="K43" i="7"/>
  <c r="L42" i="7"/>
  <c r="K42" i="7"/>
  <c r="L41" i="7"/>
  <c r="K41" i="7"/>
  <c r="L40" i="7"/>
  <c r="K40" i="7"/>
  <c r="L39" i="7"/>
  <c r="K39" i="7"/>
  <c r="L38" i="7"/>
  <c r="K38" i="7"/>
  <c r="L37" i="7"/>
  <c r="K37" i="7"/>
  <c r="L36" i="7"/>
  <c r="K36" i="7"/>
  <c r="L35" i="7"/>
  <c r="K35" i="7"/>
  <c r="L34" i="7"/>
  <c r="K34" i="7"/>
  <c r="L33" i="7"/>
  <c r="K33" i="7"/>
  <c r="B33" i="7"/>
  <c r="L32" i="7"/>
  <c r="K32" i="7"/>
  <c r="L31" i="7"/>
  <c r="K31" i="7"/>
  <c r="L30" i="7"/>
  <c r="K30" i="7"/>
  <c r="L29" i="7"/>
  <c r="K29" i="7"/>
  <c r="L28" i="7"/>
  <c r="K28" i="7"/>
  <c r="L27" i="7"/>
  <c r="K27" i="7"/>
  <c r="L26" i="7"/>
  <c r="K26" i="7"/>
  <c r="L25" i="7"/>
  <c r="K25" i="7"/>
  <c r="L24" i="7"/>
  <c r="K24" i="7"/>
  <c r="L23" i="7"/>
  <c r="K23" i="7"/>
  <c r="L22" i="7"/>
  <c r="K22" i="7"/>
  <c r="L21" i="7"/>
  <c r="K21" i="7"/>
  <c r="L20" i="7"/>
  <c r="K20" i="7"/>
  <c r="L19" i="7"/>
  <c r="K19" i="7"/>
  <c r="L18" i="7"/>
  <c r="K18" i="7"/>
  <c r="L17" i="7"/>
  <c r="K17" i="7"/>
  <c r="L16" i="7"/>
  <c r="K16" i="7"/>
  <c r="L15" i="7"/>
  <c r="K15" i="7"/>
  <c r="L14" i="7"/>
  <c r="K14" i="7"/>
  <c r="L13" i="7"/>
  <c r="K13" i="7"/>
  <c r="L12" i="7"/>
  <c r="K12" i="7"/>
  <c r="K11" i="7"/>
  <c r="B11" i="7"/>
  <c r="J68" i="6"/>
  <c r="I68" i="6"/>
  <c r="H68" i="6"/>
  <c r="B68" i="6"/>
  <c r="J67" i="6"/>
  <c r="I67" i="6"/>
  <c r="H67" i="6"/>
  <c r="B67" i="6"/>
  <c r="J66" i="6"/>
  <c r="I66" i="6"/>
  <c r="H66" i="6"/>
  <c r="B66" i="6"/>
  <c r="J65" i="6"/>
  <c r="I65" i="6"/>
  <c r="H65" i="6"/>
  <c r="B65" i="6"/>
  <c r="B64" i="6"/>
  <c r="R63" i="6"/>
  <c r="Q63" i="6"/>
  <c r="P63" i="6"/>
  <c r="O63" i="6"/>
  <c r="J63" i="6"/>
  <c r="I63" i="6"/>
  <c r="H63" i="6"/>
  <c r="G63" i="6"/>
  <c r="B63" i="6"/>
  <c r="R62" i="6"/>
  <c r="Q62" i="6"/>
  <c r="P62" i="6"/>
  <c r="O62" i="6" s="1"/>
  <c r="J62" i="6"/>
  <c r="I62" i="6"/>
  <c r="H62" i="6"/>
  <c r="G62" i="6"/>
  <c r="D62" i="6"/>
  <c r="L62" i="6" s="1"/>
  <c r="B62" i="6"/>
  <c r="R61" i="6"/>
  <c r="Q61" i="6"/>
  <c r="P61" i="6"/>
  <c r="O61" i="6" s="1"/>
  <c r="J61" i="6"/>
  <c r="I61" i="6"/>
  <c r="H61" i="6"/>
  <c r="G61" i="6"/>
  <c r="B61" i="6"/>
  <c r="R60" i="6"/>
  <c r="Q60" i="6"/>
  <c r="P60" i="6"/>
  <c r="O60" i="6"/>
  <c r="J60" i="6"/>
  <c r="I60" i="6"/>
  <c r="H60" i="6"/>
  <c r="G60" i="6"/>
  <c r="B60" i="6"/>
  <c r="R59" i="6"/>
  <c r="Q59" i="6"/>
  <c r="P59" i="6"/>
  <c r="O59" i="6"/>
  <c r="J59" i="6"/>
  <c r="I59" i="6"/>
  <c r="H59" i="6"/>
  <c r="G59" i="6"/>
  <c r="B59" i="6"/>
  <c r="A59" i="6"/>
  <c r="J58" i="6"/>
  <c r="I58" i="6"/>
  <c r="H58" i="6"/>
  <c r="B58" i="6"/>
  <c r="J57" i="6"/>
  <c r="I57" i="6"/>
  <c r="H57" i="6"/>
  <c r="B57" i="6"/>
  <c r="J56" i="6"/>
  <c r="I56" i="6"/>
  <c r="H56" i="6"/>
  <c r="B56" i="6"/>
  <c r="J55" i="6"/>
  <c r="I55" i="6"/>
  <c r="H55" i="6"/>
  <c r="B55" i="6"/>
  <c r="J54" i="6"/>
  <c r="I54" i="6"/>
  <c r="H54" i="6"/>
  <c r="B54" i="6"/>
  <c r="B53" i="6"/>
  <c r="R52" i="6"/>
  <c r="Q52" i="6"/>
  <c r="P52" i="6"/>
  <c r="O52" i="6"/>
  <c r="J52" i="6"/>
  <c r="I52" i="6"/>
  <c r="H52" i="6"/>
  <c r="G52" i="6"/>
  <c r="B52" i="6"/>
  <c r="R51" i="6"/>
  <c r="Q51" i="6"/>
  <c r="P51" i="6"/>
  <c r="O51" i="6" s="1"/>
  <c r="J51" i="6"/>
  <c r="I51" i="6"/>
  <c r="H51" i="6"/>
  <c r="G51" i="6"/>
  <c r="D51" i="6"/>
  <c r="L51" i="6" s="1"/>
  <c r="B51" i="6"/>
  <c r="R50" i="6"/>
  <c r="Q50" i="6"/>
  <c r="P50" i="6"/>
  <c r="O50" i="6"/>
  <c r="J50" i="6"/>
  <c r="I50" i="6"/>
  <c r="H50" i="6"/>
  <c r="G50" i="6"/>
  <c r="B50" i="6"/>
  <c r="R49" i="6"/>
  <c r="Q49" i="6"/>
  <c r="P49" i="6"/>
  <c r="O49" i="6"/>
  <c r="J49" i="6"/>
  <c r="I49" i="6"/>
  <c r="H49" i="6"/>
  <c r="G49" i="6"/>
  <c r="B49" i="6"/>
  <c r="R48" i="6"/>
  <c r="Q48" i="6"/>
  <c r="P48" i="6"/>
  <c r="O48" i="6"/>
  <c r="J48" i="6"/>
  <c r="I48" i="6"/>
  <c r="H48" i="6"/>
  <c r="G48" i="6"/>
  <c r="B48" i="6"/>
  <c r="R47" i="6"/>
  <c r="Q47" i="6"/>
  <c r="P47" i="6"/>
  <c r="O47" i="6" s="1"/>
  <c r="J47" i="6"/>
  <c r="I47" i="6"/>
  <c r="H47" i="6"/>
  <c r="G47" i="6"/>
  <c r="B47" i="6"/>
  <c r="A47" i="6"/>
  <c r="J46" i="6"/>
  <c r="I46" i="6"/>
  <c r="H46" i="6"/>
  <c r="B46" i="6"/>
  <c r="B45" i="6"/>
  <c r="R44" i="6"/>
  <c r="Q44" i="6"/>
  <c r="P44" i="6"/>
  <c r="O44" i="6"/>
  <c r="J44" i="6"/>
  <c r="I44" i="6"/>
  <c r="H44" i="6"/>
  <c r="G44" i="6"/>
  <c r="B44" i="6"/>
  <c r="A44" i="6"/>
  <c r="R43" i="6"/>
  <c r="Q43" i="6"/>
  <c r="P43" i="6"/>
  <c r="J43" i="6"/>
  <c r="I43" i="6"/>
  <c r="H43" i="6"/>
  <c r="D43" i="6"/>
  <c r="L43" i="6" s="1"/>
  <c r="B43" i="6"/>
  <c r="R42" i="6"/>
  <c r="Q42" i="6"/>
  <c r="P42" i="6"/>
  <c r="J42" i="6"/>
  <c r="I42" i="6"/>
  <c r="H42" i="6"/>
  <c r="B42" i="6"/>
  <c r="A42" i="6"/>
  <c r="R41" i="6"/>
  <c r="Q41" i="6"/>
  <c r="P41" i="6"/>
  <c r="J41" i="6"/>
  <c r="I41" i="6"/>
  <c r="H41" i="6"/>
  <c r="B41" i="6"/>
  <c r="R40" i="6"/>
  <c r="Q40" i="6"/>
  <c r="P40" i="6"/>
  <c r="J40" i="6"/>
  <c r="I40" i="6"/>
  <c r="H40" i="6"/>
  <c r="B40" i="6"/>
  <c r="A40" i="6"/>
  <c r="R39" i="6"/>
  <c r="Q39" i="6"/>
  <c r="P39" i="6"/>
  <c r="O39" i="6"/>
  <c r="J39" i="6"/>
  <c r="I39" i="6"/>
  <c r="H39" i="6"/>
  <c r="G39" i="6"/>
  <c r="F39" i="6"/>
  <c r="N39" i="6" s="1"/>
  <c r="B39" i="6"/>
  <c r="R38" i="6"/>
  <c r="Q38" i="6"/>
  <c r="P38" i="6"/>
  <c r="O38" i="6"/>
  <c r="J38" i="6"/>
  <c r="I38" i="6"/>
  <c r="H38" i="6"/>
  <c r="G38" i="6"/>
  <c r="B38" i="6"/>
  <c r="R37" i="6"/>
  <c r="Q37" i="6"/>
  <c r="P37" i="6"/>
  <c r="J37" i="6"/>
  <c r="I37" i="6"/>
  <c r="H37" i="6"/>
  <c r="B37" i="6"/>
  <c r="R36" i="6"/>
  <c r="Q36" i="6"/>
  <c r="P36" i="6"/>
  <c r="J36" i="6"/>
  <c r="I36" i="6"/>
  <c r="H36" i="6"/>
  <c r="B36" i="6"/>
  <c r="R35" i="6"/>
  <c r="Q35" i="6"/>
  <c r="P35" i="6"/>
  <c r="J35" i="6"/>
  <c r="I35" i="6"/>
  <c r="H35" i="6"/>
  <c r="B35" i="6"/>
  <c r="R34" i="6"/>
  <c r="Q34" i="6"/>
  <c r="P34" i="6"/>
  <c r="J34" i="6"/>
  <c r="I34" i="6"/>
  <c r="H34" i="6"/>
  <c r="B34" i="6"/>
  <c r="R33" i="6"/>
  <c r="Q33" i="6"/>
  <c r="P33" i="6"/>
  <c r="J33" i="6"/>
  <c r="I33" i="6"/>
  <c r="H33" i="6"/>
  <c r="B33" i="6"/>
  <c r="R32" i="6"/>
  <c r="Q32" i="6"/>
  <c r="P32" i="6"/>
  <c r="J32" i="6"/>
  <c r="I32" i="6"/>
  <c r="H32" i="6"/>
  <c r="B32" i="6"/>
  <c r="R31" i="6"/>
  <c r="Q31" i="6"/>
  <c r="P31" i="6"/>
  <c r="J31" i="6"/>
  <c r="I31" i="6"/>
  <c r="H31" i="6"/>
  <c r="B31" i="6"/>
  <c r="R30" i="6"/>
  <c r="Q30" i="6"/>
  <c r="P30" i="6"/>
  <c r="J30" i="6"/>
  <c r="I30" i="6"/>
  <c r="H30" i="6"/>
  <c r="B30" i="6"/>
  <c r="R29" i="6"/>
  <c r="Q29" i="6"/>
  <c r="P29" i="6"/>
  <c r="J29" i="6"/>
  <c r="I29" i="6"/>
  <c r="H29" i="6"/>
  <c r="B29" i="6"/>
  <c r="R28" i="6"/>
  <c r="Q28" i="6"/>
  <c r="P28" i="6"/>
  <c r="J28" i="6"/>
  <c r="I28" i="6"/>
  <c r="H28" i="6"/>
  <c r="B28" i="6"/>
  <c r="R27" i="6"/>
  <c r="Q27" i="6"/>
  <c r="P27" i="6"/>
  <c r="O27" i="6"/>
  <c r="J27" i="6"/>
  <c r="I27" i="6"/>
  <c r="H27" i="6"/>
  <c r="G27" i="6"/>
  <c r="B27" i="6"/>
  <c r="R26" i="6"/>
  <c r="Q26" i="6"/>
  <c r="P26" i="6"/>
  <c r="O26" i="6"/>
  <c r="J26" i="6"/>
  <c r="I26" i="6"/>
  <c r="H26" i="6"/>
  <c r="G26" i="6"/>
  <c r="B26" i="6"/>
  <c r="R25" i="6"/>
  <c r="Q25" i="6"/>
  <c r="P25" i="6"/>
  <c r="O25" i="6" s="1"/>
  <c r="J25" i="6"/>
  <c r="I25" i="6"/>
  <c r="H25" i="6"/>
  <c r="G25" i="6"/>
  <c r="B25" i="6"/>
  <c r="R24" i="6"/>
  <c r="Q24" i="6"/>
  <c r="P24" i="6"/>
  <c r="O24" i="6" s="1"/>
  <c r="J24" i="6"/>
  <c r="I24" i="6"/>
  <c r="H24" i="6"/>
  <c r="G24" i="6"/>
  <c r="B24" i="6"/>
  <c r="A24" i="6"/>
  <c r="J23" i="6"/>
  <c r="I23" i="6"/>
  <c r="H23" i="6"/>
  <c r="B23" i="6"/>
  <c r="B22" i="6"/>
  <c r="R21" i="6"/>
  <c r="Q21" i="6"/>
  <c r="P21" i="6"/>
  <c r="O21" i="6"/>
  <c r="J21" i="6"/>
  <c r="I21" i="6"/>
  <c r="H21" i="6"/>
  <c r="G21" i="6"/>
  <c r="B21" i="6"/>
  <c r="A21" i="6"/>
  <c r="R20" i="6"/>
  <c r="Q20" i="6"/>
  <c r="P20" i="6"/>
  <c r="J20" i="6"/>
  <c r="I20" i="6"/>
  <c r="H20" i="6"/>
  <c r="B20" i="6"/>
  <c r="R19" i="6"/>
  <c r="Q19" i="6"/>
  <c r="P19" i="6"/>
  <c r="J19" i="6"/>
  <c r="I19" i="6"/>
  <c r="H19" i="6"/>
  <c r="B19" i="6"/>
  <c r="A19" i="6"/>
  <c r="R18" i="6"/>
  <c r="Q18" i="6"/>
  <c r="P18" i="6"/>
  <c r="J18" i="6"/>
  <c r="I18" i="6"/>
  <c r="H18" i="6"/>
  <c r="B18" i="6"/>
  <c r="R17" i="6"/>
  <c r="Q17" i="6"/>
  <c r="P17" i="6"/>
  <c r="J17" i="6"/>
  <c r="I17" i="6"/>
  <c r="H17" i="6"/>
  <c r="B17" i="6"/>
  <c r="R16" i="6"/>
  <c r="Q16" i="6"/>
  <c r="P16" i="6"/>
  <c r="O16" i="6" s="1"/>
  <c r="J16" i="6"/>
  <c r="I16" i="6"/>
  <c r="H16" i="6"/>
  <c r="G16" i="6"/>
  <c r="B16" i="6"/>
  <c r="R15" i="6"/>
  <c r="Q15" i="6"/>
  <c r="P15" i="6"/>
  <c r="O15" i="6"/>
  <c r="J15" i="6"/>
  <c r="I15" i="6"/>
  <c r="H15" i="6"/>
  <c r="G15" i="6"/>
  <c r="B15" i="6"/>
  <c r="R14" i="6"/>
  <c r="Q14" i="6"/>
  <c r="P14" i="6"/>
  <c r="O14" i="6"/>
  <c r="J14" i="6"/>
  <c r="I14" i="6"/>
  <c r="H14" i="6"/>
  <c r="G14" i="6"/>
  <c r="B14" i="6"/>
  <c r="R13" i="6"/>
  <c r="Q13" i="6"/>
  <c r="P13" i="6"/>
  <c r="O13" i="6"/>
  <c r="J13" i="6"/>
  <c r="I13" i="6"/>
  <c r="H13" i="6"/>
  <c r="G13" i="6"/>
  <c r="B13" i="6"/>
  <c r="J12" i="6"/>
  <c r="I12" i="6"/>
  <c r="H12" i="6"/>
  <c r="B12" i="6"/>
  <c r="B11" i="6"/>
  <c r="R10" i="6"/>
  <c r="Q10" i="6"/>
  <c r="P10" i="6"/>
  <c r="O10" i="6" s="1"/>
  <c r="J10" i="6"/>
  <c r="I10" i="6"/>
  <c r="H10" i="6"/>
  <c r="G10" i="6"/>
  <c r="B10" i="6"/>
  <c r="A10" i="6"/>
  <c r="B9" i="6"/>
  <c r="A9" i="6"/>
  <c r="J84" i="5"/>
  <c r="K84" i="5" s="1"/>
  <c r="K83" i="5"/>
  <c r="J83" i="5"/>
  <c r="J82" i="5"/>
  <c r="K82" i="5" s="1"/>
  <c r="K81" i="5"/>
  <c r="J81" i="5"/>
  <c r="K80" i="5"/>
  <c r="J80" i="5"/>
  <c r="W78" i="5"/>
  <c r="K77" i="5"/>
  <c r="J77" i="5"/>
  <c r="K76" i="5"/>
  <c r="J76" i="5"/>
  <c r="K75" i="5"/>
  <c r="J75" i="5"/>
  <c r="K74" i="5"/>
  <c r="J74" i="5"/>
  <c r="K73" i="5"/>
  <c r="J73" i="5"/>
  <c r="W70" i="5"/>
  <c r="J69" i="5"/>
  <c r="K69" i="5" s="1"/>
  <c r="K68" i="5"/>
  <c r="J68" i="5"/>
  <c r="J67" i="5"/>
  <c r="K67" i="5" s="1"/>
  <c r="K66" i="5"/>
  <c r="J66" i="5"/>
  <c r="J65" i="5"/>
  <c r="K65" i="5" s="1"/>
  <c r="S61" i="5"/>
  <c r="K61" i="5"/>
  <c r="N61" i="5" s="1"/>
  <c r="J61" i="5"/>
  <c r="W60" i="5"/>
  <c r="S60" i="5"/>
  <c r="J60" i="5"/>
  <c r="K60" i="5" s="1"/>
  <c r="S59" i="5"/>
  <c r="P59" i="5"/>
  <c r="N59" i="5"/>
  <c r="K59" i="5"/>
  <c r="R59" i="5" s="1"/>
  <c r="J59" i="5"/>
  <c r="S58" i="5"/>
  <c r="J58" i="5"/>
  <c r="K58" i="5" s="1"/>
  <c r="S57" i="5"/>
  <c r="P57" i="5"/>
  <c r="K57" i="5"/>
  <c r="R57" i="5" s="1"/>
  <c r="J57" i="5"/>
  <c r="S56" i="5"/>
  <c r="K56" i="5"/>
  <c r="J56" i="5"/>
  <c r="S55" i="5"/>
  <c r="P55" i="5"/>
  <c r="N55" i="5"/>
  <c r="K55" i="5"/>
  <c r="R55" i="5" s="1"/>
  <c r="J55" i="5"/>
  <c r="S54" i="5"/>
  <c r="K54" i="5"/>
  <c r="R54" i="5" s="1"/>
  <c r="J54" i="5"/>
  <c r="S53" i="5"/>
  <c r="P53" i="5"/>
  <c r="N53" i="5"/>
  <c r="K53" i="5"/>
  <c r="R53" i="5" s="1"/>
  <c r="J53" i="5"/>
  <c r="S52" i="5"/>
  <c r="J52" i="5"/>
  <c r="K52" i="5" s="1"/>
  <c r="S51" i="5"/>
  <c r="P51" i="5"/>
  <c r="K51" i="5"/>
  <c r="R51" i="5" s="1"/>
  <c r="J51" i="5"/>
  <c r="S50" i="5"/>
  <c r="J50" i="5"/>
  <c r="K50" i="5" s="1"/>
  <c r="W49" i="5"/>
  <c r="S49" i="5"/>
  <c r="J49" i="5"/>
  <c r="K49" i="5" s="1"/>
  <c r="R49" i="5" s="1"/>
  <c r="S48" i="5"/>
  <c r="J48" i="5"/>
  <c r="K48" i="5" s="1"/>
  <c r="R48" i="5" s="1"/>
  <c r="S47" i="5"/>
  <c r="J47" i="5"/>
  <c r="K47" i="5" s="1"/>
  <c r="W46" i="5"/>
  <c r="S46" i="5"/>
  <c r="P46" i="5"/>
  <c r="K46" i="5"/>
  <c r="R46" i="5" s="1"/>
  <c r="J46" i="5"/>
  <c r="S45" i="5"/>
  <c r="J45" i="5"/>
  <c r="K45" i="5" s="1"/>
  <c r="S44" i="5"/>
  <c r="K44" i="5"/>
  <c r="R44" i="5" s="1"/>
  <c r="J44" i="5"/>
  <c r="S43" i="5"/>
  <c r="K43" i="5"/>
  <c r="J43" i="5"/>
  <c r="S42" i="5"/>
  <c r="J42" i="5"/>
  <c r="K42" i="5" s="1"/>
  <c r="W41" i="5"/>
  <c r="S41" i="5"/>
  <c r="J41" i="5"/>
  <c r="K41" i="5" s="1"/>
  <c r="S40" i="5"/>
  <c r="J40" i="5"/>
  <c r="K40" i="5" s="1"/>
  <c r="P40" i="5" s="1"/>
  <c r="S39" i="5"/>
  <c r="K39" i="5"/>
  <c r="J39" i="5"/>
  <c r="S38" i="5"/>
  <c r="P38" i="5"/>
  <c r="J38" i="5"/>
  <c r="K38" i="5" s="1"/>
  <c r="S37" i="5"/>
  <c r="K37" i="5"/>
  <c r="J37" i="5"/>
  <c r="S36" i="5"/>
  <c r="J36" i="5"/>
  <c r="K36" i="5" s="1"/>
  <c r="P36" i="5" s="1"/>
  <c r="S35" i="5"/>
  <c r="J35" i="5"/>
  <c r="K35" i="5" s="1"/>
  <c r="S34" i="5"/>
  <c r="P34" i="5"/>
  <c r="J34" i="5"/>
  <c r="K34" i="5" s="1"/>
  <c r="S33" i="5"/>
  <c r="K33" i="5"/>
  <c r="J33" i="5"/>
  <c r="S32" i="5"/>
  <c r="P32" i="5"/>
  <c r="J32" i="5"/>
  <c r="K32" i="5" s="1"/>
  <c r="S31" i="5"/>
  <c r="K31" i="5"/>
  <c r="J31" i="5"/>
  <c r="S30" i="5"/>
  <c r="P30" i="5"/>
  <c r="J30" i="5"/>
  <c r="K30" i="5" s="1"/>
  <c r="S29" i="5"/>
  <c r="K29" i="5"/>
  <c r="J29" i="5"/>
  <c r="S28" i="5"/>
  <c r="P28" i="5"/>
  <c r="J28" i="5"/>
  <c r="K28" i="5" s="1"/>
  <c r="S27" i="5"/>
  <c r="K27" i="5"/>
  <c r="J27" i="5"/>
  <c r="S26" i="5"/>
  <c r="P26" i="5"/>
  <c r="J26" i="5"/>
  <c r="K26" i="5" s="1"/>
  <c r="S25" i="5"/>
  <c r="J25" i="5"/>
  <c r="K25" i="5" s="1"/>
  <c r="S24" i="5"/>
  <c r="P24" i="5"/>
  <c r="J24" i="5"/>
  <c r="K24" i="5" s="1"/>
  <c r="S23" i="5"/>
  <c r="K23" i="5"/>
  <c r="J23" i="5"/>
  <c r="S22" i="5"/>
  <c r="J22" i="5"/>
  <c r="K22" i="5" s="1"/>
  <c r="P22" i="5" s="1"/>
  <c r="S21" i="5"/>
  <c r="K21" i="5"/>
  <c r="J21" i="5"/>
  <c r="W20" i="5"/>
  <c r="S20" i="5"/>
  <c r="J20" i="5"/>
  <c r="K20" i="5" s="1"/>
  <c r="S19" i="5"/>
  <c r="J19" i="5"/>
  <c r="K19" i="5" s="1"/>
  <c r="S18" i="5"/>
  <c r="J18" i="5"/>
  <c r="K18" i="5" s="1"/>
  <c r="S17" i="5"/>
  <c r="J17" i="5"/>
  <c r="K17" i="5" s="1"/>
  <c r="W16" i="5"/>
  <c r="S16" i="5"/>
  <c r="K16" i="5"/>
  <c r="J16" i="5"/>
  <c r="S15" i="5"/>
  <c r="E4" i="5"/>
  <c r="H655" i="4"/>
  <c r="G655" i="4"/>
  <c r="G654" i="4"/>
  <c r="G653" i="4" s="1"/>
  <c r="D653" i="4"/>
  <c r="G652" i="4"/>
  <c r="H652" i="4" s="1"/>
  <c r="H651" i="4"/>
  <c r="G651" i="4"/>
  <c r="G650" i="4"/>
  <c r="H650" i="4" s="1"/>
  <c r="H649" i="4"/>
  <c r="G649" i="4"/>
  <c r="G648" i="4"/>
  <c r="H648" i="4" s="1"/>
  <c r="H647" i="4"/>
  <c r="G647" i="4"/>
  <c r="G646" i="4"/>
  <c r="D645" i="4"/>
  <c r="H644" i="4"/>
  <c r="G644" i="4"/>
  <c r="G643" i="4"/>
  <c r="H643" i="4" s="1"/>
  <c r="H642" i="4"/>
  <c r="G642" i="4"/>
  <c r="G641" i="4"/>
  <c r="H641" i="4" s="1"/>
  <c r="H640" i="4"/>
  <c r="G640" i="4"/>
  <c r="G639" i="4"/>
  <c r="H639" i="4" s="1"/>
  <c r="H638" i="4"/>
  <c r="G638" i="4"/>
  <c r="G637" i="4"/>
  <c r="H637" i="4" s="1"/>
  <c r="H636" i="4"/>
  <c r="G636" i="4"/>
  <c r="G635" i="4"/>
  <c r="D635" i="4"/>
  <c r="H634" i="4"/>
  <c r="G634" i="4"/>
  <c r="G633" i="4"/>
  <c r="E633" i="4"/>
  <c r="G632" i="4"/>
  <c r="H632" i="4" s="1"/>
  <c r="H631" i="4"/>
  <c r="G631" i="4"/>
  <c r="G630" i="4"/>
  <c r="H630" i="4" s="1"/>
  <c r="H629" i="4"/>
  <c r="G629" i="4"/>
  <c r="G628" i="4"/>
  <c r="H628" i="4" s="1"/>
  <c r="H627" i="4"/>
  <c r="G627" i="4"/>
  <c r="G626" i="4"/>
  <c r="H626" i="4" s="1"/>
  <c r="H625" i="4"/>
  <c r="G625" i="4"/>
  <c r="D624" i="4"/>
  <c r="H623" i="4"/>
  <c r="G623" i="4"/>
  <c r="G622" i="4"/>
  <c r="D621" i="4"/>
  <c r="D615" i="4" s="1"/>
  <c r="H620" i="4"/>
  <c r="G620" i="4"/>
  <c r="G619" i="4"/>
  <c r="H619" i="4" s="1"/>
  <c r="G618" i="4"/>
  <c r="H618" i="4" s="1"/>
  <c r="G617" i="4"/>
  <c r="D616" i="4"/>
  <c r="G614" i="4"/>
  <c r="H614" i="4" s="1"/>
  <c r="H613" i="4"/>
  <c r="G613" i="4"/>
  <c r="G612" i="4"/>
  <c r="H612" i="4" s="1"/>
  <c r="H611" i="4"/>
  <c r="G611" i="4"/>
  <c r="G610" i="4"/>
  <c r="H610" i="4" s="1"/>
  <c r="H609" i="4"/>
  <c r="G609" i="4"/>
  <c r="G608" i="4"/>
  <c r="H608" i="4" s="1"/>
  <c r="H607" i="4"/>
  <c r="G607" i="4"/>
  <c r="G606" i="4"/>
  <c r="H606" i="4" s="1"/>
  <c r="H605" i="4"/>
  <c r="G605" i="4"/>
  <c r="G604" i="4"/>
  <c r="H604" i="4" s="1"/>
  <c r="H603" i="4"/>
  <c r="G603" i="4"/>
  <c r="G602" i="4"/>
  <c r="H602" i="4" s="1"/>
  <c r="H601" i="4"/>
  <c r="H17" i="1" s="1"/>
  <c r="G601" i="4"/>
  <c r="G600" i="4"/>
  <c r="H600" i="4" s="1"/>
  <c r="H599" i="4"/>
  <c r="G599" i="4"/>
  <c r="G598" i="4"/>
  <c r="H598" i="4" s="1"/>
  <c r="H597" i="4"/>
  <c r="G597" i="4"/>
  <c r="G596" i="4"/>
  <c r="G595" i="4" s="1"/>
  <c r="D595" i="4"/>
  <c r="G594" i="4"/>
  <c r="D593" i="4"/>
  <c r="H592" i="4"/>
  <c r="G592" i="4"/>
  <c r="G591" i="4"/>
  <c r="G588" i="4" s="1"/>
  <c r="H590" i="4"/>
  <c r="G590" i="4"/>
  <c r="A587" i="4"/>
  <c r="G583" i="4"/>
  <c r="H583" i="4" s="1"/>
  <c r="H581" i="4" s="1"/>
  <c r="H582" i="4"/>
  <c r="G582" i="4"/>
  <c r="G581" i="4"/>
  <c r="D581" i="4"/>
  <c r="G580" i="4"/>
  <c r="H580" i="4" s="1"/>
  <c r="H579" i="4"/>
  <c r="G579" i="4"/>
  <c r="G578" i="4"/>
  <c r="H578" i="4" s="1"/>
  <c r="H577" i="4"/>
  <c r="G577" i="4"/>
  <c r="G576" i="4"/>
  <c r="H576" i="4" s="1"/>
  <c r="H575" i="4"/>
  <c r="G575" i="4"/>
  <c r="G574" i="4"/>
  <c r="G573" i="4" s="1"/>
  <c r="D573" i="4"/>
  <c r="G572" i="4"/>
  <c r="H572" i="4" s="1"/>
  <c r="H571" i="4"/>
  <c r="G571" i="4"/>
  <c r="G570" i="4"/>
  <c r="H570" i="4" s="1"/>
  <c r="H569" i="4"/>
  <c r="G569" i="4"/>
  <c r="G568" i="4"/>
  <c r="H568" i="4" s="1"/>
  <c r="H567" i="4"/>
  <c r="G567" i="4"/>
  <c r="G566" i="4"/>
  <c r="H566" i="4" s="1"/>
  <c r="H565" i="4"/>
  <c r="G565" i="4"/>
  <c r="G564" i="4"/>
  <c r="D563" i="4"/>
  <c r="H562" i="4"/>
  <c r="G562" i="4"/>
  <c r="G561" i="4"/>
  <c r="H561" i="4" s="1"/>
  <c r="H560" i="4"/>
  <c r="G560" i="4"/>
  <c r="G559" i="4"/>
  <c r="H559" i="4" s="1"/>
  <c r="H558" i="4"/>
  <c r="G558" i="4"/>
  <c r="G557" i="4"/>
  <c r="H557" i="4" s="1"/>
  <c r="H556" i="4"/>
  <c r="G556" i="4"/>
  <c r="G555" i="4"/>
  <c r="H555" i="4" s="1"/>
  <c r="H554" i="4"/>
  <c r="G554" i="4"/>
  <c r="G553" i="4"/>
  <c r="G552" i="4" s="1"/>
  <c r="D552" i="4"/>
  <c r="G551" i="4"/>
  <c r="H551" i="4" s="1"/>
  <c r="H550" i="4"/>
  <c r="G550" i="4"/>
  <c r="G549" i="4"/>
  <c r="D549" i="4"/>
  <c r="G548" i="4"/>
  <c r="H548" i="4" s="1"/>
  <c r="H547" i="4"/>
  <c r="G547" i="4"/>
  <c r="G546" i="4"/>
  <c r="H546" i="4" s="1"/>
  <c r="G545" i="4"/>
  <c r="H545" i="4" s="1"/>
  <c r="D544" i="4"/>
  <c r="H542" i="4"/>
  <c r="G542" i="4"/>
  <c r="G541" i="4"/>
  <c r="H541" i="4" s="1"/>
  <c r="H540" i="4"/>
  <c r="G540" i="4"/>
  <c r="G539" i="4"/>
  <c r="H539" i="4" s="1"/>
  <c r="H538" i="4"/>
  <c r="G538" i="4"/>
  <c r="G537" i="4"/>
  <c r="H537" i="4" s="1"/>
  <c r="H536" i="4"/>
  <c r="G536" i="4"/>
  <c r="G535" i="4"/>
  <c r="H535" i="4" s="1"/>
  <c r="H534" i="4"/>
  <c r="G534" i="4"/>
  <c r="G533" i="4"/>
  <c r="H533" i="4" s="1"/>
  <c r="H532" i="4"/>
  <c r="G532" i="4"/>
  <c r="G531" i="4"/>
  <c r="H531" i="4" s="1"/>
  <c r="H530" i="4"/>
  <c r="G530" i="4"/>
  <c r="G529" i="4"/>
  <c r="H529" i="4" s="1"/>
  <c r="H528" i="4"/>
  <c r="G528" i="4"/>
  <c r="G527" i="4"/>
  <c r="H527" i="4" s="1"/>
  <c r="H526" i="4"/>
  <c r="G526" i="4"/>
  <c r="G525" i="4"/>
  <c r="H525" i="4" s="1"/>
  <c r="G524" i="4"/>
  <c r="H524" i="4" s="1"/>
  <c r="D523" i="4"/>
  <c r="H522" i="4"/>
  <c r="G522" i="4"/>
  <c r="H521" i="4"/>
  <c r="G521" i="4"/>
  <c r="D521" i="4"/>
  <c r="G520" i="4"/>
  <c r="H520" i="4" s="1"/>
  <c r="H519" i="4"/>
  <c r="G519" i="4"/>
  <c r="G518" i="4"/>
  <c r="H518" i="4" s="1"/>
  <c r="G516" i="4"/>
  <c r="A515" i="4"/>
  <c r="H511" i="4"/>
  <c r="G511" i="4"/>
  <c r="G510" i="4"/>
  <c r="D509" i="4"/>
  <c r="H508" i="4"/>
  <c r="G508" i="4"/>
  <c r="G507" i="4"/>
  <c r="H507" i="4" s="1"/>
  <c r="H506" i="4"/>
  <c r="G506" i="4"/>
  <c r="G505" i="4"/>
  <c r="H505" i="4" s="1"/>
  <c r="H504" i="4"/>
  <c r="G504" i="4"/>
  <c r="G503" i="4"/>
  <c r="H503" i="4" s="1"/>
  <c r="H502" i="4"/>
  <c r="G502" i="4"/>
  <c r="G501" i="4"/>
  <c r="D501" i="4"/>
  <c r="H500" i="4"/>
  <c r="G500" i="4"/>
  <c r="G499" i="4"/>
  <c r="H499" i="4" s="1"/>
  <c r="H498" i="4"/>
  <c r="G498" i="4"/>
  <c r="G497" i="4"/>
  <c r="H497" i="4" s="1"/>
  <c r="H496" i="4"/>
  <c r="G496" i="4"/>
  <c r="G495" i="4"/>
  <c r="H495" i="4" s="1"/>
  <c r="H494" i="4"/>
  <c r="G494" i="4"/>
  <c r="G493" i="4"/>
  <c r="H493" i="4" s="1"/>
  <c r="H492" i="4"/>
  <c r="G492" i="4"/>
  <c r="D491" i="4"/>
  <c r="G490" i="4"/>
  <c r="H490" i="4" s="1"/>
  <c r="H489" i="4"/>
  <c r="G489" i="4"/>
  <c r="G488" i="4"/>
  <c r="H488" i="4" s="1"/>
  <c r="G487" i="4"/>
  <c r="G480" i="4" s="1"/>
  <c r="G486" i="4"/>
  <c r="H486" i="4" s="1"/>
  <c r="H485" i="4"/>
  <c r="G485" i="4"/>
  <c r="G484" i="4"/>
  <c r="H484" i="4" s="1"/>
  <c r="H483" i="4"/>
  <c r="G483" i="4"/>
  <c r="G482" i="4"/>
  <c r="H482" i="4" s="1"/>
  <c r="H481" i="4"/>
  <c r="G481" i="4"/>
  <c r="D480" i="4"/>
  <c r="H479" i="4"/>
  <c r="G479" i="4"/>
  <c r="G478" i="4"/>
  <c r="D477" i="4"/>
  <c r="H476" i="4"/>
  <c r="G476" i="4"/>
  <c r="G475" i="4"/>
  <c r="H475" i="4" s="1"/>
  <c r="H474" i="4"/>
  <c r="G474" i="4"/>
  <c r="G473" i="4"/>
  <c r="G472" i="4" s="1"/>
  <c r="G470" i="4"/>
  <c r="H470" i="4" s="1"/>
  <c r="H469" i="4"/>
  <c r="G469" i="4"/>
  <c r="G468" i="4"/>
  <c r="H468" i="4" s="1"/>
  <c r="H467" i="4"/>
  <c r="G467" i="4"/>
  <c r="G466" i="4"/>
  <c r="H466" i="4" s="1"/>
  <c r="H465" i="4"/>
  <c r="G465" i="4"/>
  <c r="G464" i="4"/>
  <c r="H464" i="4" s="1"/>
  <c r="H463" i="4"/>
  <c r="G463" i="4"/>
  <c r="G462" i="4"/>
  <c r="H462" i="4" s="1"/>
  <c r="H461" i="4"/>
  <c r="G461" i="4"/>
  <c r="G460" i="4"/>
  <c r="H460" i="4" s="1"/>
  <c r="H459" i="4"/>
  <c r="G459" i="4"/>
  <c r="G458" i="4"/>
  <c r="H458" i="4" s="1"/>
  <c r="H457" i="4"/>
  <c r="G457" i="4"/>
  <c r="G456" i="4"/>
  <c r="H456" i="4" s="1"/>
  <c r="H455" i="4"/>
  <c r="G455" i="4"/>
  <c r="G454" i="4"/>
  <c r="H454" i="4" s="1"/>
  <c r="H453" i="4"/>
  <c r="G453" i="4"/>
  <c r="G452" i="4"/>
  <c r="G451" i="4" s="1"/>
  <c r="D451" i="4"/>
  <c r="G450" i="4"/>
  <c r="D449" i="4"/>
  <c r="H448" i="4"/>
  <c r="G448" i="4"/>
  <c r="G447" i="4"/>
  <c r="G444" i="4" s="1"/>
  <c r="H446" i="4"/>
  <c r="G446" i="4"/>
  <c r="A443" i="4"/>
  <c r="G439" i="4"/>
  <c r="H439" i="4" s="1"/>
  <c r="H437" i="4" s="1"/>
  <c r="H438" i="4"/>
  <c r="G438" i="4"/>
  <c r="G437" i="4"/>
  <c r="D437" i="4"/>
  <c r="G436" i="4"/>
  <c r="H436" i="4" s="1"/>
  <c r="H435" i="4"/>
  <c r="G435" i="4"/>
  <c r="G434" i="4"/>
  <c r="H434" i="4" s="1"/>
  <c r="H433" i="4"/>
  <c r="G433" i="4"/>
  <c r="G432" i="4"/>
  <c r="H432" i="4" s="1"/>
  <c r="H431" i="4"/>
  <c r="G431" i="4"/>
  <c r="G430" i="4"/>
  <c r="G429" i="4" s="1"/>
  <c r="D429" i="4"/>
  <c r="G428" i="4"/>
  <c r="H428" i="4" s="1"/>
  <c r="H427" i="4"/>
  <c r="G427" i="4"/>
  <c r="G426" i="4"/>
  <c r="H426" i="4" s="1"/>
  <c r="H425" i="4"/>
  <c r="G425" i="4"/>
  <c r="G424" i="4"/>
  <c r="H424" i="4" s="1"/>
  <c r="H423" i="4"/>
  <c r="G423" i="4"/>
  <c r="G422" i="4"/>
  <c r="H422" i="4" s="1"/>
  <c r="H421" i="4"/>
  <c r="G421" i="4"/>
  <c r="G420" i="4"/>
  <c r="D419" i="4"/>
  <c r="H418" i="4"/>
  <c r="G418" i="4"/>
  <c r="G417" i="4"/>
  <c r="H417" i="4" s="1"/>
  <c r="H416" i="4"/>
  <c r="G416" i="4"/>
  <c r="G415" i="4"/>
  <c r="H415" i="4" s="1"/>
  <c r="H414" i="4"/>
  <c r="G414" i="4"/>
  <c r="G413" i="4"/>
  <c r="H413" i="4" s="1"/>
  <c r="H412" i="4"/>
  <c r="G412" i="4"/>
  <c r="G411" i="4"/>
  <c r="H411" i="4" s="1"/>
  <c r="H410" i="4"/>
  <c r="G410" i="4"/>
  <c r="G409" i="4"/>
  <c r="G408" i="4" s="1"/>
  <c r="D408" i="4"/>
  <c r="G407" i="4"/>
  <c r="H407" i="4" s="1"/>
  <c r="H405" i="4" s="1"/>
  <c r="H406" i="4"/>
  <c r="G406" i="4"/>
  <c r="G405" i="4"/>
  <c r="D405" i="4"/>
  <c r="G404" i="4"/>
  <c r="H404" i="4" s="1"/>
  <c r="H403" i="4"/>
  <c r="G403" i="4"/>
  <c r="G402" i="4"/>
  <c r="H402" i="4" s="1"/>
  <c r="G401" i="4"/>
  <c r="D400" i="4"/>
  <c r="H398" i="4"/>
  <c r="G398" i="4"/>
  <c r="G397" i="4"/>
  <c r="H397" i="4" s="1"/>
  <c r="H396" i="4"/>
  <c r="G396" i="4"/>
  <c r="G395" i="4"/>
  <c r="H395" i="4" s="1"/>
  <c r="H394" i="4"/>
  <c r="G394" i="4"/>
  <c r="G393" i="4"/>
  <c r="H393" i="4" s="1"/>
  <c r="H392" i="4"/>
  <c r="G392" i="4"/>
  <c r="G391" i="4"/>
  <c r="H391" i="4" s="1"/>
  <c r="H390" i="4"/>
  <c r="G390" i="4"/>
  <c r="G389" i="4"/>
  <c r="H389" i="4" s="1"/>
  <c r="H388" i="4"/>
  <c r="G388" i="4"/>
  <c r="G387" i="4"/>
  <c r="H387" i="4" s="1"/>
  <c r="H386" i="4"/>
  <c r="G386" i="4"/>
  <c r="G385" i="4"/>
  <c r="H385" i="4" s="1"/>
  <c r="H384" i="4"/>
  <c r="G384" i="4"/>
  <c r="G383" i="4"/>
  <c r="H383" i="4" s="1"/>
  <c r="H382" i="4"/>
  <c r="G382" i="4"/>
  <c r="G381" i="4"/>
  <c r="H381" i="4" s="1"/>
  <c r="H380" i="4"/>
  <c r="G380" i="4"/>
  <c r="G379" i="4"/>
  <c r="D379" i="4"/>
  <c r="H378" i="4"/>
  <c r="G378" i="4"/>
  <c r="H377" i="4"/>
  <c r="G377" i="4"/>
  <c r="D377" i="4"/>
  <c r="G376" i="4"/>
  <c r="H376" i="4" s="1"/>
  <c r="H375" i="4"/>
  <c r="G375" i="4"/>
  <c r="G374" i="4"/>
  <c r="H374" i="4" s="1"/>
  <c r="G372" i="4"/>
  <c r="A371" i="4"/>
  <c r="H367" i="4"/>
  <c r="G367" i="4"/>
  <c r="G366" i="4"/>
  <c r="D365" i="4"/>
  <c r="H364" i="4"/>
  <c r="G364" i="4"/>
  <c r="G363" i="4"/>
  <c r="H363" i="4" s="1"/>
  <c r="H362" i="4"/>
  <c r="G362" i="4"/>
  <c r="G361" i="4"/>
  <c r="H361" i="4" s="1"/>
  <c r="H360" i="4"/>
  <c r="G360" i="4"/>
  <c r="G359" i="4"/>
  <c r="H359" i="4" s="1"/>
  <c r="H358" i="4"/>
  <c r="H357" i="4" s="1"/>
  <c r="G358" i="4"/>
  <c r="G357" i="4"/>
  <c r="D357" i="4"/>
  <c r="H356" i="4"/>
  <c r="G356" i="4"/>
  <c r="G355" i="4"/>
  <c r="H355" i="4" s="1"/>
  <c r="H354" i="4"/>
  <c r="G354" i="4"/>
  <c r="G353" i="4"/>
  <c r="H353" i="4" s="1"/>
  <c r="H352" i="4"/>
  <c r="G352" i="4"/>
  <c r="G351" i="4"/>
  <c r="H351" i="4" s="1"/>
  <c r="H350" i="4"/>
  <c r="G350" i="4"/>
  <c r="G349" i="4"/>
  <c r="H349" i="4" s="1"/>
  <c r="H348" i="4"/>
  <c r="G348" i="4"/>
  <c r="D347" i="4"/>
  <c r="G346" i="4"/>
  <c r="H346" i="4" s="1"/>
  <c r="H345" i="4"/>
  <c r="G345" i="4"/>
  <c r="G344" i="4"/>
  <c r="H344" i="4" s="1"/>
  <c r="H343" i="4"/>
  <c r="G343" i="4"/>
  <c r="G342" i="4"/>
  <c r="H342" i="4" s="1"/>
  <c r="H341" i="4"/>
  <c r="G341" i="4"/>
  <c r="G340" i="4"/>
  <c r="H340" i="4" s="1"/>
  <c r="H339" i="4"/>
  <c r="G339" i="4"/>
  <c r="G338" i="4"/>
  <c r="H338" i="4" s="1"/>
  <c r="H337" i="4"/>
  <c r="G337" i="4"/>
  <c r="G336" i="4"/>
  <c r="D336" i="4"/>
  <c r="H335" i="4"/>
  <c r="G335" i="4"/>
  <c r="G334" i="4"/>
  <c r="D333" i="4"/>
  <c r="H332" i="4"/>
  <c r="G332" i="4"/>
  <c r="G331" i="4"/>
  <c r="H331" i="4" s="1"/>
  <c r="G330" i="4"/>
  <c r="H330" i="4" s="1"/>
  <c r="G329" i="4"/>
  <c r="D328" i="4"/>
  <c r="G326" i="4"/>
  <c r="H326" i="4" s="1"/>
  <c r="H325" i="4"/>
  <c r="G325" i="4"/>
  <c r="G324" i="4"/>
  <c r="H324" i="4" s="1"/>
  <c r="H323" i="4"/>
  <c r="G323" i="4"/>
  <c r="G322" i="4"/>
  <c r="H322" i="4" s="1"/>
  <c r="H321" i="4"/>
  <c r="G321" i="4"/>
  <c r="G320" i="4"/>
  <c r="H320" i="4" s="1"/>
  <c r="H319" i="4"/>
  <c r="G319" i="4"/>
  <c r="G318" i="4"/>
  <c r="H318" i="4" s="1"/>
  <c r="H317" i="4"/>
  <c r="G317" i="4"/>
  <c r="G316" i="4"/>
  <c r="H316" i="4" s="1"/>
  <c r="H315" i="4"/>
  <c r="G315" i="4"/>
  <c r="G314" i="4"/>
  <c r="H314" i="4" s="1"/>
  <c r="H313" i="4"/>
  <c r="G313" i="4"/>
  <c r="G312" i="4"/>
  <c r="H312" i="4" s="1"/>
  <c r="H311" i="4"/>
  <c r="G311" i="4"/>
  <c r="G310" i="4"/>
  <c r="H310" i="4" s="1"/>
  <c r="H309" i="4"/>
  <c r="G309" i="4"/>
  <c r="G308" i="4"/>
  <c r="G307" i="4" s="1"/>
  <c r="D307" i="4"/>
  <c r="G306" i="4"/>
  <c r="D305" i="4"/>
  <c r="H304" i="4"/>
  <c r="G304" i="4"/>
  <c r="G303" i="4"/>
  <c r="G300" i="4" s="1"/>
  <c r="H302" i="4"/>
  <c r="G302" i="4"/>
  <c r="A299" i="4"/>
  <c r="G295" i="4"/>
  <c r="H295" i="4" s="1"/>
  <c r="H293" i="4" s="1"/>
  <c r="H294" i="4"/>
  <c r="G294" i="4"/>
  <c r="G293" i="4"/>
  <c r="D293" i="4"/>
  <c r="G292" i="4"/>
  <c r="H292" i="4" s="1"/>
  <c r="G291" i="4"/>
  <c r="H290" i="4"/>
  <c r="G290" i="4"/>
  <c r="G289" i="4"/>
  <c r="H289" i="4" s="1"/>
  <c r="H288" i="4"/>
  <c r="G288" i="4"/>
  <c r="G287" i="4"/>
  <c r="H287" i="4" s="1"/>
  <c r="H286" i="4"/>
  <c r="G286" i="4"/>
  <c r="D285" i="4"/>
  <c r="G284" i="4"/>
  <c r="H284" i="4" s="1"/>
  <c r="H283" i="4"/>
  <c r="G283" i="4"/>
  <c r="G282" i="4"/>
  <c r="H282" i="4" s="1"/>
  <c r="H281" i="4"/>
  <c r="G281" i="4"/>
  <c r="G280" i="4"/>
  <c r="H280" i="4" s="1"/>
  <c r="H279" i="4"/>
  <c r="G279" i="4"/>
  <c r="G278" i="4"/>
  <c r="H278" i="4" s="1"/>
  <c r="H277" i="4"/>
  <c r="G277" i="4"/>
  <c r="G276" i="4"/>
  <c r="G275" i="4" s="1"/>
  <c r="D275" i="4"/>
  <c r="G274" i="4"/>
  <c r="H274" i="4" s="1"/>
  <c r="H273" i="4"/>
  <c r="G273" i="4"/>
  <c r="G272" i="4"/>
  <c r="H272" i="4" s="1"/>
  <c r="H271" i="4"/>
  <c r="G271" i="4"/>
  <c r="G270" i="4"/>
  <c r="H270" i="4" s="1"/>
  <c r="H269" i="4"/>
  <c r="G269" i="4"/>
  <c r="G268" i="4"/>
  <c r="H268" i="4" s="1"/>
  <c r="H267" i="4"/>
  <c r="G267" i="4"/>
  <c r="G266" i="4"/>
  <c r="H266" i="4" s="1"/>
  <c r="H265" i="4"/>
  <c r="G265" i="4"/>
  <c r="D264" i="4"/>
  <c r="G263" i="4"/>
  <c r="H263" i="4" s="1"/>
  <c r="H262" i="4"/>
  <c r="G262" i="4"/>
  <c r="G261" i="4"/>
  <c r="D261" i="4"/>
  <c r="H260" i="4"/>
  <c r="G260" i="4"/>
  <c r="G259" i="4"/>
  <c r="H259" i="4" s="1"/>
  <c r="G258" i="4"/>
  <c r="H258" i="4" s="1"/>
  <c r="G257" i="4"/>
  <c r="D256" i="4"/>
  <c r="G254" i="4"/>
  <c r="H254" i="4" s="1"/>
  <c r="H253" i="4"/>
  <c r="G253" i="4"/>
  <c r="G252" i="4"/>
  <c r="H252" i="4" s="1"/>
  <c r="H251" i="4"/>
  <c r="G251" i="4"/>
  <c r="G250" i="4"/>
  <c r="H250" i="4" s="1"/>
  <c r="H249" i="4"/>
  <c r="G249" i="4"/>
  <c r="G248" i="4"/>
  <c r="H248" i="4" s="1"/>
  <c r="H247" i="4"/>
  <c r="G247" i="4"/>
  <c r="G246" i="4"/>
  <c r="H246" i="4" s="1"/>
  <c r="H245" i="4"/>
  <c r="G245" i="4"/>
  <c r="G244" i="4"/>
  <c r="H244" i="4" s="1"/>
  <c r="H243" i="4"/>
  <c r="G243" i="4"/>
  <c r="G242" i="4"/>
  <c r="H242" i="4" s="1"/>
  <c r="H241" i="4"/>
  <c r="G241" i="4"/>
  <c r="G240" i="4"/>
  <c r="H240" i="4" s="1"/>
  <c r="H239" i="4"/>
  <c r="G239" i="4"/>
  <c r="G238" i="4"/>
  <c r="H238" i="4" s="1"/>
  <c r="H237" i="4"/>
  <c r="G237" i="4"/>
  <c r="G236" i="4"/>
  <c r="D235" i="4"/>
  <c r="H234" i="4"/>
  <c r="H233" i="4" s="1"/>
  <c r="G234" i="4"/>
  <c r="G233" i="4"/>
  <c r="D233" i="4"/>
  <c r="H232" i="4"/>
  <c r="G232" i="4"/>
  <c r="G231" i="4"/>
  <c r="H230" i="4"/>
  <c r="G230" i="4"/>
  <c r="A227" i="4"/>
  <c r="H223" i="4"/>
  <c r="G223" i="4"/>
  <c r="G222" i="4"/>
  <c r="G221" i="4" s="1"/>
  <c r="D221" i="4"/>
  <c r="G220" i="4"/>
  <c r="H220" i="4" s="1"/>
  <c r="H219" i="4"/>
  <c r="G219" i="4"/>
  <c r="G218" i="4"/>
  <c r="H218" i="4" s="1"/>
  <c r="H217" i="4"/>
  <c r="G217" i="4"/>
  <c r="G216" i="4"/>
  <c r="H216" i="4" s="1"/>
  <c r="H215" i="4"/>
  <c r="G215" i="4"/>
  <c r="G214" i="4"/>
  <c r="D213" i="4"/>
  <c r="H212" i="4"/>
  <c r="G212" i="4"/>
  <c r="G211" i="4"/>
  <c r="H211" i="4" s="1"/>
  <c r="H210" i="4"/>
  <c r="G210" i="4"/>
  <c r="G209" i="4"/>
  <c r="H209" i="4" s="1"/>
  <c r="H208" i="4"/>
  <c r="G208" i="4"/>
  <c r="G207" i="4"/>
  <c r="H207" i="4" s="1"/>
  <c r="H206" i="4"/>
  <c r="G206" i="4"/>
  <c r="G205" i="4"/>
  <c r="H205" i="4" s="1"/>
  <c r="H204" i="4"/>
  <c r="G204" i="4"/>
  <c r="G203" i="4"/>
  <c r="D203" i="4"/>
  <c r="H202" i="4"/>
  <c r="G202" i="4"/>
  <c r="G201" i="4"/>
  <c r="H201" i="4" s="1"/>
  <c r="H200" i="4"/>
  <c r="G200" i="4"/>
  <c r="G199" i="4"/>
  <c r="H199" i="4" s="1"/>
  <c r="H198" i="4"/>
  <c r="G198" i="4"/>
  <c r="G197" i="4"/>
  <c r="H197" i="4" s="1"/>
  <c r="H196" i="4"/>
  <c r="G196" i="4"/>
  <c r="G195" i="4"/>
  <c r="H195" i="4" s="1"/>
  <c r="H194" i="4"/>
  <c r="G194" i="4"/>
  <c r="G193" i="4"/>
  <c r="D192" i="4"/>
  <c r="H191" i="4"/>
  <c r="G191" i="4"/>
  <c r="G190" i="4"/>
  <c r="G189" i="4" s="1"/>
  <c r="D189" i="4"/>
  <c r="G188" i="4"/>
  <c r="H188" i="4" s="1"/>
  <c r="H187" i="4"/>
  <c r="G187" i="4"/>
  <c r="G186" i="4"/>
  <c r="H186" i="4" s="1"/>
  <c r="H185" i="4"/>
  <c r="G185" i="4"/>
  <c r="D184" i="4"/>
  <c r="H182" i="4"/>
  <c r="G182" i="4"/>
  <c r="G181" i="4"/>
  <c r="H181" i="4" s="1"/>
  <c r="H180" i="4"/>
  <c r="G180" i="4"/>
  <c r="G179" i="4"/>
  <c r="H179" i="4" s="1"/>
  <c r="H178" i="4"/>
  <c r="G178" i="4"/>
  <c r="G177" i="4"/>
  <c r="H177" i="4" s="1"/>
  <c r="H176" i="4"/>
  <c r="G176" i="4"/>
  <c r="G175" i="4"/>
  <c r="H175" i="4" s="1"/>
  <c r="H174" i="4"/>
  <c r="G174" i="4"/>
  <c r="G173" i="4"/>
  <c r="H173" i="4" s="1"/>
  <c r="H172" i="4"/>
  <c r="G172" i="4"/>
  <c r="G171" i="4"/>
  <c r="H171" i="4" s="1"/>
  <c r="H170" i="4"/>
  <c r="G170" i="4"/>
  <c r="G169" i="4"/>
  <c r="H169" i="4" s="1"/>
  <c r="H168" i="4"/>
  <c r="G168" i="4"/>
  <c r="G167" i="4"/>
  <c r="H167" i="4" s="1"/>
  <c r="H166" i="4"/>
  <c r="G166" i="4"/>
  <c r="G165" i="4"/>
  <c r="H165" i="4" s="1"/>
  <c r="H164" i="4"/>
  <c r="G164" i="4"/>
  <c r="D163" i="4"/>
  <c r="G162" i="4"/>
  <c r="G161" i="4" s="1"/>
  <c r="D161" i="4"/>
  <c r="G160" i="4"/>
  <c r="H160" i="4" s="1"/>
  <c r="H159" i="4"/>
  <c r="G159" i="4"/>
  <c r="G158" i="4"/>
  <c r="H158" i="4" s="1"/>
  <c r="A155" i="4"/>
  <c r="G151" i="4"/>
  <c r="H151" i="4" s="1"/>
  <c r="H150" i="4"/>
  <c r="G150" i="4"/>
  <c r="G149" i="4"/>
  <c r="D149" i="4"/>
  <c r="H148" i="4"/>
  <c r="G148" i="4"/>
  <c r="G147" i="4"/>
  <c r="H147" i="4" s="1"/>
  <c r="H146" i="4"/>
  <c r="G146" i="4"/>
  <c r="G145" i="4"/>
  <c r="H145" i="4" s="1"/>
  <c r="H144" i="4"/>
  <c r="G144" i="4"/>
  <c r="G143" i="4"/>
  <c r="H143" i="4" s="1"/>
  <c r="H142" i="4"/>
  <c r="G142" i="4"/>
  <c r="D141" i="4"/>
  <c r="G140" i="4"/>
  <c r="H140" i="4" s="1"/>
  <c r="H139" i="4"/>
  <c r="G139" i="4"/>
  <c r="G138" i="4"/>
  <c r="H138" i="4" s="1"/>
  <c r="H137" i="4"/>
  <c r="G137" i="4"/>
  <c r="G136" i="4"/>
  <c r="H136" i="4" s="1"/>
  <c r="H135" i="4"/>
  <c r="G135" i="4"/>
  <c r="G134" i="4"/>
  <c r="H134" i="4" s="1"/>
  <c r="H133" i="4"/>
  <c r="G133" i="4"/>
  <c r="G132" i="4"/>
  <c r="G131" i="4" s="1"/>
  <c r="D131" i="4"/>
  <c r="G130" i="4"/>
  <c r="H130" i="4" s="1"/>
  <c r="H129" i="4"/>
  <c r="G129" i="4"/>
  <c r="G128" i="4"/>
  <c r="H128" i="4" s="1"/>
  <c r="H127" i="4"/>
  <c r="G127" i="4"/>
  <c r="G126" i="4"/>
  <c r="H126" i="4" s="1"/>
  <c r="H125" i="4"/>
  <c r="G125" i="4"/>
  <c r="G124" i="4"/>
  <c r="H124" i="4" s="1"/>
  <c r="H123" i="4"/>
  <c r="G123" i="4"/>
  <c r="G122" i="4"/>
  <c r="H122" i="4" s="1"/>
  <c r="H121" i="4"/>
  <c r="G121" i="4"/>
  <c r="D120" i="4"/>
  <c r="G119" i="4"/>
  <c r="H119" i="4" s="1"/>
  <c r="H118" i="4"/>
  <c r="G118" i="4"/>
  <c r="G117" i="4"/>
  <c r="D117" i="4"/>
  <c r="H116" i="4"/>
  <c r="G116" i="4"/>
  <c r="G115" i="4"/>
  <c r="H115" i="4" s="1"/>
  <c r="H114" i="4"/>
  <c r="G114" i="4"/>
  <c r="G113" i="4"/>
  <c r="D112" i="4"/>
  <c r="G110" i="4"/>
  <c r="H110" i="4" s="1"/>
  <c r="H109" i="4"/>
  <c r="G109" i="4"/>
  <c r="G108" i="4"/>
  <c r="H108" i="4" s="1"/>
  <c r="H107" i="4"/>
  <c r="G107" i="4"/>
  <c r="G106" i="4"/>
  <c r="H106" i="4" s="1"/>
  <c r="H105" i="4"/>
  <c r="G105" i="4"/>
  <c r="G104" i="4"/>
  <c r="H104" i="4" s="1"/>
  <c r="H103" i="4"/>
  <c r="G103" i="4"/>
  <c r="G102" i="4"/>
  <c r="H102" i="4" s="1"/>
  <c r="H101" i="4"/>
  <c r="G101" i="4"/>
  <c r="G100" i="4"/>
  <c r="H100" i="4" s="1"/>
  <c r="H99" i="4"/>
  <c r="G99" i="4"/>
  <c r="G98" i="4"/>
  <c r="H98" i="4" s="1"/>
  <c r="H97" i="4"/>
  <c r="G97" i="4"/>
  <c r="G96" i="4"/>
  <c r="H96" i="4" s="1"/>
  <c r="H95" i="4"/>
  <c r="G95" i="4"/>
  <c r="G94" i="4"/>
  <c r="H94" i="4" s="1"/>
  <c r="H93" i="4"/>
  <c r="G93" i="4"/>
  <c r="G92" i="4"/>
  <c r="D91" i="4"/>
  <c r="H90" i="4"/>
  <c r="H89" i="4" s="1"/>
  <c r="G90" i="4"/>
  <c r="G89" i="4"/>
  <c r="D89" i="4"/>
  <c r="H88" i="4"/>
  <c r="G88" i="4"/>
  <c r="G87" i="4"/>
  <c r="H86" i="4"/>
  <c r="G86" i="4"/>
  <c r="A83" i="4"/>
  <c r="H81" i="4"/>
  <c r="H153" i="4" s="1"/>
  <c r="H225" i="4" s="1"/>
  <c r="H297" i="4" s="1"/>
  <c r="H369" i="4" s="1"/>
  <c r="H441" i="4" s="1"/>
  <c r="H513" i="4" s="1"/>
  <c r="H585" i="4" s="1"/>
  <c r="H79" i="4"/>
  <c r="G79" i="4"/>
  <c r="G78" i="4"/>
  <c r="G77" i="4" s="1"/>
  <c r="D77" i="4"/>
  <c r="G76" i="4"/>
  <c r="H76" i="4" s="1"/>
  <c r="H75" i="4"/>
  <c r="G75" i="4"/>
  <c r="G74" i="4"/>
  <c r="H74" i="4" s="1"/>
  <c r="H73" i="4"/>
  <c r="G73" i="4"/>
  <c r="G72" i="4"/>
  <c r="H72" i="4" s="1"/>
  <c r="H71" i="4"/>
  <c r="G71" i="4"/>
  <c r="G70" i="4"/>
  <c r="D69" i="4"/>
  <c r="H68" i="4"/>
  <c r="G68" i="4"/>
  <c r="G67" i="4"/>
  <c r="H67" i="4" s="1"/>
  <c r="H66" i="4"/>
  <c r="G66" i="4"/>
  <c r="G65" i="4"/>
  <c r="H65" i="4" s="1"/>
  <c r="H64" i="4"/>
  <c r="G64" i="4"/>
  <c r="G63" i="4"/>
  <c r="H63" i="4" s="1"/>
  <c r="H62" i="4"/>
  <c r="G62" i="4"/>
  <c r="G61" i="4"/>
  <c r="H61" i="4" s="1"/>
  <c r="H60" i="4"/>
  <c r="G60" i="4"/>
  <c r="G59" i="4"/>
  <c r="D59" i="4"/>
  <c r="H58" i="4"/>
  <c r="G58" i="4"/>
  <c r="G57" i="4"/>
  <c r="H57" i="4" s="1"/>
  <c r="H56" i="4"/>
  <c r="G56" i="4"/>
  <c r="G55" i="4"/>
  <c r="H55" i="4" s="1"/>
  <c r="H54" i="4"/>
  <c r="G54" i="4"/>
  <c r="G53" i="4"/>
  <c r="H53" i="4" s="1"/>
  <c r="H52" i="4"/>
  <c r="G52" i="4"/>
  <c r="G51" i="4"/>
  <c r="H51" i="4" s="1"/>
  <c r="H50" i="4"/>
  <c r="G50" i="4"/>
  <c r="G49" i="4"/>
  <c r="D48" i="4"/>
  <c r="D39" i="4" s="1"/>
  <c r="H47" i="4"/>
  <c r="G47" i="4"/>
  <c r="G46" i="4"/>
  <c r="G45" i="4" s="1"/>
  <c r="D45" i="4"/>
  <c r="G44" i="4"/>
  <c r="H44" i="4" s="1"/>
  <c r="H43" i="4"/>
  <c r="G43" i="4"/>
  <c r="G42" i="4"/>
  <c r="H42" i="4" s="1"/>
  <c r="G41" i="4"/>
  <c r="H41" i="4" s="1"/>
  <c r="D40" i="4"/>
  <c r="H38" i="4"/>
  <c r="G38" i="4"/>
  <c r="G37" i="4"/>
  <c r="H37" i="4" s="1"/>
  <c r="H36" i="4"/>
  <c r="G36" i="4"/>
  <c r="G35" i="4"/>
  <c r="H35" i="4" s="1"/>
  <c r="H34" i="4"/>
  <c r="G34" i="4"/>
  <c r="G33" i="4"/>
  <c r="H33" i="4" s="1"/>
  <c r="H32" i="4"/>
  <c r="G32" i="4"/>
  <c r="G31" i="4"/>
  <c r="H31" i="4" s="1"/>
  <c r="H30" i="4"/>
  <c r="G30" i="4"/>
  <c r="G29" i="4"/>
  <c r="H29" i="4" s="1"/>
  <c r="H28" i="4"/>
  <c r="G28" i="4"/>
  <c r="G27" i="4"/>
  <c r="H27" i="4" s="1"/>
  <c r="H26" i="4"/>
  <c r="G26" i="4"/>
  <c r="G25" i="4"/>
  <c r="H25" i="4" s="1"/>
  <c r="H24" i="4"/>
  <c r="G24" i="4"/>
  <c r="G23" i="4"/>
  <c r="H23" i="4" s="1"/>
  <c r="H22" i="4"/>
  <c r="G22" i="4"/>
  <c r="G21" i="4"/>
  <c r="H21" i="4" s="1"/>
  <c r="H20" i="4"/>
  <c r="G20" i="4"/>
  <c r="D19" i="4"/>
  <c r="G18" i="4"/>
  <c r="G17" i="4" s="1"/>
  <c r="D17" i="4"/>
  <c r="G16" i="4"/>
  <c r="H16" i="4" s="1"/>
  <c r="H15" i="4"/>
  <c r="G15" i="4"/>
  <c r="G14" i="4"/>
  <c r="H14" i="4" s="1"/>
  <c r="A11" i="4"/>
  <c r="AC67" i="3"/>
  <c r="M67" i="3"/>
  <c r="AC66" i="3"/>
  <c r="AC65" i="3"/>
  <c r="O65" i="3"/>
  <c r="AC64" i="3"/>
  <c r="N64" i="3"/>
  <c r="AC62" i="3"/>
  <c r="O62" i="3"/>
  <c r="N62" i="3"/>
  <c r="M62" i="3"/>
  <c r="L62" i="3" s="1"/>
  <c r="AC61" i="3"/>
  <c r="S61" i="3"/>
  <c r="O61" i="3"/>
  <c r="N61" i="3"/>
  <c r="N67" i="3" s="1"/>
  <c r="M61" i="3"/>
  <c r="C69" i="8" s="1"/>
  <c r="F69" i="8" s="1"/>
  <c r="L61" i="3"/>
  <c r="C62" i="6" s="1"/>
  <c r="K62" i="6" s="1"/>
  <c r="AC60" i="3"/>
  <c r="O60" i="3"/>
  <c r="N60" i="3"/>
  <c r="D68" i="8" s="1"/>
  <c r="G68" i="8" s="1"/>
  <c r="M60" i="3"/>
  <c r="L60" i="3"/>
  <c r="C61" i="6" s="1"/>
  <c r="K61" i="6" s="1"/>
  <c r="AC59" i="3"/>
  <c r="Q59" i="3"/>
  <c r="O59" i="3"/>
  <c r="E67" i="8" s="1"/>
  <c r="H67" i="8" s="1"/>
  <c r="N59" i="3"/>
  <c r="M59" i="3"/>
  <c r="AC58" i="3"/>
  <c r="R58" i="3"/>
  <c r="O58" i="3"/>
  <c r="N58" i="3"/>
  <c r="M58" i="3"/>
  <c r="L58" i="3" s="1"/>
  <c r="P58" i="3" s="1"/>
  <c r="AC57" i="3"/>
  <c r="M57" i="3"/>
  <c r="Q57" i="3" s="1"/>
  <c r="AC56" i="3"/>
  <c r="R56" i="3"/>
  <c r="N56" i="3"/>
  <c r="D64" i="8" s="1"/>
  <c r="G64" i="8" s="1"/>
  <c r="AC55" i="3"/>
  <c r="O55" i="3"/>
  <c r="S55" i="3" s="1"/>
  <c r="AC54" i="3"/>
  <c r="AC53" i="3"/>
  <c r="M53" i="3"/>
  <c r="Q53" i="3" s="1"/>
  <c r="AC51" i="3"/>
  <c r="O51" i="3"/>
  <c r="N51" i="3"/>
  <c r="M51" i="3"/>
  <c r="C59" i="8" s="1"/>
  <c r="F59" i="8" s="1"/>
  <c r="AC50" i="3"/>
  <c r="R50" i="3"/>
  <c r="O50" i="3"/>
  <c r="S50" i="3" s="1"/>
  <c r="N50" i="3"/>
  <c r="M50" i="3"/>
  <c r="C58" i="8" s="1"/>
  <c r="F58" i="8" s="1"/>
  <c r="L50" i="3"/>
  <c r="C51" i="6" s="1"/>
  <c r="K51" i="6" s="1"/>
  <c r="AC49" i="3"/>
  <c r="O49" i="3"/>
  <c r="S49" i="3" s="1"/>
  <c r="N49" i="3"/>
  <c r="D57" i="8" s="1"/>
  <c r="G57" i="8" s="1"/>
  <c r="M49" i="3"/>
  <c r="AC48" i="3"/>
  <c r="O48" i="3"/>
  <c r="E56" i="8" s="1"/>
  <c r="H56" i="8" s="1"/>
  <c r="N48" i="3"/>
  <c r="M48" i="3"/>
  <c r="AC47" i="3"/>
  <c r="R47" i="3"/>
  <c r="O47" i="3"/>
  <c r="S47" i="3" s="1"/>
  <c r="N47" i="3"/>
  <c r="M47" i="3"/>
  <c r="AC46" i="3"/>
  <c r="S46" i="3"/>
  <c r="O46" i="3"/>
  <c r="N46" i="3"/>
  <c r="R46" i="3" s="1"/>
  <c r="M46" i="3"/>
  <c r="C54" i="8" s="1"/>
  <c r="F54" i="8" s="1"/>
  <c r="L46" i="3"/>
  <c r="C47" i="6" s="1"/>
  <c r="K47" i="6" s="1"/>
  <c r="AC45" i="3"/>
  <c r="O45" i="3"/>
  <c r="AC43" i="3"/>
  <c r="R43" i="3"/>
  <c r="O43" i="3"/>
  <c r="E51" i="8" s="1"/>
  <c r="H51" i="8" s="1"/>
  <c r="N43" i="3"/>
  <c r="M43" i="3"/>
  <c r="L43" i="3"/>
  <c r="C44" i="6" s="1"/>
  <c r="K44" i="6" s="1"/>
  <c r="AC42" i="3"/>
  <c r="S42" i="3"/>
  <c r="Q42" i="3"/>
  <c r="O42" i="3"/>
  <c r="N42" i="3"/>
  <c r="M42" i="3"/>
  <c r="C50" i="8" s="1"/>
  <c r="F50" i="8" s="1"/>
  <c r="AC41" i="3"/>
  <c r="O41" i="3"/>
  <c r="N41" i="3"/>
  <c r="M41" i="3"/>
  <c r="C49" i="8" s="1"/>
  <c r="F49" i="8" s="1"/>
  <c r="AC40" i="3"/>
  <c r="S40" i="3"/>
  <c r="R40" i="3"/>
  <c r="O40" i="3"/>
  <c r="N40" i="3"/>
  <c r="M40" i="3"/>
  <c r="AC39" i="3"/>
  <c r="R39" i="3"/>
  <c r="O39" i="3"/>
  <c r="N39" i="3"/>
  <c r="D47" i="8" s="1"/>
  <c r="G47" i="8" s="1"/>
  <c r="M39" i="3"/>
  <c r="Q39" i="3" s="1"/>
  <c r="AC38" i="3"/>
  <c r="S38" i="3"/>
  <c r="O38" i="3"/>
  <c r="E46" i="8" s="1"/>
  <c r="H46" i="8" s="1"/>
  <c r="N38" i="3"/>
  <c r="D46" i="8" s="1"/>
  <c r="G46" i="8" s="1"/>
  <c r="M38" i="3"/>
  <c r="L38" i="3"/>
  <c r="C39" i="6" s="1"/>
  <c r="K39" i="6" s="1"/>
  <c r="AC37" i="3"/>
  <c r="O37" i="3"/>
  <c r="E45" i="8" s="1"/>
  <c r="H45" i="8" s="1"/>
  <c r="N37" i="3"/>
  <c r="M37" i="3"/>
  <c r="L37" i="3"/>
  <c r="C38" i="6" s="1"/>
  <c r="K38" i="6" s="1"/>
  <c r="AC36" i="3"/>
  <c r="S36" i="3"/>
  <c r="Q36" i="3"/>
  <c r="O36" i="3"/>
  <c r="N36" i="3"/>
  <c r="M36" i="3"/>
  <c r="C44" i="8" s="1"/>
  <c r="F44" i="8" s="1"/>
  <c r="AC35" i="3"/>
  <c r="R35" i="3"/>
  <c r="Q35" i="3"/>
  <c r="O35" i="3"/>
  <c r="N35" i="3"/>
  <c r="D43" i="8" s="1"/>
  <c r="G43" i="8" s="1"/>
  <c r="M35" i="3"/>
  <c r="AC34" i="3"/>
  <c r="Q34" i="3"/>
  <c r="O34" i="3"/>
  <c r="E42" i="8" s="1"/>
  <c r="H42" i="8" s="1"/>
  <c r="N34" i="3"/>
  <c r="M34" i="3"/>
  <c r="AC33" i="3"/>
  <c r="S33" i="3"/>
  <c r="R33" i="3"/>
  <c r="O33" i="3"/>
  <c r="N33" i="3"/>
  <c r="M33" i="3"/>
  <c r="AC32" i="3"/>
  <c r="S32" i="3"/>
  <c r="R32" i="3"/>
  <c r="O32" i="3"/>
  <c r="N32" i="3"/>
  <c r="M32" i="3"/>
  <c r="C40" i="8" s="1"/>
  <c r="F40" i="8" s="1"/>
  <c r="AC31" i="3"/>
  <c r="R31" i="3"/>
  <c r="O31" i="3"/>
  <c r="N31" i="3"/>
  <c r="D39" i="8" s="1"/>
  <c r="G39" i="8" s="1"/>
  <c r="M31" i="3"/>
  <c r="AC30" i="3"/>
  <c r="Q30" i="3"/>
  <c r="O30" i="3"/>
  <c r="E38" i="8" s="1"/>
  <c r="H38" i="8" s="1"/>
  <c r="N30" i="3"/>
  <c r="M30" i="3"/>
  <c r="AC29" i="3"/>
  <c r="S29" i="3"/>
  <c r="O29" i="3"/>
  <c r="N29" i="3"/>
  <c r="M29" i="3"/>
  <c r="AC28" i="3"/>
  <c r="S28" i="3"/>
  <c r="Q28" i="3"/>
  <c r="O28" i="3"/>
  <c r="N28" i="3"/>
  <c r="R28" i="3" s="1"/>
  <c r="M28" i="3"/>
  <c r="C36" i="8" s="1"/>
  <c r="F36" i="8" s="1"/>
  <c r="AC27" i="3"/>
  <c r="Q27" i="3"/>
  <c r="O27" i="3"/>
  <c r="N27" i="3"/>
  <c r="M27" i="3"/>
  <c r="AC26" i="3"/>
  <c r="O26" i="3"/>
  <c r="N26" i="3"/>
  <c r="M26" i="3"/>
  <c r="L26" i="3"/>
  <c r="C27" i="6" s="1"/>
  <c r="K27" i="6" s="1"/>
  <c r="AC25" i="3"/>
  <c r="O25" i="3"/>
  <c r="F26" i="6" s="1"/>
  <c r="N26" i="6" s="1"/>
  <c r="N25" i="3"/>
  <c r="M25" i="3"/>
  <c r="L25" i="3" s="1"/>
  <c r="AC24" i="3"/>
  <c r="O24" i="3"/>
  <c r="N24" i="3"/>
  <c r="M24" i="3"/>
  <c r="C32" i="8" s="1"/>
  <c r="F32" i="8" s="1"/>
  <c r="L24" i="3"/>
  <c r="C25" i="6" s="1"/>
  <c r="K25" i="6" s="1"/>
  <c r="AC23" i="3"/>
  <c r="O23" i="3"/>
  <c r="N23" i="3"/>
  <c r="D31" i="8" s="1"/>
  <c r="G31" i="8" s="1"/>
  <c r="M23" i="3"/>
  <c r="AC22" i="3"/>
  <c r="AC20" i="3"/>
  <c r="O20" i="3"/>
  <c r="N20" i="3"/>
  <c r="E21" i="6" s="1"/>
  <c r="M21" i="6" s="1"/>
  <c r="M20" i="3"/>
  <c r="AC19" i="3"/>
  <c r="R19" i="3"/>
  <c r="O19" i="3"/>
  <c r="F20" i="6" s="1"/>
  <c r="N20" i="6" s="1"/>
  <c r="N19" i="3"/>
  <c r="M19" i="3"/>
  <c r="AC18" i="3"/>
  <c r="S18" i="3"/>
  <c r="Q18" i="3"/>
  <c r="O18" i="3"/>
  <c r="N18" i="3"/>
  <c r="D26" i="8" s="1"/>
  <c r="G26" i="8" s="1"/>
  <c r="M18" i="3"/>
  <c r="AC17" i="3"/>
  <c r="R17" i="3"/>
  <c r="O17" i="3"/>
  <c r="N17" i="3"/>
  <c r="M17" i="3"/>
  <c r="Q17" i="3" s="1"/>
  <c r="AC16" i="3"/>
  <c r="S16" i="3"/>
  <c r="Q16" i="3"/>
  <c r="O16" i="3"/>
  <c r="N16" i="3"/>
  <c r="D24" i="8" s="1"/>
  <c r="G24" i="8" s="1"/>
  <c r="M16" i="3"/>
  <c r="AC15" i="3"/>
  <c r="O15" i="3"/>
  <c r="N15" i="3"/>
  <c r="D23" i="8" s="1"/>
  <c r="G23" i="8" s="1"/>
  <c r="M15" i="3"/>
  <c r="L15" i="3"/>
  <c r="C16" i="6" s="1"/>
  <c r="K16" i="6" s="1"/>
  <c r="AC14" i="3"/>
  <c r="O14" i="3"/>
  <c r="N14" i="3"/>
  <c r="M14" i="3"/>
  <c r="L14" i="3" s="1"/>
  <c r="AC13" i="3"/>
  <c r="O13" i="3"/>
  <c r="N13" i="3"/>
  <c r="M13" i="3"/>
  <c r="L13" i="3"/>
  <c r="C14" i="6" s="1"/>
  <c r="K14" i="6" s="1"/>
  <c r="AC12" i="3"/>
  <c r="O12" i="3"/>
  <c r="N12" i="3"/>
  <c r="M12" i="3"/>
  <c r="AC11" i="3"/>
  <c r="AC9" i="3"/>
  <c r="O9" i="3"/>
  <c r="N9" i="3"/>
  <c r="M9" i="3"/>
  <c r="C17" i="8" s="1"/>
  <c r="F17" i="8" s="1"/>
  <c r="K42" i="2"/>
  <c r="L42" i="2" s="1"/>
  <c r="M42" i="2" s="1"/>
  <c r="N41" i="2"/>
  <c r="N40" i="2"/>
  <c r="N39" i="2"/>
  <c r="N38" i="2"/>
  <c r="N44" i="2" s="1"/>
  <c r="L31" i="2"/>
  <c r="K31" i="2"/>
  <c r="M31" i="2" s="1"/>
  <c r="N31" i="2" s="1"/>
  <c r="N30" i="2"/>
  <c r="N29" i="2"/>
  <c r="N28" i="2"/>
  <c r="N27" i="2"/>
  <c r="N33" i="2" s="1"/>
  <c r="K20" i="2"/>
  <c r="N19" i="2"/>
  <c r="N18" i="2"/>
  <c r="N17" i="2"/>
  <c r="N16" i="2"/>
  <c r="N22" i="2" s="1"/>
  <c r="L8" i="2"/>
  <c r="K8" i="2"/>
  <c r="N7" i="2"/>
  <c r="N6" i="2"/>
  <c r="N5" i="2"/>
  <c r="N4" i="2"/>
  <c r="N10" i="2" s="1"/>
  <c r="G209" i="1"/>
  <c r="F209" i="1"/>
  <c r="E209" i="1"/>
  <c r="E208" i="1"/>
  <c r="E210" i="1" s="1"/>
  <c r="B208" i="1"/>
  <c r="G206" i="1"/>
  <c r="F206" i="1"/>
  <c r="E206" i="1"/>
  <c r="B205" i="1"/>
  <c r="G203" i="1"/>
  <c r="F203" i="1"/>
  <c r="E203" i="1"/>
  <c r="G202" i="1"/>
  <c r="G204" i="1" s="1"/>
  <c r="B202" i="1"/>
  <c r="F201" i="1"/>
  <c r="G200" i="1"/>
  <c r="F200" i="1"/>
  <c r="E200" i="1"/>
  <c r="F199" i="1"/>
  <c r="B199" i="1"/>
  <c r="B196" i="1"/>
  <c r="G194" i="1"/>
  <c r="G195" i="1" s="1"/>
  <c r="F194" i="1"/>
  <c r="F195" i="1" s="1"/>
  <c r="E194" i="1"/>
  <c r="E195" i="1" s="1"/>
  <c r="D194" i="1"/>
  <c r="D195" i="1" s="1"/>
  <c r="G193" i="1"/>
  <c r="F193" i="1"/>
  <c r="E193" i="1"/>
  <c r="D193" i="1"/>
  <c r="B193" i="1"/>
  <c r="G191" i="1"/>
  <c r="G192" i="1" s="1"/>
  <c r="F191" i="1"/>
  <c r="F192" i="1" s="1"/>
  <c r="E191" i="1"/>
  <c r="E192" i="1" s="1"/>
  <c r="D191" i="1"/>
  <c r="D192" i="1" s="1"/>
  <c r="G190" i="1"/>
  <c r="F190" i="1"/>
  <c r="E190" i="1"/>
  <c r="D190" i="1"/>
  <c r="H192" i="1" s="1"/>
  <c r="B190" i="1"/>
  <c r="G188" i="1"/>
  <c r="G189" i="1" s="1"/>
  <c r="F188" i="1"/>
  <c r="F189" i="1" s="1"/>
  <c r="E188" i="1"/>
  <c r="E189" i="1" s="1"/>
  <c r="D188" i="1"/>
  <c r="D189" i="1" s="1"/>
  <c r="G187" i="1"/>
  <c r="F187" i="1"/>
  <c r="E187" i="1"/>
  <c r="D187" i="1"/>
  <c r="B187" i="1"/>
  <c r="G185" i="1"/>
  <c r="G186" i="1" s="1"/>
  <c r="F185" i="1"/>
  <c r="F186" i="1" s="1"/>
  <c r="E185" i="1"/>
  <c r="E186" i="1" s="1"/>
  <c r="D185" i="1"/>
  <c r="G184" i="1"/>
  <c r="F184" i="1"/>
  <c r="E184" i="1"/>
  <c r="B184" i="1"/>
  <c r="G182" i="1"/>
  <c r="G183" i="1" s="1"/>
  <c r="F182" i="1"/>
  <c r="F183" i="1" s="1"/>
  <c r="E182" i="1"/>
  <c r="E183" i="1" s="1"/>
  <c r="D182" i="1"/>
  <c r="D183" i="1" s="1"/>
  <c r="G181" i="1"/>
  <c r="F181" i="1"/>
  <c r="E181" i="1"/>
  <c r="D181" i="1"/>
  <c r="B181" i="1"/>
  <c r="A181" i="1"/>
  <c r="H179" i="1"/>
  <c r="G178" i="1"/>
  <c r="F178" i="1"/>
  <c r="E178" i="1"/>
  <c r="E179" i="1" s="1"/>
  <c r="E177" i="1"/>
  <c r="B177" i="1"/>
  <c r="G175" i="1"/>
  <c r="F175" i="1"/>
  <c r="F176" i="1" s="1"/>
  <c r="E175" i="1"/>
  <c r="F174" i="1"/>
  <c r="B174" i="1"/>
  <c r="G172" i="1"/>
  <c r="G173" i="1" s="1"/>
  <c r="F172" i="1"/>
  <c r="E172" i="1"/>
  <c r="G171" i="1"/>
  <c r="B171" i="1"/>
  <c r="G169" i="1"/>
  <c r="F169" i="1"/>
  <c r="E169" i="1"/>
  <c r="B168" i="1"/>
  <c r="H167" i="1"/>
  <c r="G166" i="1"/>
  <c r="F166" i="1"/>
  <c r="E166" i="1"/>
  <c r="E167" i="1" s="1"/>
  <c r="E165" i="1"/>
  <c r="B165" i="1"/>
  <c r="B162" i="1"/>
  <c r="F161" i="1"/>
  <c r="G160" i="1"/>
  <c r="G161" i="1" s="1"/>
  <c r="F160" i="1"/>
  <c r="E160" i="1"/>
  <c r="E161" i="1" s="1"/>
  <c r="D160" i="1"/>
  <c r="G159" i="1"/>
  <c r="F159" i="1"/>
  <c r="E159" i="1"/>
  <c r="B159" i="1"/>
  <c r="F158" i="1"/>
  <c r="G157" i="1"/>
  <c r="G158" i="1" s="1"/>
  <c r="F157" i="1"/>
  <c r="E157" i="1"/>
  <c r="D157" i="1"/>
  <c r="G156" i="1"/>
  <c r="F156" i="1"/>
  <c r="E156" i="1"/>
  <c r="H158" i="1" s="1"/>
  <c r="D156" i="1"/>
  <c r="B156" i="1"/>
  <c r="G154" i="1"/>
  <c r="G155" i="1" s="1"/>
  <c r="F154" i="1"/>
  <c r="F155" i="1" s="1"/>
  <c r="E154" i="1"/>
  <c r="E155" i="1" s="1"/>
  <c r="D154" i="1"/>
  <c r="G153" i="1"/>
  <c r="F153" i="1"/>
  <c r="E153" i="1"/>
  <c r="B153" i="1"/>
  <c r="G151" i="1"/>
  <c r="G152" i="1" s="1"/>
  <c r="F151" i="1"/>
  <c r="F152" i="1" s="1"/>
  <c r="E151" i="1"/>
  <c r="E152" i="1" s="1"/>
  <c r="D151" i="1"/>
  <c r="G150" i="1"/>
  <c r="F150" i="1"/>
  <c r="E150" i="1"/>
  <c r="B150" i="1"/>
  <c r="G148" i="1"/>
  <c r="G149" i="1" s="1"/>
  <c r="F148" i="1"/>
  <c r="F149" i="1" s="1"/>
  <c r="E148" i="1"/>
  <c r="E149" i="1" s="1"/>
  <c r="D148" i="1"/>
  <c r="G147" i="1"/>
  <c r="F147" i="1"/>
  <c r="E147" i="1"/>
  <c r="B147" i="1"/>
  <c r="G145" i="1"/>
  <c r="G146" i="1" s="1"/>
  <c r="F145" i="1"/>
  <c r="F146" i="1" s="1"/>
  <c r="E145" i="1"/>
  <c r="E146" i="1" s="1"/>
  <c r="D145" i="1"/>
  <c r="G144" i="1"/>
  <c r="F144" i="1"/>
  <c r="E144" i="1"/>
  <c r="B144" i="1"/>
  <c r="A144" i="1"/>
  <c r="G141" i="1"/>
  <c r="F141" i="1"/>
  <c r="E141" i="1"/>
  <c r="G140" i="1"/>
  <c r="G142" i="1" s="1"/>
  <c r="B140" i="1"/>
  <c r="B137" i="1"/>
  <c r="G135" i="1"/>
  <c r="G136" i="1" s="1"/>
  <c r="G143" i="1" s="1"/>
  <c r="F135" i="1"/>
  <c r="F136" i="1" s="1"/>
  <c r="E135" i="1"/>
  <c r="E136" i="1" s="1"/>
  <c r="D135" i="1"/>
  <c r="D136" i="1" s="1"/>
  <c r="G134" i="1"/>
  <c r="F134" i="1"/>
  <c r="E134" i="1"/>
  <c r="D134" i="1"/>
  <c r="B134" i="1"/>
  <c r="A134" i="1"/>
  <c r="D133" i="1"/>
  <c r="G131" i="1"/>
  <c r="G132" i="1" s="1"/>
  <c r="F131" i="1"/>
  <c r="F132" i="1" s="1"/>
  <c r="E131" i="1"/>
  <c r="G130" i="1"/>
  <c r="F130" i="1"/>
  <c r="E130" i="1"/>
  <c r="B130" i="1"/>
  <c r="H129" i="1"/>
  <c r="G128" i="1"/>
  <c r="G129" i="1" s="1"/>
  <c r="F128" i="1"/>
  <c r="E128" i="1"/>
  <c r="E129" i="1" s="1"/>
  <c r="G127" i="1"/>
  <c r="F127" i="1"/>
  <c r="F129" i="1" s="1"/>
  <c r="E127" i="1"/>
  <c r="B127" i="1"/>
  <c r="A127" i="1"/>
  <c r="D126" i="1"/>
  <c r="G124" i="1"/>
  <c r="F124" i="1"/>
  <c r="F125" i="1" s="1"/>
  <c r="E124" i="1"/>
  <c r="G123" i="1"/>
  <c r="F123" i="1"/>
  <c r="B123" i="1"/>
  <c r="H122" i="1"/>
  <c r="F122" i="1"/>
  <c r="F126" i="1" s="1"/>
  <c r="G121" i="1"/>
  <c r="F121" i="1"/>
  <c r="E121" i="1"/>
  <c r="E122" i="1" s="1"/>
  <c r="F120" i="1"/>
  <c r="E120" i="1"/>
  <c r="B120" i="1"/>
  <c r="A120" i="1"/>
  <c r="G118" i="1"/>
  <c r="G117" i="1"/>
  <c r="F117" i="1"/>
  <c r="E117" i="1"/>
  <c r="E118" i="1" s="1"/>
  <c r="D117" i="1"/>
  <c r="D118" i="1" s="1"/>
  <c r="G116" i="1"/>
  <c r="E116" i="1"/>
  <c r="H118" i="1" s="1"/>
  <c r="D116" i="1"/>
  <c r="B116" i="1"/>
  <c r="G114" i="1"/>
  <c r="G115" i="1" s="1"/>
  <c r="F114" i="1"/>
  <c r="E114" i="1"/>
  <c r="E115" i="1" s="1"/>
  <c r="D114" i="1"/>
  <c r="D115" i="1" s="1"/>
  <c r="G113" i="1"/>
  <c r="E113" i="1"/>
  <c r="H115" i="1" s="1"/>
  <c r="D113" i="1"/>
  <c r="B113" i="1"/>
  <c r="G112" i="1"/>
  <c r="G111" i="1"/>
  <c r="F111" i="1"/>
  <c r="F112" i="1" s="1"/>
  <c r="E111" i="1"/>
  <c r="G110" i="1"/>
  <c r="F110" i="1"/>
  <c r="E110" i="1"/>
  <c r="B110" i="1"/>
  <c r="H109" i="1"/>
  <c r="G108" i="1"/>
  <c r="G109" i="1" s="1"/>
  <c r="F108" i="1"/>
  <c r="E108" i="1"/>
  <c r="E109" i="1" s="1"/>
  <c r="G107" i="1"/>
  <c r="F107" i="1"/>
  <c r="F109" i="1" s="1"/>
  <c r="E107" i="1"/>
  <c r="B107" i="1"/>
  <c r="E106" i="1"/>
  <c r="I106" i="1" s="1"/>
  <c r="G105" i="1"/>
  <c r="F105" i="1"/>
  <c r="F106" i="1" s="1"/>
  <c r="E105" i="1"/>
  <c r="G104" i="1"/>
  <c r="G106" i="1" s="1"/>
  <c r="F104" i="1"/>
  <c r="E104" i="1"/>
  <c r="H106" i="1" s="1"/>
  <c r="B104" i="1"/>
  <c r="J103" i="1"/>
  <c r="H103" i="1"/>
  <c r="F103" i="1"/>
  <c r="G102" i="1"/>
  <c r="G103" i="1" s="1"/>
  <c r="F102" i="1"/>
  <c r="E102" i="1"/>
  <c r="E103" i="1" s="1"/>
  <c r="I103" i="1" s="1"/>
  <c r="G101" i="1"/>
  <c r="F101" i="1"/>
  <c r="E101" i="1"/>
  <c r="B101" i="1"/>
  <c r="G100" i="1"/>
  <c r="G99" i="1"/>
  <c r="F99" i="1"/>
  <c r="F100" i="1" s="1"/>
  <c r="E99" i="1"/>
  <c r="G98" i="1"/>
  <c r="F98" i="1"/>
  <c r="E98" i="1"/>
  <c r="B98" i="1"/>
  <c r="H97" i="1"/>
  <c r="G96" i="1"/>
  <c r="F96" i="1"/>
  <c r="E96" i="1"/>
  <c r="E97" i="1" s="1"/>
  <c r="F95" i="1"/>
  <c r="F97" i="1" s="1"/>
  <c r="E95" i="1"/>
  <c r="B95" i="1"/>
  <c r="G93" i="1"/>
  <c r="F93" i="1"/>
  <c r="F94" i="1" s="1"/>
  <c r="E93" i="1"/>
  <c r="G92" i="1"/>
  <c r="G94" i="1" s="1"/>
  <c r="F92" i="1"/>
  <c r="B92" i="1"/>
  <c r="F91" i="1"/>
  <c r="G90" i="1"/>
  <c r="G91" i="1" s="1"/>
  <c r="F90" i="1"/>
  <c r="E90" i="1"/>
  <c r="G89" i="1"/>
  <c r="F89" i="1"/>
  <c r="B89" i="1"/>
  <c r="G88" i="1"/>
  <c r="G87" i="1"/>
  <c r="F87" i="1"/>
  <c r="F88" i="1" s="1"/>
  <c r="E87" i="1"/>
  <c r="G86" i="1"/>
  <c r="F86" i="1"/>
  <c r="E86" i="1"/>
  <c r="B86" i="1"/>
  <c r="H85" i="1"/>
  <c r="G84" i="1"/>
  <c r="G85" i="1" s="1"/>
  <c r="F84" i="1"/>
  <c r="E84" i="1"/>
  <c r="E85" i="1" s="1"/>
  <c r="G83" i="1"/>
  <c r="F83" i="1"/>
  <c r="F85" i="1" s="1"/>
  <c r="E83" i="1"/>
  <c r="B83" i="1"/>
  <c r="G81" i="1"/>
  <c r="G82" i="1" s="1"/>
  <c r="F81" i="1"/>
  <c r="E81" i="1"/>
  <c r="E82" i="1" s="1"/>
  <c r="D81" i="1"/>
  <c r="D82" i="1" s="1"/>
  <c r="G80" i="1"/>
  <c r="E80" i="1"/>
  <c r="H82" i="1" s="1"/>
  <c r="D80" i="1"/>
  <c r="B80" i="1"/>
  <c r="G78" i="1"/>
  <c r="F78" i="1"/>
  <c r="F79" i="1" s="1"/>
  <c r="E78" i="1"/>
  <c r="E79" i="1" s="1"/>
  <c r="D78" i="1"/>
  <c r="F77" i="1"/>
  <c r="E77" i="1"/>
  <c r="B77" i="1"/>
  <c r="G75" i="1"/>
  <c r="G76" i="1" s="1"/>
  <c r="F75" i="1"/>
  <c r="F76" i="1" s="1"/>
  <c r="E75" i="1"/>
  <c r="E76" i="1" s="1"/>
  <c r="D75" i="1"/>
  <c r="G74" i="1"/>
  <c r="F74" i="1"/>
  <c r="E74" i="1"/>
  <c r="B74" i="1"/>
  <c r="G72" i="1"/>
  <c r="G73" i="1" s="1"/>
  <c r="F72" i="1"/>
  <c r="F73" i="1" s="1"/>
  <c r="E72" i="1"/>
  <c r="E73" i="1" s="1"/>
  <c r="D72" i="1"/>
  <c r="G71" i="1"/>
  <c r="F71" i="1"/>
  <c r="E71" i="1"/>
  <c r="B71" i="1"/>
  <c r="A71" i="1"/>
  <c r="G68" i="1"/>
  <c r="F68" i="1"/>
  <c r="E68" i="1"/>
  <c r="B67" i="1"/>
  <c r="B64" i="1"/>
  <c r="G62" i="1"/>
  <c r="G63" i="1" s="1"/>
  <c r="F62" i="1"/>
  <c r="F63" i="1" s="1"/>
  <c r="E62" i="1"/>
  <c r="D62" i="1"/>
  <c r="G61" i="1"/>
  <c r="F61" i="1"/>
  <c r="B61" i="1"/>
  <c r="A61" i="1"/>
  <c r="D60" i="1"/>
  <c r="G59" i="1"/>
  <c r="G58" i="1"/>
  <c r="F58" i="1"/>
  <c r="F59" i="1" s="1"/>
  <c r="E58" i="1"/>
  <c r="G57" i="1"/>
  <c r="F57" i="1"/>
  <c r="E57" i="1"/>
  <c r="B57" i="1"/>
  <c r="H56" i="1"/>
  <c r="G55" i="1"/>
  <c r="G56" i="1" s="1"/>
  <c r="F55" i="1"/>
  <c r="E55" i="1"/>
  <c r="E56" i="1" s="1"/>
  <c r="G54" i="1"/>
  <c r="F54" i="1"/>
  <c r="E54" i="1"/>
  <c r="B54" i="1"/>
  <c r="A54" i="1"/>
  <c r="G51" i="1"/>
  <c r="F51" i="1"/>
  <c r="F52" i="1" s="1"/>
  <c r="E51" i="1"/>
  <c r="E52" i="1" s="1"/>
  <c r="G50" i="1"/>
  <c r="G52" i="1" s="1"/>
  <c r="F50" i="1"/>
  <c r="E50" i="1"/>
  <c r="H52" i="1" s="1"/>
  <c r="B50" i="1"/>
  <c r="H49" i="1"/>
  <c r="G48" i="1"/>
  <c r="G49" i="1" s="1"/>
  <c r="F48" i="1"/>
  <c r="E48" i="1"/>
  <c r="E49" i="1" s="1"/>
  <c r="G47" i="1"/>
  <c r="E47" i="1"/>
  <c r="B47" i="1"/>
  <c r="G45" i="1"/>
  <c r="G46" i="1" s="1"/>
  <c r="F45" i="1"/>
  <c r="E45" i="1"/>
  <c r="E46" i="1" s="1"/>
  <c r="D45" i="1"/>
  <c r="D46" i="1" s="1"/>
  <c r="G44" i="1"/>
  <c r="E44" i="1"/>
  <c r="D44" i="1"/>
  <c r="B44" i="1"/>
  <c r="G43" i="1"/>
  <c r="G42" i="1"/>
  <c r="F42" i="1"/>
  <c r="F43" i="1" s="1"/>
  <c r="E42" i="1"/>
  <c r="E43" i="1" s="1"/>
  <c r="D42" i="1"/>
  <c r="G41" i="1"/>
  <c r="F41" i="1"/>
  <c r="E41" i="1"/>
  <c r="B41" i="1"/>
  <c r="G39" i="1"/>
  <c r="G40" i="1" s="1"/>
  <c r="F39" i="1"/>
  <c r="F40" i="1" s="1"/>
  <c r="E39" i="1"/>
  <c r="E40" i="1" s="1"/>
  <c r="D39" i="1"/>
  <c r="G38" i="1"/>
  <c r="F38" i="1"/>
  <c r="E38" i="1"/>
  <c r="B38" i="1"/>
  <c r="G36" i="1"/>
  <c r="G37" i="1" s="1"/>
  <c r="F36" i="1"/>
  <c r="F37" i="1" s="1"/>
  <c r="E36" i="1"/>
  <c r="D36" i="1"/>
  <c r="G35" i="1"/>
  <c r="F35" i="1"/>
  <c r="B35" i="1"/>
  <c r="G33" i="1"/>
  <c r="F33" i="1"/>
  <c r="E33" i="1"/>
  <c r="B32" i="1"/>
  <c r="B29" i="1"/>
  <c r="G27" i="1"/>
  <c r="G28" i="1" s="1"/>
  <c r="F27" i="1"/>
  <c r="F28" i="1" s="1"/>
  <c r="E27" i="1"/>
  <c r="E28" i="1" s="1"/>
  <c r="D27" i="1"/>
  <c r="G26" i="1"/>
  <c r="F26" i="1"/>
  <c r="E26" i="1"/>
  <c r="B26" i="1"/>
  <c r="A26" i="1"/>
  <c r="O18" i="1"/>
  <c r="G17" i="1"/>
  <c r="A17" i="1"/>
  <c r="H16" i="1"/>
  <c r="G16" i="1"/>
  <c r="F16" i="1"/>
  <c r="A16" i="1"/>
  <c r="H15" i="1"/>
  <c r="G15" i="1"/>
  <c r="A15" i="1"/>
  <c r="H14" i="1"/>
  <c r="G14" i="1"/>
  <c r="F14" i="1"/>
  <c r="A14" i="1"/>
  <c r="H13" i="1"/>
  <c r="G13" i="1"/>
  <c r="A13" i="1"/>
  <c r="H12" i="1"/>
  <c r="G12" i="1"/>
  <c r="A12" i="1"/>
  <c r="H11" i="1"/>
  <c r="G11" i="1"/>
  <c r="A11" i="1"/>
  <c r="H10" i="1"/>
  <c r="G10" i="1"/>
  <c r="A10" i="1"/>
  <c r="G9" i="1"/>
  <c r="A9" i="1"/>
  <c r="D138" i="14"/>
  <c r="D140" i="14" s="1"/>
  <c r="C138" i="14"/>
  <c r="D135" i="14"/>
  <c r="C135" i="14"/>
  <c r="D134" i="14"/>
  <c r="D133" i="14"/>
  <c r="O129" i="14"/>
  <c r="N129" i="14"/>
  <c r="M129" i="14"/>
  <c r="L129" i="14"/>
  <c r="K129" i="14"/>
  <c r="J129" i="14"/>
  <c r="I129" i="14"/>
  <c r="H129" i="14"/>
  <c r="G129" i="14"/>
  <c r="F129" i="14"/>
  <c r="E129" i="14"/>
  <c r="D129" i="14"/>
  <c r="C129" i="14"/>
  <c r="S127" i="14"/>
  <c r="R127" i="14"/>
  <c r="Q127" i="14"/>
  <c r="O127" i="14"/>
  <c r="T127" i="14" s="1"/>
  <c r="C123" i="14"/>
  <c r="D122" i="14"/>
  <c r="D123" i="14" s="1"/>
  <c r="D121" i="14"/>
  <c r="O117" i="14"/>
  <c r="N117" i="14"/>
  <c r="M117" i="14"/>
  <c r="L117" i="14"/>
  <c r="K117" i="14"/>
  <c r="J117" i="14"/>
  <c r="I117" i="14"/>
  <c r="H117" i="14"/>
  <c r="G117" i="14"/>
  <c r="F117" i="14"/>
  <c r="E117" i="14"/>
  <c r="D117" i="14"/>
  <c r="C117" i="14"/>
  <c r="T115" i="14"/>
  <c r="S115" i="14"/>
  <c r="R115" i="14"/>
  <c r="Q115" i="14"/>
  <c r="C111" i="14"/>
  <c r="D110" i="14"/>
  <c r="D109" i="14"/>
  <c r="D111" i="14" s="1"/>
  <c r="O105" i="14"/>
  <c r="N105" i="14"/>
  <c r="M105" i="14"/>
  <c r="L105" i="14"/>
  <c r="K105" i="14"/>
  <c r="J105" i="14"/>
  <c r="I105" i="14"/>
  <c r="H105" i="14"/>
  <c r="G105" i="14"/>
  <c r="F105" i="14"/>
  <c r="E105" i="14"/>
  <c r="D105" i="14"/>
  <c r="C105" i="14"/>
  <c r="T103" i="14"/>
  <c r="S103" i="14"/>
  <c r="R103" i="14"/>
  <c r="Q103" i="14"/>
  <c r="D99" i="14"/>
  <c r="C99" i="14"/>
  <c r="D98" i="14"/>
  <c r="D97" i="14"/>
  <c r="O93" i="14"/>
  <c r="N93" i="14"/>
  <c r="M93" i="14"/>
  <c r="L93" i="14"/>
  <c r="K93" i="14"/>
  <c r="J93" i="14"/>
  <c r="I93" i="14"/>
  <c r="H93" i="14"/>
  <c r="G93" i="14"/>
  <c r="F93" i="14"/>
  <c r="E93" i="14"/>
  <c r="D93" i="14"/>
  <c r="C93" i="14"/>
  <c r="T91" i="14"/>
  <c r="S91" i="14"/>
  <c r="R91" i="14"/>
  <c r="Q91" i="14"/>
  <c r="C87" i="14"/>
  <c r="D86" i="14"/>
  <c r="D87" i="14" s="1"/>
  <c r="D85" i="14"/>
  <c r="O81" i="14"/>
  <c r="N81" i="14"/>
  <c r="M81" i="14"/>
  <c r="L81" i="14"/>
  <c r="K81" i="14"/>
  <c r="J81" i="14"/>
  <c r="I81" i="14"/>
  <c r="H81" i="14"/>
  <c r="G81" i="14"/>
  <c r="F81" i="14"/>
  <c r="E81" i="14"/>
  <c r="D81" i="14"/>
  <c r="C81" i="14"/>
  <c r="T79" i="14"/>
  <c r="S79" i="14"/>
  <c r="R79" i="14"/>
  <c r="Q79" i="14"/>
  <c r="C75" i="14"/>
  <c r="D74" i="14"/>
  <c r="D75" i="14" s="1"/>
  <c r="D73" i="14"/>
  <c r="O69" i="14"/>
  <c r="N69" i="14"/>
  <c r="M69" i="14"/>
  <c r="L69" i="14"/>
  <c r="K69" i="14"/>
  <c r="J69" i="14"/>
  <c r="I69" i="14"/>
  <c r="H69" i="14"/>
  <c r="G69" i="14"/>
  <c r="F69" i="14"/>
  <c r="E69" i="14"/>
  <c r="D69" i="14"/>
  <c r="C69" i="14"/>
  <c r="S67" i="14"/>
  <c r="T67" i="14" s="1"/>
  <c r="Q67" i="14"/>
  <c r="R67" i="14" s="1"/>
  <c r="O67" i="14"/>
  <c r="D63" i="14"/>
  <c r="C63" i="14"/>
  <c r="D62" i="14"/>
  <c r="D61" i="14"/>
  <c r="O57" i="14"/>
  <c r="N57" i="14"/>
  <c r="M57" i="14"/>
  <c r="L57" i="14"/>
  <c r="K57" i="14"/>
  <c r="J57" i="14"/>
  <c r="I57" i="14"/>
  <c r="H57" i="14"/>
  <c r="G57" i="14"/>
  <c r="F57" i="14"/>
  <c r="E57" i="14"/>
  <c r="D57" i="14"/>
  <c r="C57" i="14"/>
  <c r="Q55" i="14"/>
  <c r="R55" i="14" s="1"/>
  <c r="S55" i="14" s="1"/>
  <c r="T55" i="14" s="1"/>
  <c r="C51" i="14"/>
  <c r="D50" i="14"/>
  <c r="D49" i="14"/>
  <c r="O45" i="14"/>
  <c r="N45" i="14"/>
  <c r="M45" i="14"/>
  <c r="L45" i="14"/>
  <c r="K45" i="14"/>
  <c r="J45" i="14"/>
  <c r="I45" i="14"/>
  <c r="H45" i="14"/>
  <c r="G45" i="14"/>
  <c r="F45" i="14"/>
  <c r="E45" i="14"/>
  <c r="D45" i="14"/>
  <c r="C45" i="14"/>
  <c r="R43" i="14"/>
  <c r="S43" i="14" s="1"/>
  <c r="T43" i="14" s="1"/>
  <c r="Q43" i="14"/>
  <c r="C39" i="14"/>
  <c r="D38" i="14"/>
  <c r="D39" i="14" s="1"/>
  <c r="D37" i="14"/>
  <c r="O33" i="14"/>
  <c r="N33" i="14"/>
  <c r="M33" i="14"/>
  <c r="L33" i="14"/>
  <c r="K33" i="14"/>
  <c r="J33" i="14"/>
  <c r="I33" i="14"/>
  <c r="H33" i="14"/>
  <c r="G33" i="14"/>
  <c r="F33" i="14"/>
  <c r="E33" i="14"/>
  <c r="D33" i="14"/>
  <c r="C33" i="14"/>
  <c r="S31" i="14"/>
  <c r="T31" i="14" s="1"/>
  <c r="Q31" i="14"/>
  <c r="R31" i="14" s="1"/>
  <c r="O31" i="14"/>
  <c r="O25" i="14"/>
  <c r="N25" i="14"/>
  <c r="M25" i="14"/>
  <c r="L25" i="14"/>
  <c r="K25" i="14"/>
  <c r="J25" i="14"/>
  <c r="I25" i="14"/>
  <c r="H25" i="14"/>
  <c r="G25" i="14"/>
  <c r="F25" i="14"/>
  <c r="E25" i="14"/>
  <c r="D25" i="14"/>
  <c r="C25" i="14"/>
  <c r="O22" i="14"/>
  <c r="N22" i="14"/>
  <c r="M22" i="14"/>
  <c r="L22" i="14"/>
  <c r="K22" i="14"/>
  <c r="J22" i="14"/>
  <c r="I22" i="14"/>
  <c r="H22" i="14"/>
  <c r="G22" i="14"/>
  <c r="F22" i="14"/>
  <c r="E22" i="14"/>
  <c r="D22" i="14"/>
  <c r="C22" i="14"/>
  <c r="O19" i="14"/>
  <c r="N19" i="14"/>
  <c r="M19" i="14"/>
  <c r="L19" i="14"/>
  <c r="K19" i="14"/>
  <c r="J19" i="14"/>
  <c r="I19" i="14"/>
  <c r="H19" i="14"/>
  <c r="G19" i="14"/>
  <c r="F19" i="14"/>
  <c r="E19" i="14"/>
  <c r="D19" i="14"/>
  <c r="C19" i="14"/>
  <c r="O16" i="14"/>
  <c r="N16" i="14"/>
  <c r="M16" i="14"/>
  <c r="L16" i="14"/>
  <c r="K16" i="14"/>
  <c r="J16" i="14"/>
  <c r="I16" i="14"/>
  <c r="H16" i="14"/>
  <c r="G16" i="14"/>
  <c r="F16" i="14"/>
  <c r="E16" i="14"/>
  <c r="D16" i="14"/>
  <c r="C16" i="14"/>
  <c r="G7" i="14"/>
  <c r="N51" i="5" l="1"/>
  <c r="N57" i="5"/>
  <c r="K85" i="5"/>
  <c r="K78" i="5"/>
  <c r="N49" i="5"/>
  <c r="P49" i="5"/>
  <c r="N46" i="5"/>
  <c r="K70" i="5"/>
  <c r="G328" i="4"/>
  <c r="G400" i="4"/>
  <c r="H401" i="4"/>
  <c r="H400" i="4"/>
  <c r="D399" i="4"/>
  <c r="D327" i="4"/>
  <c r="F10" i="1"/>
  <c r="F12" i="1"/>
  <c r="D543" i="4"/>
  <c r="G616" i="4"/>
  <c r="H544" i="4"/>
  <c r="G544" i="4"/>
  <c r="H549" i="4"/>
  <c r="G523" i="4"/>
  <c r="G515" i="4"/>
  <c r="H157" i="4"/>
  <c r="D156" i="4"/>
  <c r="M143" i="7"/>
  <c r="D517" i="4" s="1"/>
  <c r="D516" i="4" s="1"/>
  <c r="D515" i="4" s="1"/>
  <c r="D584" i="4" s="1"/>
  <c r="O76" i="11"/>
  <c r="H156" i="4"/>
  <c r="E11" i="1" s="1"/>
  <c r="O34" i="11"/>
  <c r="D155" i="4"/>
  <c r="O54" i="11"/>
  <c r="I189" i="1"/>
  <c r="H195" i="1"/>
  <c r="H189" i="1"/>
  <c r="H183" i="1"/>
  <c r="G125" i="1"/>
  <c r="I85" i="1"/>
  <c r="O89" i="11"/>
  <c r="H517" i="4"/>
  <c r="H516" i="4" s="1"/>
  <c r="E16" i="1" s="1"/>
  <c r="I43" i="11"/>
  <c r="W40" i="5"/>
  <c r="W15" i="5"/>
  <c r="H491" i="4"/>
  <c r="R42" i="5"/>
  <c r="N42" i="5"/>
  <c r="P42" i="5"/>
  <c r="R19" i="5"/>
  <c r="P19" i="5"/>
  <c r="N19" i="5"/>
  <c r="R17" i="5"/>
  <c r="P17" i="5"/>
  <c r="N17" i="5"/>
  <c r="M11" i="7"/>
  <c r="D13" i="4" s="1"/>
  <c r="H13" i="4" s="1"/>
  <c r="H12" i="4" s="1"/>
  <c r="N12" i="11"/>
  <c r="O12" i="11" s="1"/>
  <c r="G10" i="11"/>
  <c r="D183" i="4"/>
  <c r="H487" i="4"/>
  <c r="H480" i="4" s="1"/>
  <c r="H136" i="1"/>
  <c r="J136" i="1" s="1"/>
  <c r="F56" i="1"/>
  <c r="F60" i="1" s="1"/>
  <c r="I52" i="1"/>
  <c r="H46" i="1"/>
  <c r="J52" i="1"/>
  <c r="I129" i="1"/>
  <c r="J129" i="1" s="1"/>
  <c r="G18" i="1"/>
  <c r="J106" i="1"/>
  <c r="I109" i="1"/>
  <c r="F133" i="1"/>
  <c r="G133" i="1"/>
  <c r="E158" i="1"/>
  <c r="I158" i="1" s="1"/>
  <c r="J158" i="1" s="1"/>
  <c r="I195" i="1"/>
  <c r="J195" i="1" s="1"/>
  <c r="E59" i="1"/>
  <c r="I59" i="1" s="1"/>
  <c r="H59" i="1"/>
  <c r="J85" i="1"/>
  <c r="E112" i="1"/>
  <c r="I112" i="1" s="1"/>
  <c r="H112" i="1"/>
  <c r="J112" i="1" s="1"/>
  <c r="I183" i="1"/>
  <c r="C15" i="6"/>
  <c r="K15" i="6" s="1"/>
  <c r="P14" i="3"/>
  <c r="D41" i="1"/>
  <c r="D43" i="1" s="1"/>
  <c r="I43" i="1" s="1"/>
  <c r="E100" i="1"/>
  <c r="I100" i="1" s="1"/>
  <c r="H100" i="1"/>
  <c r="D143" i="1"/>
  <c r="I136" i="1"/>
  <c r="J189" i="1"/>
  <c r="D77" i="1"/>
  <c r="H79" i="1" s="1"/>
  <c r="C26" i="6"/>
  <c r="K26" i="6" s="1"/>
  <c r="P25" i="3"/>
  <c r="D51" i="14"/>
  <c r="H43" i="1"/>
  <c r="G60" i="1"/>
  <c r="E88" i="1"/>
  <c r="I88" i="1" s="1"/>
  <c r="H88" i="1"/>
  <c r="J109" i="1"/>
  <c r="E132" i="1"/>
  <c r="I132" i="1" s="1"/>
  <c r="H132" i="1"/>
  <c r="I192" i="1"/>
  <c r="J192" i="1" s="1"/>
  <c r="Q9" i="3"/>
  <c r="M11" i="3"/>
  <c r="C20" i="8"/>
  <c r="F20" i="8" s="1"/>
  <c r="D13" i="6"/>
  <c r="L13" i="6" s="1"/>
  <c r="Q12" i="3"/>
  <c r="P13" i="3"/>
  <c r="E22" i="8"/>
  <c r="H22" i="8" s="1"/>
  <c r="F15" i="6"/>
  <c r="N15" i="6" s="1"/>
  <c r="S14" i="3"/>
  <c r="R15" i="3"/>
  <c r="E25" i="8"/>
  <c r="H25" i="8" s="1"/>
  <c r="F18" i="6"/>
  <c r="N18" i="6" s="1"/>
  <c r="C27" i="8"/>
  <c r="F27" i="8" s="1"/>
  <c r="D20" i="6"/>
  <c r="L20" i="6" s="1"/>
  <c r="C28" i="8"/>
  <c r="F28" i="8" s="1"/>
  <c r="D21" i="6"/>
  <c r="L21" i="6" s="1"/>
  <c r="Q20" i="3"/>
  <c r="M22" i="3"/>
  <c r="C31" i="8"/>
  <c r="F31" i="8" s="1"/>
  <c r="D24" i="6"/>
  <c r="L24" i="6" s="1"/>
  <c r="Q23" i="3"/>
  <c r="P24" i="3"/>
  <c r="S25" i="3"/>
  <c r="D34" i="8"/>
  <c r="G34" i="8" s="1"/>
  <c r="E27" i="6"/>
  <c r="M27" i="6" s="1"/>
  <c r="R26" i="3"/>
  <c r="D35" i="8"/>
  <c r="G35" i="8" s="1"/>
  <c r="E28" i="6"/>
  <c r="M28" i="6" s="1"/>
  <c r="C37" i="8"/>
  <c r="F37" i="8" s="1"/>
  <c r="D30" i="6"/>
  <c r="L30" i="6" s="1"/>
  <c r="Q29" i="3"/>
  <c r="C39" i="8"/>
  <c r="F39" i="8" s="1"/>
  <c r="D32" i="6"/>
  <c r="L32" i="6" s="1"/>
  <c r="D42" i="8"/>
  <c r="G42" i="8" s="1"/>
  <c r="E35" i="6"/>
  <c r="M35" i="6" s="1"/>
  <c r="R34" i="3"/>
  <c r="D44" i="8"/>
  <c r="G44" i="8" s="1"/>
  <c r="E37" i="6"/>
  <c r="M37" i="6" s="1"/>
  <c r="D45" i="8"/>
  <c r="G45" i="8" s="1"/>
  <c r="E38" i="6"/>
  <c r="M38" i="6" s="1"/>
  <c r="R37" i="3"/>
  <c r="E47" i="8"/>
  <c r="H47" i="8" s="1"/>
  <c r="F40" i="6"/>
  <c r="N40" i="6" s="1"/>
  <c r="S39" i="3"/>
  <c r="C48" i="8"/>
  <c r="F48" i="8" s="1"/>
  <c r="D41" i="6"/>
  <c r="L41" i="6" s="1"/>
  <c r="D49" i="8"/>
  <c r="G49" i="8" s="1"/>
  <c r="E42" i="6"/>
  <c r="M42" i="6" s="1"/>
  <c r="E53" i="8"/>
  <c r="H53" i="8" s="1"/>
  <c r="F46" i="6"/>
  <c r="N46" i="6" s="1"/>
  <c r="P46" i="3"/>
  <c r="C55" i="8"/>
  <c r="F55" i="8" s="1"/>
  <c r="D48" i="6"/>
  <c r="L48" i="6" s="1"/>
  <c r="M54" i="3"/>
  <c r="L47" i="3"/>
  <c r="C56" i="8"/>
  <c r="F56" i="8" s="1"/>
  <c r="D49" i="6"/>
  <c r="L49" i="6" s="1"/>
  <c r="Q48" i="3"/>
  <c r="C57" i="8"/>
  <c r="F57" i="8" s="1"/>
  <c r="D50" i="6"/>
  <c r="L50" i="6" s="1"/>
  <c r="Q49" i="3"/>
  <c r="D59" i="8"/>
  <c r="G59" i="8" s="1"/>
  <c r="E52" i="6"/>
  <c r="M52" i="6" s="1"/>
  <c r="P60" i="3"/>
  <c r="D75" i="8"/>
  <c r="G75" i="8" s="1"/>
  <c r="E68" i="6"/>
  <c r="M68" i="6" s="1"/>
  <c r="C63" i="6"/>
  <c r="K63" i="6" s="1"/>
  <c r="P62" i="3"/>
  <c r="E73" i="8"/>
  <c r="H73" i="8" s="1"/>
  <c r="F66" i="6"/>
  <c r="N66" i="6" s="1"/>
  <c r="S65" i="3"/>
  <c r="C75" i="8"/>
  <c r="F75" i="8" s="1"/>
  <c r="Q67" i="3"/>
  <c r="G84" i="4"/>
  <c r="G83" i="4" s="1"/>
  <c r="H87" i="4"/>
  <c r="G91" i="4"/>
  <c r="H92" i="4"/>
  <c r="H91" i="4" s="1"/>
  <c r="G228" i="4"/>
  <c r="G227" i="4" s="1"/>
  <c r="H231" i="4"/>
  <c r="G235" i="4"/>
  <c r="H236" i="4"/>
  <c r="H235" i="4" s="1"/>
  <c r="G305" i="4"/>
  <c r="G299" i="4" s="1"/>
  <c r="H306" i="4"/>
  <c r="H305" i="4" s="1"/>
  <c r="G477" i="4"/>
  <c r="H478" i="4"/>
  <c r="H633" i="4"/>
  <c r="H624" i="4" s="1"/>
  <c r="G624" i="4"/>
  <c r="G645" i="4"/>
  <c r="H646" i="4"/>
  <c r="H645" i="4" s="1"/>
  <c r="N15" i="5"/>
  <c r="K62" i="5"/>
  <c r="R15" i="5"/>
  <c r="R16" i="5"/>
  <c r="P16" i="5"/>
  <c r="N16" i="5"/>
  <c r="P18" i="5"/>
  <c r="N18" i="5"/>
  <c r="P20" i="5"/>
  <c r="N20" i="5"/>
  <c r="P41" i="5"/>
  <c r="R41" i="5"/>
  <c r="N41" i="5"/>
  <c r="P60" i="5"/>
  <c r="N60" i="5"/>
  <c r="R60" i="5"/>
  <c r="E17" i="6"/>
  <c r="M17" i="6" s="1"/>
  <c r="D25" i="6"/>
  <c r="L25" i="6" s="1"/>
  <c r="D29" i="6"/>
  <c r="L29" i="6" s="1"/>
  <c r="F50" i="6"/>
  <c r="N50" i="6" s="1"/>
  <c r="D68" i="6"/>
  <c r="L68" i="6" s="1"/>
  <c r="D38" i="1"/>
  <c r="H40" i="1" s="1"/>
  <c r="F80" i="1"/>
  <c r="F82" i="1" s="1"/>
  <c r="E89" i="1"/>
  <c r="H91" i="1" s="1"/>
  <c r="G95" i="1"/>
  <c r="G97" i="1" s="1"/>
  <c r="I97" i="1" s="1"/>
  <c r="J97" i="1" s="1"/>
  <c r="F208" i="1"/>
  <c r="F210" i="1" s="1"/>
  <c r="H210" i="1"/>
  <c r="M8" i="2"/>
  <c r="N8" i="2" s="1"/>
  <c r="L20" i="2"/>
  <c r="N20" i="2" s="1"/>
  <c r="N42" i="2"/>
  <c r="E10" i="6"/>
  <c r="M10" i="6" s="1"/>
  <c r="D17" i="8"/>
  <c r="G17" i="8" s="1"/>
  <c r="R9" i="3"/>
  <c r="N11" i="3"/>
  <c r="D20" i="8"/>
  <c r="G20" i="8" s="1"/>
  <c r="E13" i="6"/>
  <c r="M13" i="6" s="1"/>
  <c r="R12" i="3"/>
  <c r="C21" i="8"/>
  <c r="F21" i="8" s="1"/>
  <c r="D14" i="6"/>
  <c r="L14" i="6" s="1"/>
  <c r="Q13" i="3"/>
  <c r="E23" i="8"/>
  <c r="H23" i="8" s="1"/>
  <c r="F16" i="6"/>
  <c r="N16" i="6" s="1"/>
  <c r="S15" i="3"/>
  <c r="E24" i="8"/>
  <c r="H24" i="8" s="1"/>
  <c r="F17" i="6"/>
  <c r="N17" i="6" s="1"/>
  <c r="C26" i="8"/>
  <c r="F26" i="8" s="1"/>
  <c r="D19" i="6"/>
  <c r="L19" i="6" s="1"/>
  <c r="R18" i="3"/>
  <c r="D27" i="8"/>
  <c r="G27" i="8" s="1"/>
  <c r="E20" i="6"/>
  <c r="M20" i="6" s="1"/>
  <c r="S19" i="3"/>
  <c r="R20" i="3"/>
  <c r="N22" i="3"/>
  <c r="R23" i="3"/>
  <c r="Q24" i="3"/>
  <c r="E34" i="8"/>
  <c r="H34" i="8" s="1"/>
  <c r="F27" i="6"/>
  <c r="N27" i="6" s="1"/>
  <c r="S26" i="3"/>
  <c r="E35" i="8"/>
  <c r="H35" i="8" s="1"/>
  <c r="F28" i="6"/>
  <c r="N28" i="6" s="1"/>
  <c r="S27" i="3"/>
  <c r="D37" i="8"/>
  <c r="G37" i="8" s="1"/>
  <c r="E30" i="6"/>
  <c r="M30" i="6" s="1"/>
  <c r="Q32" i="3"/>
  <c r="C41" i="8"/>
  <c r="F41" i="8" s="1"/>
  <c r="D34" i="6"/>
  <c r="L34" i="6" s="1"/>
  <c r="Q33" i="3"/>
  <c r="C43" i="8"/>
  <c r="F43" i="8" s="1"/>
  <c r="D36" i="6"/>
  <c r="L36" i="6" s="1"/>
  <c r="D48" i="8"/>
  <c r="G48" i="8" s="1"/>
  <c r="E41" i="6"/>
  <c r="M41" i="6" s="1"/>
  <c r="E49" i="8"/>
  <c r="H49" i="8" s="1"/>
  <c r="F42" i="6"/>
  <c r="N42" i="6" s="1"/>
  <c r="D51" i="8"/>
  <c r="G51" i="8" s="1"/>
  <c r="E44" i="6"/>
  <c r="M44" i="6" s="1"/>
  <c r="S43" i="3"/>
  <c r="D55" i="8"/>
  <c r="G55" i="8" s="1"/>
  <c r="E48" i="6"/>
  <c r="M48" i="6" s="1"/>
  <c r="N54" i="3"/>
  <c r="D56" i="8"/>
  <c r="G56" i="8" s="1"/>
  <c r="E49" i="6"/>
  <c r="M49" i="6" s="1"/>
  <c r="N55" i="3"/>
  <c r="R48" i="3"/>
  <c r="D58" i="8"/>
  <c r="G58" i="8" s="1"/>
  <c r="E51" i="6"/>
  <c r="M51" i="6" s="1"/>
  <c r="E59" i="8"/>
  <c r="H59" i="8" s="1"/>
  <c r="F52" i="6"/>
  <c r="N52" i="6" s="1"/>
  <c r="M55" i="3"/>
  <c r="E69" i="8"/>
  <c r="H69" i="8" s="1"/>
  <c r="F62" i="6"/>
  <c r="N62" i="6" s="1"/>
  <c r="O67" i="3"/>
  <c r="E63" i="6"/>
  <c r="M63" i="6" s="1"/>
  <c r="D70" i="8"/>
  <c r="G70" i="8" s="1"/>
  <c r="D72" i="8"/>
  <c r="G72" i="8" s="1"/>
  <c r="E65" i="6"/>
  <c r="M65" i="6" s="1"/>
  <c r="R64" i="3"/>
  <c r="R67" i="3"/>
  <c r="G12" i="4"/>
  <c r="H19" i="4"/>
  <c r="H40" i="4"/>
  <c r="H59" i="4"/>
  <c r="D111" i="4"/>
  <c r="H120" i="4"/>
  <c r="H141" i="4"/>
  <c r="H149" i="4"/>
  <c r="H163" i="4"/>
  <c r="H184" i="4"/>
  <c r="H203" i="4"/>
  <c r="D255" i="4"/>
  <c r="H264" i="4"/>
  <c r="H285" i="4"/>
  <c r="G333" i="4"/>
  <c r="G327" i="4" s="1"/>
  <c r="H334" i="4"/>
  <c r="H347" i="4"/>
  <c r="G371" i="4"/>
  <c r="G491" i="4"/>
  <c r="P15" i="5"/>
  <c r="R18" i="5"/>
  <c r="R20" i="5"/>
  <c r="R21" i="5"/>
  <c r="P21" i="5"/>
  <c r="N21" i="5"/>
  <c r="N24" i="5"/>
  <c r="R24" i="5"/>
  <c r="R25" i="5"/>
  <c r="P25" i="5"/>
  <c r="N25" i="5"/>
  <c r="N28" i="5"/>
  <c r="R28" i="5"/>
  <c r="R29" i="5"/>
  <c r="P29" i="5"/>
  <c r="N29" i="5"/>
  <c r="N32" i="5"/>
  <c r="R32" i="5"/>
  <c r="R33" i="5"/>
  <c r="P33" i="5"/>
  <c r="N33" i="5"/>
  <c r="N36" i="5"/>
  <c r="R36" i="5"/>
  <c r="R37" i="5"/>
  <c r="P37" i="5"/>
  <c r="N37" i="5"/>
  <c r="N40" i="5"/>
  <c r="R40" i="5"/>
  <c r="N43" i="5"/>
  <c r="R43" i="5"/>
  <c r="P43" i="5"/>
  <c r="P48" i="5"/>
  <c r="N48" i="5"/>
  <c r="P52" i="5"/>
  <c r="N52" i="5"/>
  <c r="R52" i="5"/>
  <c r="P58" i="5"/>
  <c r="N58" i="5"/>
  <c r="R58" i="5"/>
  <c r="E19" i="6"/>
  <c r="M19" i="6" s="1"/>
  <c r="E27" i="8"/>
  <c r="H27" i="8" s="1"/>
  <c r="D28" i="8"/>
  <c r="G28" i="8" s="1"/>
  <c r="E33" i="8"/>
  <c r="H33" i="8" s="1"/>
  <c r="E35" i="1"/>
  <c r="E37" i="1" s="1"/>
  <c r="E61" i="1"/>
  <c r="E63" i="1" s="1"/>
  <c r="G77" i="1"/>
  <c r="G79" i="1" s="1"/>
  <c r="G119" i="1" s="1"/>
  <c r="E92" i="1"/>
  <c r="E123" i="1"/>
  <c r="M20" i="2"/>
  <c r="F10" i="6"/>
  <c r="N10" i="6" s="1"/>
  <c r="E17" i="8"/>
  <c r="H17" i="8" s="1"/>
  <c r="S9" i="3"/>
  <c r="O11" i="3"/>
  <c r="E20" i="8"/>
  <c r="H20" i="8" s="1"/>
  <c r="F13" i="6"/>
  <c r="N13" i="6" s="1"/>
  <c r="S12" i="3"/>
  <c r="D21" i="8"/>
  <c r="G21" i="8" s="1"/>
  <c r="E14" i="6"/>
  <c r="M14" i="6" s="1"/>
  <c r="R13" i="3"/>
  <c r="C22" i="8"/>
  <c r="F22" i="8" s="1"/>
  <c r="D15" i="6"/>
  <c r="L15" i="6" s="1"/>
  <c r="Q14" i="3"/>
  <c r="P15" i="3"/>
  <c r="C25" i="8"/>
  <c r="F25" i="8" s="1"/>
  <c r="D18" i="6"/>
  <c r="L18" i="6" s="1"/>
  <c r="E28" i="8"/>
  <c r="H28" i="8" s="1"/>
  <c r="F21" i="6"/>
  <c r="N21" i="6" s="1"/>
  <c r="S20" i="3"/>
  <c r="O22" i="3"/>
  <c r="E31" i="8"/>
  <c r="H31" i="8" s="1"/>
  <c r="F24" i="6"/>
  <c r="N24" i="6" s="1"/>
  <c r="S23" i="3"/>
  <c r="D32" i="8"/>
  <c r="G32" i="8" s="1"/>
  <c r="E25" i="6"/>
  <c r="M25" i="6" s="1"/>
  <c r="R24" i="3"/>
  <c r="C33" i="8"/>
  <c r="F33" i="8" s="1"/>
  <c r="D26" i="6"/>
  <c r="L26" i="6" s="1"/>
  <c r="Q25" i="3"/>
  <c r="P26" i="3"/>
  <c r="D36" i="8"/>
  <c r="G36" i="8" s="1"/>
  <c r="E29" i="6"/>
  <c r="M29" i="6" s="1"/>
  <c r="F30" i="6"/>
  <c r="N30" i="6" s="1"/>
  <c r="E37" i="8"/>
  <c r="H37" i="8" s="1"/>
  <c r="S30" i="3"/>
  <c r="E39" i="8"/>
  <c r="H39" i="8" s="1"/>
  <c r="F32" i="6"/>
  <c r="N32" i="6" s="1"/>
  <c r="S31" i="3"/>
  <c r="D41" i="8"/>
  <c r="G41" i="8" s="1"/>
  <c r="E34" i="6"/>
  <c r="M34" i="6" s="1"/>
  <c r="P37" i="3"/>
  <c r="P38" i="3"/>
  <c r="C47" i="8"/>
  <c r="F47" i="8" s="1"/>
  <c r="D40" i="6"/>
  <c r="L40" i="6" s="1"/>
  <c r="R41" i="3"/>
  <c r="D50" i="8"/>
  <c r="G50" i="8" s="1"/>
  <c r="R42" i="3"/>
  <c r="E43" i="6"/>
  <c r="M43" i="6" s="1"/>
  <c r="S45" i="3"/>
  <c r="D54" i="8"/>
  <c r="G54" i="8" s="1"/>
  <c r="E47" i="6"/>
  <c r="M47" i="6" s="1"/>
  <c r="E55" i="8"/>
  <c r="H55" i="8" s="1"/>
  <c r="F48" i="6"/>
  <c r="N48" i="6" s="1"/>
  <c r="E57" i="8"/>
  <c r="H57" i="8" s="1"/>
  <c r="O56" i="3"/>
  <c r="E58" i="8"/>
  <c r="H58" i="8" s="1"/>
  <c r="F51" i="6"/>
  <c r="N51" i="6" s="1"/>
  <c r="O57" i="3"/>
  <c r="R51" i="3"/>
  <c r="N53" i="3"/>
  <c r="O54" i="3"/>
  <c r="M56" i="3"/>
  <c r="G19" i="4"/>
  <c r="G40" i="4"/>
  <c r="G112" i="4"/>
  <c r="H113" i="4"/>
  <c r="H112" i="4" s="1"/>
  <c r="G120" i="4"/>
  <c r="G141" i="4"/>
  <c r="G163" i="4"/>
  <c r="G184" i="4"/>
  <c r="G256" i="4"/>
  <c r="G255" i="4" s="1"/>
  <c r="H257" i="4"/>
  <c r="H256" i="4" s="1"/>
  <c r="G264" i="4"/>
  <c r="G285" i="4"/>
  <c r="G347" i="4"/>
  <c r="G419" i="4"/>
  <c r="G399" i="4" s="1"/>
  <c r="H420" i="4"/>
  <c r="H419" i="4" s="1"/>
  <c r="G509" i="4"/>
  <c r="H510" i="4"/>
  <c r="H509" i="4" s="1"/>
  <c r="G563" i="4"/>
  <c r="G543" i="4" s="1"/>
  <c r="G584" i="4" s="1"/>
  <c r="H564" i="4"/>
  <c r="H563" i="4" s="1"/>
  <c r="G593" i="4"/>
  <c r="G587" i="4" s="1"/>
  <c r="H594" i="4"/>
  <c r="H593" i="4" s="1"/>
  <c r="H635" i="4"/>
  <c r="N45" i="5"/>
  <c r="P45" i="5"/>
  <c r="P50" i="5"/>
  <c r="N50" i="5"/>
  <c r="R50" i="5"/>
  <c r="P56" i="5"/>
  <c r="N56" i="5"/>
  <c r="R56" i="5"/>
  <c r="F35" i="6"/>
  <c r="N35" i="6" s="1"/>
  <c r="D37" i="6"/>
  <c r="L37" i="6" s="1"/>
  <c r="F47" i="1"/>
  <c r="F49" i="1" s="1"/>
  <c r="I49" i="1" s="1"/>
  <c r="J49" i="1" s="1"/>
  <c r="O4" i="14"/>
  <c r="F44" i="1"/>
  <c r="F46" i="1" s="1"/>
  <c r="I46" i="1" s="1"/>
  <c r="J46" i="1" s="1"/>
  <c r="D74" i="1"/>
  <c r="D76" i="1" s="1"/>
  <c r="I76" i="1" s="1"/>
  <c r="F113" i="1"/>
  <c r="F115" i="1" s="1"/>
  <c r="I115" i="1" s="1"/>
  <c r="J115" i="1" s="1"/>
  <c r="F116" i="1"/>
  <c r="F118" i="1" s="1"/>
  <c r="I118" i="1" s="1"/>
  <c r="J118" i="1" s="1"/>
  <c r="G120" i="1"/>
  <c r="G122" i="1" s="1"/>
  <c r="D144" i="1"/>
  <c r="D146" i="1" s="1"/>
  <c r="L9" i="3"/>
  <c r="L12" i="3"/>
  <c r="E21" i="8"/>
  <c r="H21" i="8" s="1"/>
  <c r="F14" i="6"/>
  <c r="N14" i="6" s="1"/>
  <c r="S13" i="3"/>
  <c r="D22" i="8"/>
  <c r="G22" i="8" s="1"/>
  <c r="E15" i="6"/>
  <c r="M15" i="6" s="1"/>
  <c r="R14" i="3"/>
  <c r="C23" i="8"/>
  <c r="F23" i="8" s="1"/>
  <c r="D16" i="6"/>
  <c r="L16" i="6" s="1"/>
  <c r="Q15" i="3"/>
  <c r="C24" i="8"/>
  <c r="F24" i="8" s="1"/>
  <c r="D17" i="6"/>
  <c r="L17" i="6" s="1"/>
  <c r="R16" i="3"/>
  <c r="D25" i="8"/>
  <c r="G25" i="8" s="1"/>
  <c r="E18" i="6"/>
  <c r="M18" i="6" s="1"/>
  <c r="S17" i="3"/>
  <c r="E26" i="8"/>
  <c r="H26" i="8" s="1"/>
  <c r="F19" i="6"/>
  <c r="N19" i="6" s="1"/>
  <c r="Q19" i="3"/>
  <c r="L20" i="3"/>
  <c r="L23" i="3"/>
  <c r="F25" i="6"/>
  <c r="N25" i="6" s="1"/>
  <c r="E32" i="8"/>
  <c r="H32" i="8" s="1"/>
  <c r="S24" i="3"/>
  <c r="D33" i="8"/>
  <c r="G33" i="8" s="1"/>
  <c r="E26" i="6"/>
  <c r="M26" i="6" s="1"/>
  <c r="R25" i="3"/>
  <c r="C34" i="8"/>
  <c r="F34" i="8" s="1"/>
  <c r="D27" i="6"/>
  <c r="L27" i="6" s="1"/>
  <c r="Q26" i="3"/>
  <c r="C35" i="8"/>
  <c r="F35" i="8" s="1"/>
  <c r="D28" i="6"/>
  <c r="L28" i="6" s="1"/>
  <c r="R27" i="3"/>
  <c r="R29" i="3"/>
  <c r="D38" i="8"/>
  <c r="G38" i="8" s="1"/>
  <c r="E31" i="6"/>
  <c r="M31" i="6" s="1"/>
  <c r="R30" i="3"/>
  <c r="Q31" i="3"/>
  <c r="D40" i="8"/>
  <c r="G40" i="8" s="1"/>
  <c r="E33" i="6"/>
  <c r="M33" i="6" s="1"/>
  <c r="F34" i="6"/>
  <c r="N34" i="6" s="1"/>
  <c r="E41" i="8"/>
  <c r="H41" i="8" s="1"/>
  <c r="S34" i="3"/>
  <c r="E43" i="8"/>
  <c r="H43" i="8" s="1"/>
  <c r="F36" i="6"/>
  <c r="N36" i="6" s="1"/>
  <c r="S35" i="3"/>
  <c r="R36" i="3"/>
  <c r="C45" i="8"/>
  <c r="F45" i="8" s="1"/>
  <c r="D38" i="6"/>
  <c r="L38" i="6" s="1"/>
  <c r="Q37" i="3"/>
  <c r="C46" i="8"/>
  <c r="F46" i="8" s="1"/>
  <c r="D39" i="6"/>
  <c r="L39" i="6" s="1"/>
  <c r="Q38" i="3"/>
  <c r="Q40" i="3"/>
  <c r="D42" i="6"/>
  <c r="L42" i="6" s="1"/>
  <c r="Q41" i="3"/>
  <c r="S41" i="3"/>
  <c r="E50" i="8"/>
  <c r="H50" i="8" s="1"/>
  <c r="F43" i="6"/>
  <c r="N43" i="6" s="1"/>
  <c r="P43" i="3"/>
  <c r="N45" i="3"/>
  <c r="E54" i="8"/>
  <c r="H54" i="8" s="1"/>
  <c r="F47" i="6"/>
  <c r="N47" i="6" s="1"/>
  <c r="Q47" i="3"/>
  <c r="L48" i="3"/>
  <c r="L49" i="3"/>
  <c r="P50" i="3"/>
  <c r="S51" i="3"/>
  <c r="O53" i="3"/>
  <c r="N57" i="3"/>
  <c r="E59" i="6"/>
  <c r="M59" i="6" s="1"/>
  <c r="D66" i="8"/>
  <c r="G66" i="8" s="1"/>
  <c r="C67" i="8"/>
  <c r="F67" i="8" s="1"/>
  <c r="D60" i="6"/>
  <c r="L60" i="6" s="1"/>
  <c r="L59" i="3"/>
  <c r="M65" i="3"/>
  <c r="R62" i="3"/>
  <c r="G48" i="4"/>
  <c r="H49" i="4"/>
  <c r="H48" i="4" s="1"/>
  <c r="G69" i="4"/>
  <c r="H70" i="4"/>
  <c r="H117" i="4"/>
  <c r="G156" i="4"/>
  <c r="G155" i="4" s="1"/>
  <c r="G192" i="4"/>
  <c r="H193" i="4"/>
  <c r="H192" i="4" s="1"/>
  <c r="G213" i="4"/>
  <c r="H214" i="4"/>
  <c r="H213" i="4" s="1"/>
  <c r="H261" i="4"/>
  <c r="H336" i="4"/>
  <c r="G365" i="4"/>
  <c r="H366" i="4"/>
  <c r="H365" i="4" s="1"/>
  <c r="H379" i="4"/>
  <c r="G449" i="4"/>
  <c r="G443" i="4" s="1"/>
  <c r="H450" i="4"/>
  <c r="H449" i="4" s="1"/>
  <c r="D471" i="4"/>
  <c r="H501" i="4"/>
  <c r="H523" i="4"/>
  <c r="G621" i="4"/>
  <c r="G615" i="4" s="1"/>
  <c r="H622" i="4"/>
  <c r="N22" i="5"/>
  <c r="R22" i="5"/>
  <c r="R23" i="5"/>
  <c r="P23" i="5"/>
  <c r="N23" i="5"/>
  <c r="N26" i="5"/>
  <c r="R26" i="5"/>
  <c r="R27" i="5"/>
  <c r="P27" i="5"/>
  <c r="N27" i="5"/>
  <c r="N30" i="5"/>
  <c r="R30" i="5"/>
  <c r="R31" i="5"/>
  <c r="P31" i="5"/>
  <c r="N31" i="5"/>
  <c r="N34" i="5"/>
  <c r="R34" i="5"/>
  <c r="R35" i="5"/>
  <c r="P35" i="5"/>
  <c r="N35" i="5"/>
  <c r="N38" i="5"/>
  <c r="R38" i="5"/>
  <c r="R39" i="5"/>
  <c r="P39" i="5"/>
  <c r="N39" i="5"/>
  <c r="R45" i="5"/>
  <c r="R47" i="5"/>
  <c r="P47" i="5"/>
  <c r="N47" i="5"/>
  <c r="D10" i="6"/>
  <c r="L10" i="6" s="1"/>
  <c r="E16" i="6"/>
  <c r="M16" i="6" s="1"/>
  <c r="E24" i="6"/>
  <c r="M24" i="6" s="1"/>
  <c r="F31" i="6"/>
  <c r="N31" i="6" s="1"/>
  <c r="D33" i="6"/>
  <c r="L33" i="6" s="1"/>
  <c r="F44" i="6"/>
  <c r="N44" i="6" s="1"/>
  <c r="C59" i="6"/>
  <c r="K59" i="6" s="1"/>
  <c r="C44" i="11"/>
  <c r="N44" i="11"/>
  <c r="E44" i="11"/>
  <c r="D44" i="11"/>
  <c r="D229" i="4"/>
  <c r="L99" i="7"/>
  <c r="N55" i="11" s="1"/>
  <c r="K99" i="7"/>
  <c r="E66" i="8"/>
  <c r="H66" i="8" s="1"/>
  <c r="F59" i="6"/>
  <c r="N59" i="6" s="1"/>
  <c r="S58" i="3"/>
  <c r="E60" i="6"/>
  <c r="M60" i="6" s="1"/>
  <c r="D67" i="8"/>
  <c r="G67" i="8" s="1"/>
  <c r="R59" i="3"/>
  <c r="C68" i="8"/>
  <c r="F68" i="8" s="1"/>
  <c r="D61" i="6"/>
  <c r="L61" i="6" s="1"/>
  <c r="Q60" i="3"/>
  <c r="P61" i="3"/>
  <c r="E70" i="8"/>
  <c r="H70" i="8" s="1"/>
  <c r="F63" i="6"/>
  <c r="N63" i="6" s="1"/>
  <c r="S62" i="3"/>
  <c r="O64" i="3"/>
  <c r="M66" i="3"/>
  <c r="D47" i="6"/>
  <c r="L47" i="6" s="1"/>
  <c r="D52" i="6"/>
  <c r="L52" i="6" s="1"/>
  <c r="E57" i="6"/>
  <c r="M57" i="6" s="1"/>
  <c r="M98" i="11"/>
  <c r="I98" i="11"/>
  <c r="E98" i="11"/>
  <c r="L98" i="11"/>
  <c r="H98" i="11"/>
  <c r="D98" i="11"/>
  <c r="K98" i="11"/>
  <c r="G98" i="11"/>
  <c r="C98" i="11"/>
  <c r="N98" i="11"/>
  <c r="J98" i="11"/>
  <c r="F98" i="11"/>
  <c r="M165" i="7"/>
  <c r="D589" i="4" s="1"/>
  <c r="E36" i="8"/>
  <c r="H36" i="8" s="1"/>
  <c r="F29" i="6"/>
  <c r="N29" i="6" s="1"/>
  <c r="C38" i="8"/>
  <c r="F38" i="8" s="1"/>
  <c r="D31" i="6"/>
  <c r="L31" i="6" s="1"/>
  <c r="E40" i="8"/>
  <c r="H40" i="8" s="1"/>
  <c r="F33" i="6"/>
  <c r="N33" i="6" s="1"/>
  <c r="C42" i="8"/>
  <c r="F42" i="8" s="1"/>
  <c r="D35" i="6"/>
  <c r="L35" i="6" s="1"/>
  <c r="E44" i="8"/>
  <c r="H44" i="8" s="1"/>
  <c r="F37" i="6"/>
  <c r="N37" i="6" s="1"/>
  <c r="S37" i="3"/>
  <c r="R38" i="3"/>
  <c r="E48" i="8"/>
  <c r="H48" i="8" s="1"/>
  <c r="F41" i="6"/>
  <c r="N41" i="6" s="1"/>
  <c r="C51" i="8"/>
  <c r="F51" i="8" s="1"/>
  <c r="D44" i="6"/>
  <c r="L44" i="6" s="1"/>
  <c r="Q43" i="3"/>
  <c r="M45" i="3"/>
  <c r="Q46" i="3"/>
  <c r="S48" i="3"/>
  <c r="R49" i="3"/>
  <c r="Q50" i="3"/>
  <c r="L51" i="3"/>
  <c r="S59" i="3"/>
  <c r="R60" i="3"/>
  <c r="Q61" i="3"/>
  <c r="N66" i="3"/>
  <c r="H18" i="4"/>
  <c r="H17" i="4" s="1"/>
  <c r="H46" i="4"/>
  <c r="H78" i="4"/>
  <c r="H77" i="4" s="1"/>
  <c r="H132" i="4"/>
  <c r="H131" i="4" s="1"/>
  <c r="H162" i="4"/>
  <c r="H161" i="4" s="1"/>
  <c r="H190" i="4"/>
  <c r="H222" i="4"/>
  <c r="H221" i="4" s="1"/>
  <c r="H276" i="4"/>
  <c r="H275" i="4" s="1"/>
  <c r="H303" i="4"/>
  <c r="H308" i="4"/>
  <c r="H307" i="4" s="1"/>
  <c r="H329" i="4"/>
  <c r="H328" i="4" s="1"/>
  <c r="H409" i="4"/>
  <c r="H408" i="4" s="1"/>
  <c r="H399" i="4" s="1"/>
  <c r="H430" i="4"/>
  <c r="H429" i="4" s="1"/>
  <c r="D444" i="4"/>
  <c r="D443" i="4" s="1"/>
  <c r="H447" i="4"/>
  <c r="H444" i="4" s="1"/>
  <c r="H452" i="4"/>
  <c r="H451" i="4" s="1"/>
  <c r="H473" i="4"/>
  <c r="H472" i="4" s="1"/>
  <c r="H553" i="4"/>
  <c r="H552" i="4" s="1"/>
  <c r="H574" i="4"/>
  <c r="H573" i="4" s="1"/>
  <c r="H591" i="4"/>
  <c r="H596" i="4"/>
  <c r="H595" i="4" s="1"/>
  <c r="H617" i="4"/>
  <c r="H616" i="4" s="1"/>
  <c r="H654" i="4"/>
  <c r="H653" i="4" s="1"/>
  <c r="N44" i="5"/>
  <c r="E32" i="6"/>
  <c r="M32" i="6" s="1"/>
  <c r="E36" i="6"/>
  <c r="M36" i="6" s="1"/>
  <c r="E40" i="6"/>
  <c r="M40" i="6" s="1"/>
  <c r="E61" i="6"/>
  <c r="M61" i="6" s="1"/>
  <c r="M43" i="11"/>
  <c r="Q51" i="3"/>
  <c r="C61" i="8"/>
  <c r="F61" i="8" s="1"/>
  <c r="D54" i="6"/>
  <c r="L54" i="6" s="1"/>
  <c r="E63" i="8"/>
  <c r="H63" i="8" s="1"/>
  <c r="F56" i="6"/>
  <c r="N56" i="6" s="1"/>
  <c r="C65" i="8"/>
  <c r="F65" i="8" s="1"/>
  <c r="D58" i="6"/>
  <c r="L58" i="6" s="1"/>
  <c r="C66" i="8"/>
  <c r="F66" i="8" s="1"/>
  <c r="D59" i="6"/>
  <c r="L59" i="6" s="1"/>
  <c r="Q58" i="3"/>
  <c r="E68" i="8"/>
  <c r="H68" i="8" s="1"/>
  <c r="F61" i="6"/>
  <c r="N61" i="6" s="1"/>
  <c r="S60" i="3"/>
  <c r="D69" i="8"/>
  <c r="G69" i="8" s="1"/>
  <c r="E62" i="6"/>
  <c r="M62" i="6" s="1"/>
  <c r="R61" i="3"/>
  <c r="C70" i="8"/>
  <c r="F70" i="8" s="1"/>
  <c r="D63" i="6"/>
  <c r="L63" i="6" s="1"/>
  <c r="Q62" i="3"/>
  <c r="M64" i="3"/>
  <c r="N65" i="3"/>
  <c r="O66" i="3"/>
  <c r="P44" i="5"/>
  <c r="P54" i="5"/>
  <c r="N54" i="5"/>
  <c r="R61" i="5"/>
  <c r="P61" i="5"/>
  <c r="F38" i="6"/>
  <c r="N38" i="6" s="1"/>
  <c r="E39" i="6"/>
  <c r="M39" i="6" s="1"/>
  <c r="F49" i="6"/>
  <c r="N49" i="6" s="1"/>
  <c r="E50" i="6"/>
  <c r="M50" i="6" s="1"/>
  <c r="F60" i="6"/>
  <c r="N60" i="6" s="1"/>
  <c r="K10" i="11"/>
  <c r="M110" i="7"/>
  <c r="D373" i="4" s="1"/>
  <c r="E22" i="11"/>
  <c r="N22" i="11"/>
  <c r="D22" i="11"/>
  <c r="M22" i="11"/>
  <c r="C22" i="11"/>
  <c r="N66" i="11"/>
  <c r="D66" i="11"/>
  <c r="M66" i="11"/>
  <c r="C66" i="11"/>
  <c r="L66" i="11"/>
  <c r="E66" i="11"/>
  <c r="N88" i="11"/>
  <c r="E88" i="11"/>
  <c r="D88" i="11"/>
  <c r="C88" i="11"/>
  <c r="L22" i="11"/>
  <c r="E11" i="11"/>
  <c r="D11" i="11"/>
  <c r="C11" i="11"/>
  <c r="M33" i="7"/>
  <c r="D85" i="4" s="1"/>
  <c r="K77" i="7"/>
  <c r="K123" i="7"/>
  <c r="K87" i="11"/>
  <c r="G87" i="11"/>
  <c r="C87" i="11"/>
  <c r="N87" i="11"/>
  <c r="J87" i="11"/>
  <c r="F87" i="11"/>
  <c r="M87" i="11"/>
  <c r="I87" i="11"/>
  <c r="E87" i="11"/>
  <c r="L87" i="11"/>
  <c r="H87" i="11"/>
  <c r="N23" i="11"/>
  <c r="O23" i="11" s="1"/>
  <c r="N10" i="11"/>
  <c r="J10" i="11"/>
  <c r="F10" i="11"/>
  <c r="M10" i="11"/>
  <c r="I10" i="11"/>
  <c r="E10" i="11"/>
  <c r="L10" i="11"/>
  <c r="H10" i="11"/>
  <c r="D10" i="11"/>
  <c r="L43" i="11"/>
  <c r="H43" i="11"/>
  <c r="D43" i="11"/>
  <c r="K43" i="11"/>
  <c r="G43" i="11"/>
  <c r="C43" i="11"/>
  <c r="N43" i="11"/>
  <c r="J43" i="11"/>
  <c r="F43" i="11"/>
  <c r="D99" i="11"/>
  <c r="C99" i="11"/>
  <c r="N99" i="11"/>
  <c r="C10" i="11"/>
  <c r="N11" i="11"/>
  <c r="E43" i="11"/>
  <c r="N45" i="11"/>
  <c r="O45" i="11" s="1"/>
  <c r="D87" i="11"/>
  <c r="O78" i="11"/>
  <c r="O65" i="11"/>
  <c r="N78" i="11"/>
  <c r="N100" i="11"/>
  <c r="O100" i="11" s="1"/>
  <c r="D224" i="4" l="1"/>
  <c r="H543" i="4"/>
  <c r="O99" i="11"/>
  <c r="J132" i="1"/>
  <c r="M88" i="7"/>
  <c r="D301" i="4" s="1"/>
  <c r="L55" i="11"/>
  <c r="C55" i="11"/>
  <c r="M55" i="11"/>
  <c r="D55" i="11"/>
  <c r="O55" i="11" s="1"/>
  <c r="E55" i="11"/>
  <c r="D12" i="4"/>
  <c r="D11" i="4" s="1"/>
  <c r="D80" i="4" s="1"/>
  <c r="W80" i="5"/>
  <c r="H155" i="4"/>
  <c r="L35" i="11" s="1"/>
  <c r="I56" i="1"/>
  <c r="I60" i="1" s="1"/>
  <c r="B10" i="1" s="1"/>
  <c r="E60" i="1"/>
  <c r="I82" i="1"/>
  <c r="J82" i="1" s="1"/>
  <c r="F119" i="1"/>
  <c r="L69" i="11"/>
  <c r="H69" i="11"/>
  <c r="D69" i="11"/>
  <c r="K69" i="11"/>
  <c r="G69" i="11"/>
  <c r="C69" i="11"/>
  <c r="N69" i="11"/>
  <c r="J69" i="11"/>
  <c r="F69" i="11"/>
  <c r="I69" i="11"/>
  <c r="E69" i="11"/>
  <c r="M69" i="11"/>
  <c r="G126" i="1"/>
  <c r="I122" i="1"/>
  <c r="L91" i="11"/>
  <c r="H91" i="11"/>
  <c r="D91" i="11"/>
  <c r="K91" i="11"/>
  <c r="G91" i="11"/>
  <c r="C91" i="11"/>
  <c r="N91" i="11"/>
  <c r="J91" i="11"/>
  <c r="F91" i="11"/>
  <c r="E91" i="11"/>
  <c r="M91" i="11"/>
  <c r="I91" i="11"/>
  <c r="H443" i="4"/>
  <c r="E15" i="1"/>
  <c r="I146" i="1"/>
  <c r="I210" i="1"/>
  <c r="J210" i="1" s="1"/>
  <c r="O10" i="11"/>
  <c r="O87" i="11"/>
  <c r="D73" i="8"/>
  <c r="G73" i="8" s="1"/>
  <c r="E66" i="6"/>
  <c r="M66" i="6" s="1"/>
  <c r="R65" i="3"/>
  <c r="F202" i="1"/>
  <c r="F204" i="1" s="1"/>
  <c r="D512" i="4"/>
  <c r="H189" i="4"/>
  <c r="H183" i="4" s="1"/>
  <c r="F11" i="1"/>
  <c r="H45" i="4"/>
  <c r="H39" i="4" s="1"/>
  <c r="F9" i="1"/>
  <c r="H229" i="4"/>
  <c r="H228" i="4" s="1"/>
  <c r="D228" i="4"/>
  <c r="D227" i="4" s="1"/>
  <c r="D296" i="4" s="1"/>
  <c r="O44" i="11"/>
  <c r="H69" i="4"/>
  <c r="H9" i="1"/>
  <c r="H18" i="1" s="1"/>
  <c r="F54" i="6"/>
  <c r="N54" i="6" s="1"/>
  <c r="E61" i="8"/>
  <c r="H61" i="8" s="1"/>
  <c r="G165" i="1"/>
  <c r="G167" i="1" s="1"/>
  <c r="S53" i="3"/>
  <c r="C49" i="6"/>
  <c r="K49" i="6" s="1"/>
  <c r="P48" i="3"/>
  <c r="D150" i="1"/>
  <c r="D53" i="8"/>
  <c r="G53" i="8" s="1"/>
  <c r="E46" i="6"/>
  <c r="M46" i="6" s="1"/>
  <c r="R45" i="3"/>
  <c r="F140" i="1"/>
  <c r="F142" i="1" s="1"/>
  <c r="F143" i="1" s="1"/>
  <c r="C24" i="6"/>
  <c r="K24" i="6" s="1"/>
  <c r="P23" i="3"/>
  <c r="D71" i="1"/>
  <c r="P12" i="3"/>
  <c r="C13" i="6"/>
  <c r="K13" i="6" s="1"/>
  <c r="D35" i="1"/>
  <c r="D37" i="1" s="1"/>
  <c r="I37" i="1" s="1"/>
  <c r="H111" i="4"/>
  <c r="C64" i="8"/>
  <c r="F64" i="8" s="1"/>
  <c r="D57" i="6"/>
  <c r="L57" i="6" s="1"/>
  <c r="Q56" i="3"/>
  <c r="E174" i="1"/>
  <c r="F58" i="6"/>
  <c r="N58" i="6" s="1"/>
  <c r="E65" i="8"/>
  <c r="H65" i="8" s="1"/>
  <c r="G177" i="1"/>
  <c r="G179" i="1" s="1"/>
  <c r="S57" i="3"/>
  <c r="H94" i="1"/>
  <c r="E94" i="1"/>
  <c r="I94" i="1" s="1"/>
  <c r="G440" i="4"/>
  <c r="C63" i="8"/>
  <c r="F63" i="8" s="1"/>
  <c r="D56" i="6"/>
  <c r="L56" i="6" s="1"/>
  <c r="Q55" i="3"/>
  <c r="E171" i="1"/>
  <c r="H11" i="4"/>
  <c r="E9" i="1"/>
  <c r="P47" i="3"/>
  <c r="C48" i="6"/>
  <c r="K48" i="6" s="1"/>
  <c r="D147" i="1"/>
  <c r="H133" i="1"/>
  <c r="C14" i="1" s="1"/>
  <c r="E91" i="1"/>
  <c r="I91" i="1" s="1"/>
  <c r="J91" i="1" s="1"/>
  <c r="E133" i="1"/>
  <c r="H76" i="1"/>
  <c r="J76" i="1" s="1"/>
  <c r="O66" i="11"/>
  <c r="O22" i="11"/>
  <c r="C72" i="8"/>
  <c r="F72" i="8" s="1"/>
  <c r="D65" i="6"/>
  <c r="L65" i="6" s="1"/>
  <c r="Q64" i="3"/>
  <c r="E199" i="1"/>
  <c r="H589" i="4"/>
  <c r="H588" i="4" s="1"/>
  <c r="D588" i="4"/>
  <c r="D587" i="4" s="1"/>
  <c r="D656" i="4" s="1"/>
  <c r="O98" i="11"/>
  <c r="M188" i="7"/>
  <c r="H621" i="4"/>
  <c r="H615" i="4" s="1"/>
  <c r="F17" i="1"/>
  <c r="C73" i="8"/>
  <c r="F73" i="8" s="1"/>
  <c r="Q65" i="3"/>
  <c r="D66" i="6"/>
  <c r="L66" i="6" s="1"/>
  <c r="E202" i="1"/>
  <c r="C21" i="6"/>
  <c r="K21" i="6" s="1"/>
  <c r="P20" i="3"/>
  <c r="D61" i="1"/>
  <c r="D63" i="1" s="1"/>
  <c r="C10" i="6"/>
  <c r="K10" i="6" s="1"/>
  <c r="P9" i="3"/>
  <c r="D26" i="1"/>
  <c r="H255" i="4"/>
  <c r="G111" i="4"/>
  <c r="F55" i="6"/>
  <c r="N55" i="6" s="1"/>
  <c r="S54" i="3"/>
  <c r="E62" i="8"/>
  <c r="H62" i="8" s="1"/>
  <c r="G168" i="1"/>
  <c r="G170" i="1" s="1"/>
  <c r="E75" i="8"/>
  <c r="H75" i="8" s="1"/>
  <c r="F68" i="6"/>
  <c r="N68" i="6" s="1"/>
  <c r="S67" i="3"/>
  <c r="G208" i="1"/>
  <c r="G210" i="1" s="1"/>
  <c r="D62" i="8"/>
  <c r="G62" i="8" s="1"/>
  <c r="E55" i="6"/>
  <c r="M55" i="6" s="1"/>
  <c r="R54" i="3"/>
  <c r="F168" i="1"/>
  <c r="F170" i="1" s="1"/>
  <c r="N62" i="5"/>
  <c r="H477" i="4"/>
  <c r="H471" i="4" s="1"/>
  <c r="F15" i="1"/>
  <c r="G368" i="4"/>
  <c r="G296" i="4"/>
  <c r="G152" i="4"/>
  <c r="C62" i="8"/>
  <c r="F62" i="8" s="1"/>
  <c r="D55" i="6"/>
  <c r="L55" i="6" s="1"/>
  <c r="Q54" i="3"/>
  <c r="E168" i="1"/>
  <c r="C30" i="8"/>
  <c r="F30" i="8" s="1"/>
  <c r="D23" i="6"/>
  <c r="L23" i="6" s="1"/>
  <c r="Q22" i="3"/>
  <c r="E67" i="1"/>
  <c r="C19" i="8"/>
  <c r="F19" i="8" s="1"/>
  <c r="D12" i="6"/>
  <c r="L12" i="6" s="1"/>
  <c r="Q11" i="3"/>
  <c r="E32" i="1"/>
  <c r="D40" i="1"/>
  <c r="I40" i="1" s="1"/>
  <c r="J40" i="1" s="1"/>
  <c r="D79" i="1"/>
  <c r="I79" i="1" s="1"/>
  <c r="J79" i="1" s="1"/>
  <c r="H85" i="4"/>
  <c r="H84" i="4" s="1"/>
  <c r="D84" i="4"/>
  <c r="D83" i="4" s="1"/>
  <c r="D152" i="4" s="1"/>
  <c r="H373" i="4"/>
  <c r="H372" i="4" s="1"/>
  <c r="D372" i="4"/>
  <c r="D371" i="4" s="1"/>
  <c r="D440" i="4" s="1"/>
  <c r="K79" i="11"/>
  <c r="G79" i="11"/>
  <c r="C79" i="11"/>
  <c r="N79" i="11"/>
  <c r="J79" i="11"/>
  <c r="F79" i="11"/>
  <c r="M79" i="11"/>
  <c r="I79" i="11"/>
  <c r="E79" i="11"/>
  <c r="D79" i="11"/>
  <c r="L79" i="11"/>
  <c r="H79" i="11"/>
  <c r="D74" i="8"/>
  <c r="G74" i="8" s="1"/>
  <c r="E67" i="6"/>
  <c r="M67" i="6" s="1"/>
  <c r="R66" i="3"/>
  <c r="F205" i="1"/>
  <c r="F207" i="1" s="1"/>
  <c r="P51" i="3"/>
  <c r="C52" i="6"/>
  <c r="K52" i="6" s="1"/>
  <c r="D159" i="1"/>
  <c r="H301" i="4"/>
  <c r="H300" i="4" s="1"/>
  <c r="D300" i="4"/>
  <c r="D299" i="4" s="1"/>
  <c r="D368" i="4" s="1"/>
  <c r="C74" i="8"/>
  <c r="F74" i="8" s="1"/>
  <c r="D67" i="6"/>
  <c r="L67" i="6" s="1"/>
  <c r="E205" i="1"/>
  <c r="Q66" i="3"/>
  <c r="C60" i="6"/>
  <c r="K60" i="6" s="1"/>
  <c r="P59" i="3"/>
  <c r="D184" i="1"/>
  <c r="G39" i="4"/>
  <c r="D61" i="8"/>
  <c r="G61" i="8" s="1"/>
  <c r="E54" i="6"/>
  <c r="M54" i="6" s="1"/>
  <c r="R53" i="3"/>
  <c r="F165" i="1"/>
  <c r="F167" i="1" s="1"/>
  <c r="E30" i="8"/>
  <c r="H30" i="8" s="1"/>
  <c r="F23" i="6"/>
  <c r="N23" i="6" s="1"/>
  <c r="S22" i="3"/>
  <c r="G67" i="1"/>
  <c r="G69" i="1" s="1"/>
  <c r="G70" i="1" s="1"/>
  <c r="E19" i="8"/>
  <c r="H19" i="8" s="1"/>
  <c r="F12" i="6"/>
  <c r="N12" i="6" s="1"/>
  <c r="G32" i="1"/>
  <c r="G34" i="1" s="1"/>
  <c r="G53" i="1" s="1"/>
  <c r="S11" i="3"/>
  <c r="H63" i="1"/>
  <c r="P62" i="5"/>
  <c r="H333" i="4"/>
  <c r="F13" i="1"/>
  <c r="G11" i="4"/>
  <c r="G80" i="4" s="1"/>
  <c r="D63" i="8"/>
  <c r="G63" i="8" s="1"/>
  <c r="E56" i="6"/>
  <c r="M56" i="6" s="1"/>
  <c r="F171" i="1"/>
  <c r="F173" i="1" s="1"/>
  <c r="R55" i="3"/>
  <c r="D19" i="8"/>
  <c r="G19" i="8" s="1"/>
  <c r="E12" i="6"/>
  <c r="M12" i="6" s="1"/>
  <c r="F32" i="1"/>
  <c r="F34" i="1" s="1"/>
  <c r="F53" i="1" s="1"/>
  <c r="R11" i="3"/>
  <c r="G471" i="4"/>
  <c r="G512" i="4" s="1"/>
  <c r="J183" i="1"/>
  <c r="J59" i="1"/>
  <c r="H60" i="1"/>
  <c r="C10" i="1" s="1"/>
  <c r="O43" i="11"/>
  <c r="O11" i="11"/>
  <c r="O88" i="11"/>
  <c r="E74" i="8"/>
  <c r="H74" i="8" s="1"/>
  <c r="F67" i="6"/>
  <c r="N67" i="6" s="1"/>
  <c r="S66" i="3"/>
  <c r="G205" i="1"/>
  <c r="G207" i="1" s="1"/>
  <c r="H327" i="4"/>
  <c r="C53" i="8"/>
  <c r="F53" i="8" s="1"/>
  <c r="D46" i="6"/>
  <c r="L46" i="6" s="1"/>
  <c r="E140" i="1"/>
  <c r="Q45" i="3"/>
  <c r="E72" i="8"/>
  <c r="H72" i="8" s="1"/>
  <c r="F65" i="6"/>
  <c r="N65" i="6" s="1"/>
  <c r="G199" i="1"/>
  <c r="G201" i="1" s="1"/>
  <c r="G211" i="1" s="1"/>
  <c r="S64" i="3"/>
  <c r="M90" i="11"/>
  <c r="I90" i="11"/>
  <c r="E90" i="11"/>
  <c r="L90" i="11"/>
  <c r="H90" i="11"/>
  <c r="D90" i="11"/>
  <c r="K90" i="11"/>
  <c r="G90" i="11"/>
  <c r="C90" i="11"/>
  <c r="N90" i="11"/>
  <c r="J90" i="11"/>
  <c r="F90" i="11"/>
  <c r="D65" i="8"/>
  <c r="G65" i="8" s="1"/>
  <c r="E58" i="6"/>
  <c r="M58" i="6" s="1"/>
  <c r="R57" i="3"/>
  <c r="F177" i="1"/>
  <c r="F179" i="1" s="1"/>
  <c r="I179" i="1" s="1"/>
  <c r="J179" i="1" s="1"/>
  <c r="C50" i="6"/>
  <c r="K50" i="6" s="1"/>
  <c r="P49" i="3"/>
  <c r="D153" i="1"/>
  <c r="G656" i="4"/>
  <c r="H515" i="4"/>
  <c r="H584" i="4" s="1"/>
  <c r="I16" i="1" s="1"/>
  <c r="J16" i="1" s="1"/>
  <c r="G183" i="4"/>
  <c r="G224" i="4" s="1"/>
  <c r="E64" i="8"/>
  <c r="H64" i="8" s="1"/>
  <c r="F57" i="6"/>
  <c r="N57" i="6" s="1"/>
  <c r="S56" i="3"/>
  <c r="G174" i="1"/>
  <c r="G176" i="1" s="1"/>
  <c r="H125" i="1"/>
  <c r="E125" i="1"/>
  <c r="H37" i="1"/>
  <c r="J37" i="1" s="1"/>
  <c r="D30" i="8"/>
  <c r="G30" i="8" s="1"/>
  <c r="F67" i="1"/>
  <c r="F69" i="1" s="1"/>
  <c r="F70" i="1" s="1"/>
  <c r="E23" i="6"/>
  <c r="M23" i="6" s="1"/>
  <c r="R22" i="3"/>
  <c r="R62" i="5"/>
  <c r="H146" i="1"/>
  <c r="J88" i="1"/>
  <c r="J43" i="1"/>
  <c r="J100" i="1"/>
  <c r="J133" i="1"/>
  <c r="I133" i="1"/>
  <c r="B14" i="1" s="1"/>
  <c r="D14" i="1" s="1"/>
  <c r="D35" i="11" l="1"/>
  <c r="E35" i="11"/>
  <c r="N35" i="11"/>
  <c r="I35" i="11"/>
  <c r="C35" i="11"/>
  <c r="H224" i="4"/>
  <c r="I11" i="1" s="1"/>
  <c r="J11" i="1" s="1"/>
  <c r="F35" i="11"/>
  <c r="G35" i="11"/>
  <c r="M35" i="11"/>
  <c r="J35" i="11"/>
  <c r="K35" i="11"/>
  <c r="H35" i="11"/>
  <c r="J56" i="1"/>
  <c r="J60" i="1" s="1"/>
  <c r="D10" i="1"/>
  <c r="L20" i="11" s="1"/>
  <c r="N102" i="11"/>
  <c r="J102" i="11"/>
  <c r="F102" i="11"/>
  <c r="M102" i="11"/>
  <c r="I102" i="11"/>
  <c r="E102" i="11"/>
  <c r="L102" i="11"/>
  <c r="H102" i="11"/>
  <c r="D102" i="11"/>
  <c r="G102" i="11"/>
  <c r="C102" i="11"/>
  <c r="K102" i="11"/>
  <c r="N80" i="11"/>
  <c r="J80" i="11"/>
  <c r="F80" i="11"/>
  <c r="M80" i="11"/>
  <c r="I80" i="11"/>
  <c r="E80" i="11"/>
  <c r="L80" i="11"/>
  <c r="H80" i="11"/>
  <c r="D80" i="11"/>
  <c r="G80" i="11"/>
  <c r="C80" i="11"/>
  <c r="K80" i="11"/>
  <c r="K14" i="11"/>
  <c r="G14" i="11"/>
  <c r="C14" i="11"/>
  <c r="N14" i="11"/>
  <c r="J14" i="11"/>
  <c r="F14" i="11"/>
  <c r="M14" i="11"/>
  <c r="I14" i="11"/>
  <c r="E14" i="11"/>
  <c r="H14" i="11"/>
  <c r="D14" i="11"/>
  <c r="L14" i="11"/>
  <c r="L58" i="11"/>
  <c r="H58" i="11"/>
  <c r="D58" i="11"/>
  <c r="K58" i="11"/>
  <c r="G58" i="11"/>
  <c r="C58" i="11"/>
  <c r="N58" i="11"/>
  <c r="J58" i="11"/>
  <c r="F58" i="11"/>
  <c r="M58" i="11"/>
  <c r="I58" i="11"/>
  <c r="E58" i="11"/>
  <c r="O62" i="5"/>
  <c r="AB15" i="5" s="1"/>
  <c r="AI15" i="5" s="1"/>
  <c r="AJ15" i="5" s="1"/>
  <c r="AC15" i="5"/>
  <c r="E34" i="1"/>
  <c r="H34" i="1"/>
  <c r="H69" i="1"/>
  <c r="E69" i="1"/>
  <c r="E170" i="1"/>
  <c r="H170" i="1"/>
  <c r="M47" i="11"/>
  <c r="I47" i="11"/>
  <c r="E47" i="11"/>
  <c r="L47" i="11"/>
  <c r="H47" i="11"/>
  <c r="D47" i="11"/>
  <c r="K47" i="11"/>
  <c r="G47" i="11"/>
  <c r="C47" i="11"/>
  <c r="N47" i="11"/>
  <c r="J47" i="11"/>
  <c r="F47" i="11"/>
  <c r="D70" i="1"/>
  <c r="I63" i="1"/>
  <c r="J63" i="1" s="1"/>
  <c r="H587" i="4"/>
  <c r="E17" i="1"/>
  <c r="D149" i="1"/>
  <c r="H149" i="1"/>
  <c r="L13" i="11"/>
  <c r="H13" i="11"/>
  <c r="D13" i="11"/>
  <c r="K13" i="11"/>
  <c r="G13" i="11"/>
  <c r="C13" i="11"/>
  <c r="N13" i="11"/>
  <c r="J13" i="11"/>
  <c r="F13" i="11"/>
  <c r="E13" i="11"/>
  <c r="M13" i="11"/>
  <c r="H80" i="4"/>
  <c r="I9" i="1" s="1"/>
  <c r="J9" i="1" s="1"/>
  <c r="I13" i="11"/>
  <c r="J122" i="1"/>
  <c r="O69" i="11"/>
  <c r="H207" i="1"/>
  <c r="E207" i="1"/>
  <c r="I207" i="1" s="1"/>
  <c r="O79" i="11"/>
  <c r="H371" i="4"/>
  <c r="E14" i="1"/>
  <c r="M62" i="5"/>
  <c r="Z15" i="5" s="1"/>
  <c r="AG15" i="5" s="1"/>
  <c r="AH15" i="5" s="1"/>
  <c r="AA15" i="5"/>
  <c r="D28" i="1"/>
  <c r="H28" i="1"/>
  <c r="E119" i="1"/>
  <c r="F211" i="1"/>
  <c r="H299" i="4"/>
  <c r="E13" i="1"/>
  <c r="J146" i="1"/>
  <c r="H126" i="1"/>
  <c r="C13" i="1" s="1"/>
  <c r="D155" i="1"/>
  <c r="I155" i="1" s="1"/>
  <c r="H155" i="1"/>
  <c r="H142" i="1"/>
  <c r="E142" i="1"/>
  <c r="H70" i="1"/>
  <c r="C11" i="1" s="1"/>
  <c r="H161" i="1"/>
  <c r="D161" i="1"/>
  <c r="I161" i="1" s="1"/>
  <c r="Q62" i="5"/>
  <c r="AD15" i="5" s="1"/>
  <c r="AK15" i="5" s="1"/>
  <c r="AL15" i="5" s="1"/>
  <c r="AE15" i="5"/>
  <c r="F180" i="1"/>
  <c r="I167" i="1"/>
  <c r="J167" i="1" s="1"/>
  <c r="H201" i="1"/>
  <c r="E201" i="1"/>
  <c r="H173" i="1"/>
  <c r="E173" i="1"/>
  <c r="I173" i="1" s="1"/>
  <c r="J94" i="1"/>
  <c r="H152" i="1"/>
  <c r="D152" i="1"/>
  <c r="I152" i="1" s="1"/>
  <c r="G180" i="1"/>
  <c r="E12" i="1"/>
  <c r="H227" i="4"/>
  <c r="Q19" i="11"/>
  <c r="Q21" i="11" s="1"/>
  <c r="O91" i="11"/>
  <c r="I125" i="1"/>
  <c r="J125" i="1" s="1"/>
  <c r="E126" i="1"/>
  <c r="N64" i="11"/>
  <c r="J64" i="11"/>
  <c r="F64" i="11"/>
  <c r="M64" i="11"/>
  <c r="I64" i="11"/>
  <c r="E64" i="11"/>
  <c r="L64" i="11"/>
  <c r="H64" i="11"/>
  <c r="D64" i="11"/>
  <c r="G64" i="11"/>
  <c r="C64" i="11"/>
  <c r="K64" i="11"/>
  <c r="O90" i="11"/>
  <c r="H186" i="1"/>
  <c r="D186" i="1"/>
  <c r="E10" i="1"/>
  <c r="H83" i="4"/>
  <c r="H204" i="1"/>
  <c r="J204" i="1" s="1"/>
  <c r="E204" i="1"/>
  <c r="I204" i="1" s="1"/>
  <c r="K36" i="11"/>
  <c r="G36" i="11"/>
  <c r="C36" i="11"/>
  <c r="N36" i="11"/>
  <c r="J36" i="11"/>
  <c r="F36" i="11"/>
  <c r="M36" i="11"/>
  <c r="I36" i="11"/>
  <c r="E36" i="11"/>
  <c r="L36" i="11"/>
  <c r="H36" i="11"/>
  <c r="D36" i="11"/>
  <c r="H176" i="1"/>
  <c r="J176" i="1" s="1"/>
  <c r="E176" i="1"/>
  <c r="I176" i="1" s="1"/>
  <c r="M25" i="11"/>
  <c r="I25" i="11"/>
  <c r="E25" i="11"/>
  <c r="L25" i="11"/>
  <c r="H25" i="11"/>
  <c r="D25" i="11"/>
  <c r="K25" i="11"/>
  <c r="G25" i="11"/>
  <c r="C25" i="11"/>
  <c r="N25" i="11"/>
  <c r="J25" i="11"/>
  <c r="F25" i="11"/>
  <c r="H73" i="1"/>
  <c r="D73" i="1"/>
  <c r="F18" i="1"/>
  <c r="H512" i="4"/>
  <c r="I15" i="1" s="1"/>
  <c r="J15" i="1" s="1"/>
  <c r="O47" i="11" l="1"/>
  <c r="E18" i="1"/>
  <c r="J155" i="1"/>
  <c r="J152" i="1"/>
  <c r="E20" i="11"/>
  <c r="AP15" i="5"/>
  <c r="AR15" i="5"/>
  <c r="O35" i="11"/>
  <c r="K20" i="11"/>
  <c r="J20" i="11"/>
  <c r="I20" i="11"/>
  <c r="N20" i="11"/>
  <c r="D20" i="11"/>
  <c r="M20" i="11"/>
  <c r="C20" i="11"/>
  <c r="H20" i="11"/>
  <c r="F20" i="11"/>
  <c r="G20" i="11"/>
  <c r="H211" i="1"/>
  <c r="C17" i="1" s="1"/>
  <c r="N46" i="11"/>
  <c r="J46" i="11"/>
  <c r="F46" i="11"/>
  <c r="M46" i="11"/>
  <c r="I46" i="11"/>
  <c r="E46" i="11"/>
  <c r="L46" i="11"/>
  <c r="H46" i="11"/>
  <c r="D46" i="11"/>
  <c r="K46" i="11"/>
  <c r="G46" i="11"/>
  <c r="C46" i="11"/>
  <c r="H296" i="4"/>
  <c r="I201" i="1"/>
  <c r="E211" i="1"/>
  <c r="D53" i="1"/>
  <c r="I28" i="1"/>
  <c r="J28" i="1" s="1"/>
  <c r="M68" i="11"/>
  <c r="M70" i="11" s="1"/>
  <c r="I68" i="11"/>
  <c r="I70" i="11" s="1"/>
  <c r="E68" i="11"/>
  <c r="E70" i="11" s="1"/>
  <c r="L68" i="11"/>
  <c r="L70" i="11" s="1"/>
  <c r="H68" i="11"/>
  <c r="H70" i="11" s="1"/>
  <c r="D68" i="11"/>
  <c r="D70" i="11" s="1"/>
  <c r="K68" i="11"/>
  <c r="K70" i="11" s="1"/>
  <c r="G68" i="11"/>
  <c r="G70" i="11" s="1"/>
  <c r="C68" i="11"/>
  <c r="C70" i="11" s="1"/>
  <c r="F68" i="11"/>
  <c r="F70" i="11" s="1"/>
  <c r="N68" i="11"/>
  <c r="N70" i="11" s="1"/>
  <c r="J68" i="11"/>
  <c r="J70" i="11" s="1"/>
  <c r="H440" i="4"/>
  <c r="I14" i="1" s="1"/>
  <c r="J14" i="1" s="1"/>
  <c r="I69" i="1"/>
  <c r="I70" i="1" s="1"/>
  <c r="B11" i="1" s="1"/>
  <c r="D11" i="1" s="1"/>
  <c r="E70" i="1"/>
  <c r="O58" i="11"/>
  <c r="D119" i="1"/>
  <c r="I73" i="1"/>
  <c r="I119" i="1" s="1"/>
  <c r="B12" i="1" s="1"/>
  <c r="N24" i="11"/>
  <c r="J24" i="11"/>
  <c r="F24" i="11"/>
  <c r="M24" i="11"/>
  <c r="I24" i="11"/>
  <c r="E24" i="11"/>
  <c r="E26" i="11" s="1"/>
  <c r="L24" i="11"/>
  <c r="L26" i="11" s="1"/>
  <c r="H24" i="11"/>
  <c r="D24" i="11"/>
  <c r="K24" i="11"/>
  <c r="K26" i="11" s="1"/>
  <c r="G24" i="11"/>
  <c r="C24" i="11"/>
  <c r="H152" i="4"/>
  <c r="I10" i="1" s="1"/>
  <c r="J201" i="1"/>
  <c r="J70" i="1"/>
  <c r="H180" i="1"/>
  <c r="C16" i="1" s="1"/>
  <c r="J126" i="1"/>
  <c r="I149" i="1"/>
  <c r="J149" i="1" s="1"/>
  <c r="J180" i="1" s="1"/>
  <c r="D180" i="1"/>
  <c r="J69" i="1"/>
  <c r="J73" i="1"/>
  <c r="J119" i="1" s="1"/>
  <c r="H119" i="1"/>
  <c r="C12" i="1" s="1"/>
  <c r="O36" i="11"/>
  <c r="I142" i="1"/>
  <c r="I143" i="1" s="1"/>
  <c r="B15" i="1" s="1"/>
  <c r="E143" i="1"/>
  <c r="AN15" i="5"/>
  <c r="K9" i="1" s="1"/>
  <c r="I126" i="1"/>
  <c r="B13" i="1" s="1"/>
  <c r="D13" i="1" s="1"/>
  <c r="O13" i="11"/>
  <c r="O25" i="11"/>
  <c r="I186" i="1"/>
  <c r="I211" i="1" s="1"/>
  <c r="B17" i="1" s="1"/>
  <c r="D17" i="1" s="1"/>
  <c r="D211" i="1"/>
  <c r="O64" i="11"/>
  <c r="J173" i="1"/>
  <c r="J161" i="1"/>
  <c r="J142" i="1"/>
  <c r="J143" i="1" s="1"/>
  <c r="H143" i="1"/>
  <c r="C15" i="1" s="1"/>
  <c r="M57" i="11"/>
  <c r="I57" i="11"/>
  <c r="E57" i="11"/>
  <c r="L57" i="11"/>
  <c r="H57" i="11"/>
  <c r="D57" i="11"/>
  <c r="K57" i="11"/>
  <c r="G57" i="11"/>
  <c r="C57" i="11"/>
  <c r="N57" i="11"/>
  <c r="J57" i="11"/>
  <c r="F57" i="11"/>
  <c r="H368" i="4"/>
  <c r="I13" i="1" s="1"/>
  <c r="J13" i="1" s="1"/>
  <c r="H53" i="1"/>
  <c r="C9" i="1" s="1"/>
  <c r="J207" i="1"/>
  <c r="K101" i="11"/>
  <c r="G101" i="11"/>
  <c r="C101" i="11"/>
  <c r="N101" i="11"/>
  <c r="J101" i="11"/>
  <c r="F101" i="11"/>
  <c r="M101" i="11"/>
  <c r="I101" i="11"/>
  <c r="E101" i="11"/>
  <c r="D101" i="11"/>
  <c r="L101" i="11"/>
  <c r="H101" i="11"/>
  <c r="H656" i="4"/>
  <c r="I17" i="1" s="1"/>
  <c r="J17" i="1" s="1"/>
  <c r="I170" i="1"/>
  <c r="J170" i="1" s="1"/>
  <c r="E180" i="1"/>
  <c r="I34" i="1"/>
  <c r="J34" i="1" s="1"/>
  <c r="E53" i="1"/>
  <c r="O14" i="11"/>
  <c r="O80" i="11"/>
  <c r="O102" i="11"/>
  <c r="D26" i="11" l="1"/>
  <c r="M26" i="11"/>
  <c r="C26" i="11"/>
  <c r="O46" i="11"/>
  <c r="I18" i="1"/>
  <c r="O68" i="11"/>
  <c r="G26" i="11"/>
  <c r="J26" i="11"/>
  <c r="F26" i="11"/>
  <c r="J10" i="1"/>
  <c r="N10" i="1" s="1"/>
  <c r="D4" i="14" s="1"/>
  <c r="H26" i="11"/>
  <c r="N26" i="11"/>
  <c r="O20" i="11"/>
  <c r="I26" i="11"/>
  <c r="K31" i="11"/>
  <c r="K37" i="11" s="1"/>
  <c r="G31" i="11"/>
  <c r="G37" i="11" s="1"/>
  <c r="C31" i="11"/>
  <c r="N31" i="11"/>
  <c r="N37" i="11" s="1"/>
  <c r="J31" i="11"/>
  <c r="J37" i="11" s="1"/>
  <c r="F31" i="11"/>
  <c r="F37" i="11" s="1"/>
  <c r="M31" i="11"/>
  <c r="M37" i="11" s="1"/>
  <c r="I31" i="11"/>
  <c r="I37" i="11" s="1"/>
  <c r="E31" i="11"/>
  <c r="E37" i="11" s="1"/>
  <c r="H31" i="11"/>
  <c r="H37" i="11" s="1"/>
  <c r="D31" i="11"/>
  <c r="D37" i="11" s="1"/>
  <c r="L31" i="11"/>
  <c r="L37" i="11" s="1"/>
  <c r="N11" i="1"/>
  <c r="D5" i="14" s="1"/>
  <c r="O101" i="11"/>
  <c r="J53" i="1"/>
  <c r="N97" i="11"/>
  <c r="N103" i="11" s="1"/>
  <c r="J97" i="11"/>
  <c r="J103" i="11" s="1"/>
  <c r="F97" i="11"/>
  <c r="F103" i="11" s="1"/>
  <c r="M97" i="11"/>
  <c r="M103" i="11" s="1"/>
  <c r="I97" i="11"/>
  <c r="I103" i="11" s="1"/>
  <c r="E97" i="11"/>
  <c r="E103" i="11" s="1"/>
  <c r="L97" i="11"/>
  <c r="L103" i="11" s="1"/>
  <c r="H97" i="11"/>
  <c r="H103" i="11" s="1"/>
  <c r="D97" i="11"/>
  <c r="D103" i="11" s="1"/>
  <c r="K97" i="11"/>
  <c r="K103" i="11" s="1"/>
  <c r="G97" i="11"/>
  <c r="G103" i="11" s="1"/>
  <c r="C97" i="11"/>
  <c r="N17" i="1"/>
  <c r="D11" i="14" s="1"/>
  <c r="D12" i="1"/>
  <c r="I53" i="1"/>
  <c r="B9" i="1" s="1"/>
  <c r="C18" i="1"/>
  <c r="O57" i="11"/>
  <c r="O70" i="11"/>
  <c r="N53" i="11"/>
  <c r="N59" i="11" s="1"/>
  <c r="J53" i="11"/>
  <c r="J59" i="11" s="1"/>
  <c r="F53" i="11"/>
  <c r="F59" i="11" s="1"/>
  <c r="M53" i="11"/>
  <c r="M59" i="11" s="1"/>
  <c r="I53" i="11"/>
  <c r="I59" i="11" s="1"/>
  <c r="E53" i="11"/>
  <c r="E59" i="11" s="1"/>
  <c r="L53" i="11"/>
  <c r="L59" i="11" s="1"/>
  <c r="H53" i="11"/>
  <c r="H59" i="11" s="1"/>
  <c r="D53" i="11"/>
  <c r="D59" i="11" s="1"/>
  <c r="K53" i="11"/>
  <c r="K59" i="11" s="1"/>
  <c r="G53" i="11"/>
  <c r="G59" i="11" s="1"/>
  <c r="C53" i="11"/>
  <c r="N13" i="1"/>
  <c r="D7" i="14" s="1"/>
  <c r="D15" i="1"/>
  <c r="O24" i="11"/>
  <c r="J186" i="1"/>
  <c r="J211" i="1" s="1"/>
  <c r="N14" i="1"/>
  <c r="D8" i="14" s="1"/>
  <c r="K15" i="1"/>
  <c r="L15" i="1" s="1"/>
  <c r="K17" i="1"/>
  <c r="L17" i="1" s="1"/>
  <c r="M17" i="1" s="1"/>
  <c r="K13" i="1"/>
  <c r="L13" i="1" s="1"/>
  <c r="M13" i="1" s="1"/>
  <c r="K11" i="1"/>
  <c r="L11" i="1" s="1"/>
  <c r="M11" i="1" s="1"/>
  <c r="K16" i="1"/>
  <c r="L16" i="1" s="1"/>
  <c r="K14" i="1"/>
  <c r="L14" i="1" s="1"/>
  <c r="M14" i="1" s="1"/>
  <c r="K12" i="1"/>
  <c r="L12" i="1" s="1"/>
  <c r="K10" i="1"/>
  <c r="I180" i="1"/>
  <c r="B16" i="1" s="1"/>
  <c r="D16" i="1" s="1"/>
  <c r="J18" i="1" l="1"/>
  <c r="L10" i="1"/>
  <c r="M10" i="1" s="1"/>
  <c r="O26" i="11"/>
  <c r="O31" i="11"/>
  <c r="C37" i="11"/>
  <c r="O37" i="11" s="1"/>
  <c r="L86" i="11"/>
  <c r="L92" i="11" s="1"/>
  <c r="H86" i="11"/>
  <c r="H92" i="11" s="1"/>
  <c r="D86" i="11"/>
  <c r="D92" i="11" s="1"/>
  <c r="K86" i="11"/>
  <c r="K92" i="11" s="1"/>
  <c r="G86" i="11"/>
  <c r="G92" i="11" s="1"/>
  <c r="C86" i="11"/>
  <c r="N86" i="11"/>
  <c r="N92" i="11" s="1"/>
  <c r="J86" i="11"/>
  <c r="J92" i="11" s="1"/>
  <c r="F86" i="11"/>
  <c r="F92" i="11" s="1"/>
  <c r="M86" i="11"/>
  <c r="M92" i="11" s="1"/>
  <c r="I86" i="11"/>
  <c r="I92" i="11" s="1"/>
  <c r="E86" i="11"/>
  <c r="E92" i="11" s="1"/>
  <c r="N16" i="1"/>
  <c r="D10" i="14" s="1"/>
  <c r="M16" i="1"/>
  <c r="C59" i="11"/>
  <c r="O59" i="11" s="1"/>
  <c r="O53" i="11"/>
  <c r="D9" i="1"/>
  <c r="B18" i="1"/>
  <c r="N75" i="11"/>
  <c r="N81" i="11" s="1"/>
  <c r="J75" i="11"/>
  <c r="J81" i="11" s="1"/>
  <c r="F75" i="11"/>
  <c r="F81" i="11" s="1"/>
  <c r="M75" i="11"/>
  <c r="M81" i="11" s="1"/>
  <c r="I75" i="11"/>
  <c r="I81" i="11" s="1"/>
  <c r="E75" i="11"/>
  <c r="E81" i="11" s="1"/>
  <c r="L75" i="11"/>
  <c r="L81" i="11" s="1"/>
  <c r="H75" i="11"/>
  <c r="H81" i="11" s="1"/>
  <c r="D75" i="11"/>
  <c r="D81" i="11" s="1"/>
  <c r="K75" i="11"/>
  <c r="K81" i="11" s="1"/>
  <c r="G75" i="11"/>
  <c r="G81" i="11" s="1"/>
  <c r="C75" i="11"/>
  <c r="N15" i="1"/>
  <c r="D9" i="14" s="1"/>
  <c r="M15" i="1"/>
  <c r="M42" i="11"/>
  <c r="M48" i="11" s="1"/>
  <c r="I42" i="11"/>
  <c r="I48" i="11" s="1"/>
  <c r="E42" i="11"/>
  <c r="E48" i="11" s="1"/>
  <c r="L42" i="11"/>
  <c r="L48" i="11" s="1"/>
  <c r="H42" i="11"/>
  <c r="H48" i="11" s="1"/>
  <c r="D42" i="11"/>
  <c r="D48" i="11" s="1"/>
  <c r="K42" i="11"/>
  <c r="K48" i="11" s="1"/>
  <c r="G42" i="11"/>
  <c r="G48" i="11" s="1"/>
  <c r="C42" i="11"/>
  <c r="N42" i="11"/>
  <c r="N48" i="11" s="1"/>
  <c r="J42" i="11"/>
  <c r="J48" i="11" s="1"/>
  <c r="F42" i="11"/>
  <c r="F48" i="11" s="1"/>
  <c r="N12" i="1"/>
  <c r="D6" i="14" s="1"/>
  <c r="M12" i="1"/>
  <c r="C103" i="11"/>
  <c r="O103" i="11" s="1"/>
  <c r="O97" i="11"/>
  <c r="K18" i="1"/>
  <c r="L9" i="1"/>
  <c r="L18" i="1" s="1"/>
  <c r="C81" i="11" l="1"/>
  <c r="O75" i="11"/>
  <c r="O81" i="11" s="1"/>
  <c r="C92" i="11"/>
  <c r="O92" i="11" s="1"/>
  <c r="O86" i="11"/>
  <c r="C48" i="11"/>
  <c r="O48" i="11" s="1"/>
  <c r="O42" i="11"/>
  <c r="K9" i="11"/>
  <c r="K15" i="11" s="1"/>
  <c r="G9" i="11"/>
  <c r="G15" i="11" s="1"/>
  <c r="C9" i="11"/>
  <c r="N9" i="11"/>
  <c r="N15" i="11" s="1"/>
  <c r="J9" i="11"/>
  <c r="J15" i="11" s="1"/>
  <c r="F9" i="11"/>
  <c r="F15" i="11" s="1"/>
  <c r="M9" i="11"/>
  <c r="M15" i="11" s="1"/>
  <c r="I9" i="11"/>
  <c r="I15" i="11" s="1"/>
  <c r="E9" i="11"/>
  <c r="E15" i="11" s="1"/>
  <c r="L9" i="11"/>
  <c r="L15" i="11" s="1"/>
  <c r="H9" i="11"/>
  <c r="H15" i="11" s="1"/>
  <c r="D9" i="11"/>
  <c r="D15" i="11" s="1"/>
  <c r="N9" i="1"/>
  <c r="N18" i="1" s="1"/>
  <c r="M9" i="1"/>
  <c r="M18" i="1" s="1"/>
  <c r="D18" i="1"/>
  <c r="M19" i="1" l="1"/>
  <c r="N19" i="1"/>
  <c r="M22" i="1"/>
  <c r="M26" i="1" s="1"/>
  <c r="D3" i="14"/>
  <c r="O9" i="11"/>
  <c r="O15" i="11" s="1"/>
  <c r="C15" i="11"/>
  <c r="D12" i="14" l="1"/>
  <c r="N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Rada Iquique</author>
  </authors>
  <commentList>
    <comment ref="F561" authorId="0" shapeId="0" xr:uid="{00000000-0006-0000-0600-000001000000}">
      <text>
        <r>
          <rPr>
            <b/>
            <sz val="9"/>
            <color indexed="81"/>
            <rFont val="Tahoma"/>
            <family val="2"/>
          </rPr>
          <t>Rada Iquique:</t>
        </r>
        <r>
          <rPr>
            <sz val="9"/>
            <color indexed="81"/>
            <rFont val="Tahoma"/>
            <family val="2"/>
          </rPr>
          <t xml:space="preserve">
CANTIDAD DE DESAYUNOS</t>
        </r>
      </text>
    </comment>
    <comment ref="F633" authorId="0" shapeId="0" xr:uid="{00000000-0006-0000-0600-000003000000}">
      <text>
        <r>
          <rPr>
            <b/>
            <sz val="9"/>
            <color indexed="81"/>
            <rFont val="Tahoma"/>
            <family val="2"/>
          </rPr>
          <t>Rada Iquique:</t>
        </r>
        <r>
          <rPr>
            <sz val="9"/>
            <color indexed="81"/>
            <rFont val="Tahoma"/>
            <family val="2"/>
          </rPr>
          <t xml:space="preserve">
CANTIDAD DE DESAYUNOS </t>
        </r>
      </text>
    </comment>
  </commentList>
</comments>
</file>

<file path=xl/sharedStrings.xml><?xml version="1.0" encoding="utf-8"?>
<sst xmlns="http://schemas.openxmlformats.org/spreadsheetml/2006/main" count="2167" uniqueCount="440">
  <si>
    <t>RESUMEN DE INGRESOS Y EGRESOS</t>
  </si>
  <si>
    <t>REPARTICION:</t>
  </si>
  <si>
    <t>TABLA 1: RESUMEN DE INGRESOS Y EGRESOS DE CENTROS DE BENEFICIOS</t>
  </si>
  <si>
    <t>Centro de Beneficio</t>
  </si>
  <si>
    <t>Ingreso por Ventas</t>
  </si>
  <si>
    <t>Ingresos por reintegro C.A.R.</t>
  </si>
  <si>
    <t>Ingresos Totales</t>
  </si>
  <si>
    <t>REMUNERACIONES</t>
  </si>
  <si>
    <t>CONS. BÁSICOS + MATERIALES DE ASEO</t>
  </si>
  <si>
    <t>SEGURO</t>
  </si>
  <si>
    <t>MANTENCIÓN</t>
  </si>
  <si>
    <t>COSTO OPERACIÓN</t>
  </si>
  <si>
    <t>COSTO DIRECTO TOTAL</t>
  </si>
  <si>
    <t xml:space="preserve">Costos Indirectos </t>
  </si>
  <si>
    <t>Egresos Totales</t>
  </si>
  <si>
    <t>Excedente</t>
  </si>
  <si>
    <t>R.O</t>
  </si>
  <si>
    <t>% Distribución Costo Indirecto</t>
  </si>
  <si>
    <t xml:space="preserve">TOTAL </t>
  </si>
  <si>
    <t>REAJUSTE DE TARIFAS Y METAS DE OCUPACIÓN POR CENTRO DE BENEFICIO</t>
  </si>
  <si>
    <t>BIENIQUE</t>
  </si>
  <si>
    <t>Prestación</t>
  </si>
  <si>
    <t>Reajuste propuesto</t>
  </si>
  <si>
    <t>Reajuste</t>
  </si>
  <si>
    <t>CAR</t>
  </si>
  <si>
    <t>Segmento 1</t>
  </si>
  <si>
    <t>Segmento 2</t>
  </si>
  <si>
    <t>Segmento 3</t>
  </si>
  <si>
    <t>C. R. Faro Limar</t>
  </si>
  <si>
    <t>Cabañas</t>
  </si>
  <si>
    <t>Late check-out o early check-in</t>
  </si>
  <si>
    <t>Cabaña</t>
  </si>
  <si>
    <t>Camping 5 P.</t>
  </si>
  <si>
    <t>Camping  (P. adicional)</t>
  </si>
  <si>
    <t>Quincho chico 8 P.</t>
  </si>
  <si>
    <t>Quincho chico (P. adicional)</t>
  </si>
  <si>
    <t>Pérgola OF 60 P. Día</t>
  </si>
  <si>
    <t>Pérgola OF 60 P. Noche</t>
  </si>
  <si>
    <t>Piscina C.R. Faro Limar</t>
  </si>
  <si>
    <t>Piscina adultos</t>
  </si>
  <si>
    <t>Piscina niños</t>
  </si>
  <si>
    <t>Cabañas Mamiña</t>
  </si>
  <si>
    <t>Cabaña Mamiña</t>
  </si>
  <si>
    <t>Early check-in/Late check-out</t>
  </si>
  <si>
    <t>C.R. Huayquique</t>
  </si>
  <si>
    <t>Camping (P. adicional)</t>
  </si>
  <si>
    <t>Quincho chico  8 P (P. adicional)</t>
  </si>
  <si>
    <t>Quincho grande 30 P.  Día</t>
  </si>
  <si>
    <t>Quincho grande 30 P. (P. adicional) Día</t>
  </si>
  <si>
    <t>Quincho grande 30 P.  Noche</t>
  </si>
  <si>
    <t>Quincho grande 30 P. (P. adicional) Noche</t>
  </si>
  <si>
    <t>Pérgola GM 100 P. Día</t>
  </si>
  <si>
    <t>Pérgola GM 100 P. (P. adicional) Día</t>
  </si>
  <si>
    <t>Pérgola GM 100 P. Noche</t>
  </si>
  <si>
    <t>Pérgola GM 100 P. (P. adicional) Noche</t>
  </si>
  <si>
    <t>Cancha pasto sintético (Diurno)</t>
  </si>
  <si>
    <t>Cancha pasto sintético (Nocturno)</t>
  </si>
  <si>
    <t>Piscina C.R. Huayquique (Oficiales)</t>
  </si>
  <si>
    <t xml:space="preserve">Piscina niño </t>
  </si>
  <si>
    <t>Piscina C.R. Huayquique (Gente de Mar)</t>
  </si>
  <si>
    <t>Cabañas Hornitos</t>
  </si>
  <si>
    <t>Cabaña Hornitos</t>
  </si>
  <si>
    <t>C. H. Rada Iquique</t>
  </si>
  <si>
    <t>Simple</t>
  </si>
  <si>
    <t>Doble</t>
  </si>
  <si>
    <t>Matrimonial</t>
  </si>
  <si>
    <t>Matrimonial + Camarote (Familiar)</t>
  </si>
  <si>
    <t>Superior</t>
  </si>
  <si>
    <t>Sofá cama adiciona (Hasta 7 años)</t>
  </si>
  <si>
    <t xml:space="preserve"> Doble</t>
  </si>
  <si>
    <t>Matrimonial + Camarote</t>
  </si>
  <si>
    <t>C. H. Caleta Angamos</t>
  </si>
  <si>
    <t>Centro de Costo</t>
  </si>
  <si>
    <t>C.A.R.</t>
  </si>
  <si>
    <t>Total Ocupación</t>
  </si>
  <si>
    <t>C.H CALETA ANGAMOS</t>
  </si>
  <si>
    <t>AÑO</t>
  </si>
  <si>
    <t>ENERO</t>
  </si>
  <si>
    <t>FEBRERO</t>
  </si>
  <si>
    <t>MARZO</t>
  </si>
  <si>
    <t>ABRIL</t>
  </si>
  <si>
    <t>MAYO</t>
  </si>
  <si>
    <t>JUNIO</t>
  </si>
  <si>
    <t>JULIO</t>
  </si>
  <si>
    <t>AGOSTO</t>
  </si>
  <si>
    <t>SEPTIEMBRE</t>
  </si>
  <si>
    <t>OCTUBRE</t>
  </si>
  <si>
    <t>NOVIEMBRE</t>
  </si>
  <si>
    <t>DICIEMBRE</t>
  </si>
  <si>
    <t>TOTAL</t>
  </si>
  <si>
    <t>PROMEDIO 2017-2018-2019</t>
  </si>
  <si>
    <t>C.H RADA IQUIQUE</t>
  </si>
  <si>
    <t>C.R. FARO LIMAR</t>
  </si>
  <si>
    <t>C.R. HUAYQUIQUE</t>
  </si>
  <si>
    <t xml:space="preserve">R.O </t>
  </si>
  <si>
    <t>Número de Cuenta</t>
  </si>
  <si>
    <t>ítem de Gasto (según Plan de Cuenta Institucional)</t>
  </si>
  <si>
    <t>Costos Fijos</t>
  </si>
  <si>
    <t>Costos Variables</t>
  </si>
  <si>
    <t>DETALLE / OBSERVACIONES</t>
  </si>
  <si>
    <t>Costo Unitario Promedio</t>
  </si>
  <si>
    <t>Cantidad</t>
  </si>
  <si>
    <t>Total</t>
  </si>
  <si>
    <t>COSTOS DE OPERACIÓN</t>
  </si>
  <si>
    <t>REMUNERACIONES DIRECTAS</t>
  </si>
  <si>
    <t>REMUNERACIONES CÓDIGO DEL TRABAJO</t>
  </si>
  <si>
    <t>SUPLENCIAS Y REEMPLAZOS</t>
  </si>
  <si>
    <t>PERSONAL A TRATO Y TEMPORAL</t>
  </si>
  <si>
    <t>OTRAS REMUNERACIONES</t>
  </si>
  <si>
    <t>COSTOS DE MATERIALES DIRECTOS</t>
  </si>
  <si>
    <t>COSTO EXISTENCIAS VENDIDAS</t>
  </si>
  <si>
    <t>GASTO DE OPERACIÓN</t>
  </si>
  <si>
    <t>ALIMENTOS Y BEBIDAS</t>
  </si>
  <si>
    <t>TEXTILES Y ACABADOS TEXTILES</t>
  </si>
  <si>
    <t>COMBUSTIBLE LUBRIC P.VEHICULOS</t>
  </si>
  <si>
    <t>PARA CALEFACCION</t>
  </si>
  <si>
    <t>PRODUCTOS QUIMICOS</t>
  </si>
  <si>
    <t>MAT.P/MATEN.Y REPARACION</t>
  </si>
  <si>
    <t>EQUIPOS MENORES</t>
  </si>
  <si>
    <t>ELECTRICIDAD</t>
  </si>
  <si>
    <t>AGUA</t>
  </si>
  <si>
    <t>GAS</t>
  </si>
  <si>
    <t>TELEFONIA FIJA</t>
  </si>
  <si>
    <t>TELEFONIA CELULAR</t>
  </si>
  <si>
    <t>ACCESO A INTERNET</t>
  </si>
  <si>
    <t>SERVICIOS DE ASEO</t>
  </si>
  <si>
    <t>PASAJES, FLETES Y BODEGAJE</t>
  </si>
  <si>
    <t>SERVICIO DE SUSCRIPCION</t>
  </si>
  <si>
    <t>SERVICIOS INFORMATICOS</t>
  </si>
  <si>
    <t>GASTOS MENORES (FOFI)</t>
  </si>
  <si>
    <t>MAQUINAS Y EQUIPOS DE OFICINA</t>
  </si>
  <si>
    <t>GASTOS DE ADMINISTRACIÓN Y VENTAS</t>
  </si>
  <si>
    <t>GASTO EN PERSONAL</t>
  </si>
  <si>
    <t>VESTUARIO ACC.Y PRENDAS DIVERS</t>
  </si>
  <si>
    <t>CALZADO</t>
  </si>
  <si>
    <t>CURSOS DE CAPACITACION</t>
  </si>
  <si>
    <t>VIATICOS PERSONAL COD.TRABAJO</t>
  </si>
  <si>
    <t>CONSUMOS BÁSICOS</t>
  </si>
  <si>
    <t>ENLACES DE TELECOMUNICACIONES</t>
  </si>
  <si>
    <t>OTROS SERVICIOS BASICOS</t>
  </si>
  <si>
    <t>BIENES DE CONSUMO</t>
  </si>
  <si>
    <t>COMB.LUBR.DIRECTOS-INDIRECTOS</t>
  </si>
  <si>
    <t>MATERIALES DE OFICINA</t>
  </si>
  <si>
    <t>PROD.QUIMIC,FARMACEUTICOS IND.</t>
  </si>
  <si>
    <t>FERT.INSECT.FUNG.Y OTROS</t>
  </si>
  <si>
    <t>MATERIALES Y UTILES DE ASEO</t>
  </si>
  <si>
    <t>MENAJE OFICINA CASINO Y OTROS</t>
  </si>
  <si>
    <t>MOBILIARIO Y OTROS</t>
  </si>
  <si>
    <t>EQUIPOS COMPUTACIONALES</t>
  </si>
  <si>
    <t>COSTO SERVICIO DESAYUNO</t>
  </si>
  <si>
    <t>COSTOS DE TEXT. VEST,O PRENDAS</t>
  </si>
  <si>
    <t>SERVICIOS GENERALES</t>
  </si>
  <si>
    <t>SERVICIO DE PUBLICIDAD</t>
  </si>
  <si>
    <t>SERVICIO DE IMPRESION</t>
  </si>
  <si>
    <t>SERVICIOS DE VIGILANCIA</t>
  </si>
  <si>
    <t>OTROS SERVICIOS GENERALES</t>
  </si>
  <si>
    <t>ARRIENDO DE TERRENOS</t>
  </si>
  <si>
    <t>ARRIENDO DE MOBILIARIO Y OTROS</t>
  </si>
  <si>
    <t>ARRIENDO DE MAQUINAS Y EQUIPOS</t>
  </si>
  <si>
    <t>OTROS ARRIENDOS</t>
  </si>
  <si>
    <t>SEGURO INMUEBLES</t>
  </si>
  <si>
    <t>MANTENCIÓN Y REPARACIÓN</t>
  </si>
  <si>
    <t>MANT.Y REPAR. MOBILIARIO Y OTROS</t>
  </si>
  <si>
    <t>MANT.Y REPAR. DE EQUIPOS OFICINA</t>
  </si>
  <si>
    <t>MANT.Y REPAR. OTRAS MAQ. Y EQUIP.</t>
  </si>
  <si>
    <t>MANT.Y REPAR. EQUIPOS INFORMATICOS</t>
  </si>
  <si>
    <t>OTROS MANTEN. Y REPAR. MENORES</t>
  </si>
  <si>
    <t>SERVICIO DE MANTENCION JARDINES</t>
  </si>
  <si>
    <t>OTROS GASTOS IMPREVISTOS</t>
  </si>
  <si>
    <t>OTROS GASTOS</t>
  </si>
  <si>
    <t>COMISIONES TRANSBANK</t>
  </si>
  <si>
    <t>OTROS MATERIALES DE USO CONSUMO</t>
  </si>
  <si>
    <t xml:space="preserve">ESTIMACION DE COSTOS DIRECTOS </t>
  </si>
  <si>
    <t>ADMINISTRACIÓN CENTRAL</t>
  </si>
  <si>
    <t>ÁREA APOYO A. RECREATIVA</t>
  </si>
  <si>
    <t>Departamento de Finanzas y Abastecimiento</t>
  </si>
  <si>
    <t>Departamento de RR.HH.</t>
  </si>
  <si>
    <t>Departamento de Informática</t>
  </si>
  <si>
    <t>Otros</t>
  </si>
  <si>
    <t>Asistencia Recreativa</t>
  </si>
  <si>
    <t>Nombre</t>
  </si>
  <si>
    <t>Apellido</t>
  </si>
  <si>
    <t>Ocupación / Cargo</t>
  </si>
  <si>
    <t>Total Bonos anual</t>
  </si>
  <si>
    <t>Total Aguinaldos anual</t>
  </si>
  <si>
    <t>% tiempo</t>
  </si>
  <si>
    <t>$ Costo</t>
  </si>
  <si>
    <t>Tiempo Total</t>
  </si>
  <si>
    <t>MAT.Y UTILES DE ASEO</t>
  </si>
  <si>
    <t>COSTO  TOTAL</t>
  </si>
  <si>
    <t>TABLA 10: RESUMEN DISTRIBUCION COSTOS OPERACIÓN ADMINISTRACION CENTRAL  Y APOYO ADMINISTRATIVO A. RECREATIVA</t>
  </si>
  <si>
    <t>ASISTENCIA COMERCIAL</t>
  </si>
  <si>
    <t>ASISTENCIA RECREATIVA</t>
  </si>
  <si>
    <t>ASISTENCIA EDUCACIONAL</t>
  </si>
  <si>
    <t>TABLA 11: FINANCIAMIENTO ADM. CENTRAL  Y APOYO ADMINISTRATIVO 
(REMUNERACIONES + COSTO OPERACIÓN)</t>
  </si>
  <si>
    <t>$ Costo Total</t>
  </si>
  <si>
    <t>$Costo Total</t>
  </si>
  <si>
    <t>RESUMEN DE TARIFADO</t>
  </si>
  <si>
    <t>TABLA 12: RESUMEN DE TARIFADO</t>
  </si>
  <si>
    <t>Seg. 1</t>
  </si>
  <si>
    <t>Seg. 2</t>
  </si>
  <si>
    <t>Seg. 3</t>
  </si>
  <si>
    <t>Reajuste en pesos ($)</t>
  </si>
  <si>
    <t xml:space="preserve">Reajuste en porcentaje (%) </t>
  </si>
  <si>
    <t>REMUNERACIONES DEL PERSONAL CÓDIGO DEL TRABAJO</t>
  </si>
  <si>
    <t>TABLA13: REMUNERACIONES DEL PERSONAL LEY 18.712 DE CENTROS DE BENEFICIOS</t>
  </si>
  <si>
    <t>Tipo Personal</t>
  </si>
  <si>
    <t>Costo Total Remuneraciones por Centro de Beneficio</t>
  </si>
  <si>
    <t>Personal Permanente</t>
  </si>
  <si>
    <t>Personal No Permanente
(Estival)</t>
  </si>
  <si>
    <t>COMPARACIÓN TARIFAS CON PRECIOS DE MERCADO</t>
  </si>
  <si>
    <r>
      <t xml:space="preserve">Con el objeto de medir comparativamente el bienestar otorgado al personal de la Armada por el Area Recreativa, es necesario recabar antecedentes comparativos que permitan cuantificar las alternativas de precios que ofrece el mercado </t>
    </r>
    <r>
      <rPr>
        <b/>
        <u/>
        <sz val="10"/>
        <rFont val="Arial"/>
        <family val="2"/>
      </rPr>
      <t>dentro de la misma comuna en la que se encuentran los Centros Recreativos de su Repartición</t>
    </r>
    <r>
      <rPr>
        <sz val="11"/>
        <color theme="1"/>
        <rFont val="Calibri"/>
        <family val="2"/>
        <scheme val="minor"/>
      </rPr>
      <t xml:space="preserve">. Este cuadro comparativo debe ser completado con, </t>
    </r>
    <r>
      <rPr>
        <b/>
        <u/>
        <sz val="10"/>
        <rFont val="Arial"/>
        <family val="2"/>
      </rPr>
      <t>AL MENOS</t>
    </r>
    <r>
      <rPr>
        <sz val="11"/>
        <color theme="1"/>
        <rFont val="Calibri"/>
        <family val="2"/>
        <scheme val="minor"/>
      </rPr>
      <t xml:space="preserve">, dos instituciones públicas o privadas </t>
    </r>
    <r>
      <rPr>
        <b/>
        <u/>
        <sz val="10"/>
        <rFont val="Arial"/>
        <family val="2"/>
      </rPr>
      <t>que puedan considerarse como principal competencias directas</t>
    </r>
    <r>
      <rPr>
        <sz val="11"/>
        <color theme="1"/>
        <rFont val="Calibri"/>
        <family val="2"/>
        <scheme val="minor"/>
      </rPr>
      <t xml:space="preserve"> y que otorguen </t>
    </r>
    <r>
      <rPr>
        <b/>
        <u/>
        <sz val="10"/>
        <rFont val="Arial"/>
        <family val="2"/>
      </rPr>
      <t>prestaciones de calidad igual o similar</t>
    </r>
    <r>
      <rPr>
        <sz val="11"/>
        <color theme="1"/>
        <rFont val="Calibri"/>
        <family val="2"/>
        <scheme val="minor"/>
      </rPr>
      <t xml:space="preserve"> a las brindadas por las instalaciones de este Departamento/Delegación.</t>
    </r>
  </si>
  <si>
    <t>TABLA 14: COMPARACIÓN TARIFAS CON PRECIOS DE MERCADO</t>
  </si>
  <si>
    <t>% respecto a Precio Promedio Mercado</t>
  </si>
  <si>
    <t>COMPARACIÓN 1</t>
  </si>
  <si>
    <t>COMPARACIÓN 2</t>
  </si>
  <si>
    <t>Precio promedio mercado</t>
  </si>
  <si>
    <t>Institución</t>
  </si>
  <si>
    <t>Precio</t>
  </si>
  <si>
    <t>DETALLE DE DATOS COMPLEMENTARIOS</t>
  </si>
  <si>
    <t xml:space="preserve">En esta hoja deberá incorporar toda la información, tablas y cálculos complementarios que permitan explicar y justificar sus proyecciones de ingresos y egresos, de acuerdo a los datos incorporados en las hojas anteriores.
</t>
  </si>
  <si>
    <t>Costo Desayuno</t>
  </si>
  <si>
    <t xml:space="preserve">Solo para efectos de calculo y de obtener un valor del costo desayuno, considerar queso y jamon como acompañamientos de Sandwich </t>
  </si>
  <si>
    <t>Tabla 15: Costo desayuno</t>
  </si>
  <si>
    <t>Producto</t>
  </si>
  <si>
    <t>Costo neto</t>
  </si>
  <si>
    <t>CENTRO DE BENEFICIO "C.R.FARO LIMAR"</t>
  </si>
  <si>
    <t>INGRESOS DE OPERACIÓN</t>
  </si>
  <si>
    <t>REMUNERACIONES COD.DEL TRABAJO (Personal Permanente)</t>
  </si>
  <si>
    <t>REMUNERACIONES COD.DEL TRABAJO (Personal No Permanente)</t>
  </si>
  <si>
    <t>BONOS Y AGUINALDOS CÓDIGO DEL TRABAJO</t>
  </si>
  <si>
    <t>COSTOS  DE OPERACIÓN</t>
  </si>
  <si>
    <t>RESULTADO OPERACIONAL</t>
  </si>
  <si>
    <t>DISTRIBUCIÓN INGRESOS</t>
  </si>
  <si>
    <t xml:space="preserve">        DISTRIBUCIÓN COSTOS DE OPERACIÓN</t>
  </si>
  <si>
    <t>CENTRO DE BENEFICIO  "PISCINA C.R.FARO LIMAR"</t>
  </si>
  <si>
    <t>CENTRO DE BENEFICIO  "CABAÑAS MAMIÑA"</t>
  </si>
  <si>
    <t>CENTRO DE BENEFICIO  "PISCINA C.R. HAYAIQUIQUE (OF)"</t>
  </si>
  <si>
    <t>CENTRO DE BENEFICIO  "CABAÑAS HORNITOS"</t>
  </si>
  <si>
    <t>CENTRO DE BENEFICIO  "C.H. RADA IQUIQUE"</t>
  </si>
  <si>
    <t>CENTRO DE BENEFICIO  "C.H. CALETA ANGAMOS"</t>
  </si>
  <si>
    <t>TABLA 2: DETALLE DE INGRESOS POR PRESTACIÓN Y SEGMENTO</t>
  </si>
  <si>
    <t>Cálculo Ingreso</t>
  </si>
  <si>
    <t xml:space="preserve">Ingreso por reintegro C.A.R. </t>
  </si>
  <si>
    <t xml:space="preserve">Total Anual </t>
  </si>
  <si>
    <t>Meta Ocupación</t>
  </si>
  <si>
    <t>Ingreso anual</t>
  </si>
  <si>
    <t>Ingreso total anual</t>
  </si>
  <si>
    <t>GASTOS ADM. Y VENTAS</t>
  </si>
  <si>
    <t>DISTRIBUCION DE ADM. Y VENTAS</t>
  </si>
  <si>
    <t>ÍNDICE DE TABLAS</t>
  </si>
  <si>
    <t>A) Resumen Ingresos y Egresos</t>
  </si>
  <si>
    <t>TABLA 2:  DETALLE DE INGRESOS POR PRESTACIÓN Y SEGMENTO</t>
  </si>
  <si>
    <t>B) Reajuste Tarifa y Ocupación</t>
  </si>
  <si>
    <t>TABLA 3: REAJUSTE DE TARIFAS POR PRESTACIÓN Y SEGMENTO</t>
  </si>
  <si>
    <t>TABLA 4: METAS DE OCUPACIÓN POR PRESTACIÓN Y SEGMENTO</t>
  </si>
  <si>
    <t>C) Estimación Costos Directos</t>
  </si>
  <si>
    <t xml:space="preserve">TABLA 5: COSTOS DIRECTOS DE CENTROS DE BENEFICIOS </t>
  </si>
  <si>
    <t>D) Costos Indirectos</t>
  </si>
  <si>
    <t>TABLA 6: REMUNERACIONES DEL PERSONAL LEY 18.712 ADMINISTRACION CENTRAL Y APOYO ADMINISTRATIVO ASISTENCIA RECREATIVA</t>
  </si>
  <si>
    <t>TABLA 7: DISTRIBUCION COSTOS REMUNERACIONES ADMINISTRACION CENTRAL Y APOYO ADMINISTRATIVO A. RECREATIVA</t>
  </si>
  <si>
    <t>TABLA 8: COSTOS DE OPERACION ADMINISTRACIÓN CENTRAL Y  APOYO ADMINISTRATIVO ASISTENCIA RECREATIVA</t>
  </si>
  <si>
    <t>TABLA 9: RESUMEN DISTRIBUCION COSTOS REMUNERACIONES ADMINISTRACION CENTRAL Y APOYO ADMINISTRATIVO A. RECREATIVA</t>
  </si>
  <si>
    <t>E) Resumen Tarifado</t>
  </si>
  <si>
    <t>F) Remuneraciones</t>
  </si>
  <si>
    <t>TABLA 13: REMUNERACIONES DEL PERSONAL LEY 18.712 DE CENTROS DE BENEFICIOS</t>
  </si>
  <si>
    <t>G) Comparación Mercado</t>
  </si>
  <si>
    <t>TABLA 14:COMPARACIÓN TARIFAS CON PRECIOS DE MERCADO</t>
  </si>
  <si>
    <t>H) Detalle Datos</t>
  </si>
  <si>
    <t>I) Costo Desyuno</t>
  </si>
  <si>
    <t>TABLA 15: COSTO DESAYUNO</t>
  </si>
  <si>
    <t>J) Estructura Económica Mensual</t>
  </si>
  <si>
    <t>TABLA N°16:  RESULTADO OPERACIONAL MENSUAL</t>
  </si>
  <si>
    <t xml:space="preserve"> </t>
  </si>
  <si>
    <t xml:space="preserve">Rentabilidad </t>
  </si>
  <si>
    <t>R.O / Ingresos</t>
  </si>
  <si>
    <t>C.R. Faro Limar</t>
  </si>
  <si>
    <t>Cabañas Mamiñas</t>
  </si>
  <si>
    <t>C.H. Rada Iquique</t>
  </si>
  <si>
    <t>C.H. Caleta Angamos</t>
  </si>
  <si>
    <t>Remuneraciones</t>
  </si>
  <si>
    <t>Ing. Operacional</t>
  </si>
  <si>
    <t>Resultado Operacional</t>
  </si>
  <si>
    <t>Total %</t>
  </si>
  <si>
    <t>Enero</t>
  </si>
  <si>
    <t>Febrero</t>
  </si>
  <si>
    <t>Marzo</t>
  </si>
  <si>
    <t>Abril</t>
  </si>
  <si>
    <t>Mayo</t>
  </si>
  <si>
    <t>Junio</t>
  </si>
  <si>
    <t>Julio</t>
  </si>
  <si>
    <t>Agosto</t>
  </si>
  <si>
    <t>Septiembre</t>
  </si>
  <si>
    <t>Octubre</t>
  </si>
  <si>
    <t>Noviembre</t>
  </si>
  <si>
    <t>Diciembre</t>
  </si>
  <si>
    <t>Acu. Diciembre</t>
  </si>
  <si>
    <t>Acum. Diciem.</t>
  </si>
  <si>
    <t>Proyectado</t>
  </si>
  <si>
    <t xml:space="preserve">Hay un gasto de 16.264.260 en mantencion que descuadra todo. </t>
  </si>
  <si>
    <t>Año</t>
  </si>
  <si>
    <t>Ingreso</t>
  </si>
  <si>
    <t>Al mes de Julio</t>
  </si>
  <si>
    <t>Ingresos proyectados</t>
  </si>
  <si>
    <t>Rentabilidad</t>
  </si>
  <si>
    <t>2023 respecto 2019</t>
  </si>
  <si>
    <t>2022 proyectado</t>
  </si>
  <si>
    <t>2023 deptos y deleg</t>
  </si>
  <si>
    <t>OPERACIÓN PISCINA</t>
  </si>
  <si>
    <t>RESULTADO FINAL PROYECTADO</t>
  </si>
  <si>
    <t>Costo Empresa Anual</t>
  </si>
  <si>
    <t>IPC</t>
  </si>
  <si>
    <t>CENTRO DE BENEFICIO  "C.R. HUAYQUIQUE"</t>
  </si>
  <si>
    <t>CENTRO DE BENEFICIO  "PISCINA C.R. HUAYQUIQUE (GM)"</t>
  </si>
  <si>
    <t>PAN</t>
  </si>
  <si>
    <t>QUESO</t>
  </si>
  <si>
    <t>JAMON</t>
  </si>
  <si>
    <t>YOGURT 125 CC</t>
  </si>
  <si>
    <t>SACHET DE AZUCAR</t>
  </si>
  <si>
    <t>SACHET DE ENDULZANTE</t>
  </si>
  <si>
    <t>SACHET DE TE</t>
  </si>
  <si>
    <t>SACHET DE CAFÉ</t>
  </si>
  <si>
    <t>SERVILLETA</t>
  </si>
  <si>
    <t>CEREAL GRANOLA</t>
  </si>
  <si>
    <t>LECHE</t>
  </si>
  <si>
    <t>MARGARINA</t>
  </si>
  <si>
    <t>BARRA DE CERAL</t>
  </si>
  <si>
    <t>YOGURT</t>
  </si>
  <si>
    <t>AZUCAR</t>
  </si>
  <si>
    <t>CAFÉ</t>
  </si>
  <si>
    <t>TE</t>
  </si>
  <si>
    <t>ENDULZANTE</t>
  </si>
  <si>
    <t>CALETA ANGAMOS</t>
  </si>
  <si>
    <t>RADA IQUIQUE</t>
  </si>
  <si>
    <t>RO FINAL</t>
  </si>
  <si>
    <t>ACUMULADO</t>
  </si>
  <si>
    <t>CAMARERA FULL TIME</t>
  </si>
  <si>
    <t>CAMARERA PART TIME</t>
  </si>
  <si>
    <t>HOTEL GRANADEROS</t>
  </si>
  <si>
    <t>PENINSULA HOSTEL&amp;COFFEE</t>
  </si>
  <si>
    <t>ESPACIO OX</t>
  </si>
  <si>
    <t xml:space="preserve">MARCELA </t>
  </si>
  <si>
    <t>PALAPE</t>
  </si>
  <si>
    <t>CONTADOR</t>
  </si>
  <si>
    <t>ADM. CENTRAL</t>
  </si>
  <si>
    <t>CONSTANZA</t>
  </si>
  <si>
    <t>VENEGAS</t>
  </si>
  <si>
    <t>ANALISTA Y OPERADOR CONTABLE</t>
  </si>
  <si>
    <t xml:space="preserve">BENJAMIN </t>
  </si>
  <si>
    <t>SALAS</t>
  </si>
  <si>
    <t>SECRETARIO DIGITADOR</t>
  </si>
  <si>
    <t>RICARDO</t>
  </si>
  <si>
    <t>AREVALO</t>
  </si>
  <si>
    <t>ADMINISTRATIVO CONTABLE</t>
  </si>
  <si>
    <t>ASEADOR</t>
  </si>
  <si>
    <t xml:space="preserve">CLAUDIA </t>
  </si>
  <si>
    <t>COBARRUBIAS</t>
  </si>
  <si>
    <t>Ej: Encargado RR.HH.</t>
  </si>
  <si>
    <t>NICOLAS</t>
  </si>
  <si>
    <t>VASQUEZ</t>
  </si>
  <si>
    <t>Ej: Encargado Informática</t>
  </si>
  <si>
    <t>BAVESTRELLO</t>
  </si>
  <si>
    <t>GINO</t>
  </si>
  <si>
    <t>ITO</t>
  </si>
  <si>
    <t>A.HABITACIONAL</t>
  </si>
  <si>
    <t>GONZALEZ</t>
  </si>
  <si>
    <t>ALAMIRO</t>
  </si>
  <si>
    <t>MAESTRO</t>
  </si>
  <si>
    <t>BERARDI</t>
  </si>
  <si>
    <t>JENNIFER</t>
  </si>
  <si>
    <t>ENC CONTRATO- COMERCIAL</t>
  </si>
  <si>
    <t>ADMINISTRADOR</t>
  </si>
  <si>
    <t>PISCINERO</t>
  </si>
  <si>
    <t xml:space="preserve">JOEL </t>
  </si>
  <si>
    <t>CASANOVA GODOY</t>
  </si>
  <si>
    <t>PERSONAL DE ASEO FULL TIME</t>
  </si>
  <si>
    <t>SALVAVIDAS 1 FULL TIME</t>
  </si>
  <si>
    <t>4 TT CAMARERAS</t>
  </si>
  <si>
    <t>ANEXO D</t>
  </si>
  <si>
    <t>TABLA 6: REMUNERACIONES DEL PERSONAL LEY 18.712 ADMINISTRACION CENTRAL Y APOYO ADMINISTRATIVO ASISTENCIA EDUCACIONAL</t>
  </si>
  <si>
    <t>TABLA 7: DISTRIBUCION COSTOS REMUNERACIONES ADMINISTRACION CENTRAL Y APOYO ADMINISTRATIVO A. EDUCACIONAL</t>
  </si>
  <si>
    <t>TABLA 8: COSTOS DE OPERACION ADMINISTRACIÓN CENTRAL Y  APOYO ADMINISTRATIVO ASISTENCIA EDUCACIONAL</t>
  </si>
  <si>
    <t>TABLA 9: RESUMEN DISTRIBUCION COSTOS REMUNERACIONES ADMINISTRACION CENTRAL</t>
  </si>
  <si>
    <t>TABLA 10: RESUMEN DISTRIBUCION COSTOS OPERACIÓN ADMINISTRACION CENTRAL  Y APOYO ADMINISTRATIVO A. EDUCACIONAL</t>
  </si>
  <si>
    <t>Unidades de Apoyo Administrativo</t>
  </si>
  <si>
    <t>Gasto Total Empresa</t>
  </si>
  <si>
    <t>ÁREA APOYO A. EDUCACIONAL</t>
  </si>
  <si>
    <t>Asistencia Educacional</t>
  </si>
  <si>
    <t>APOYO ADM.</t>
  </si>
  <si>
    <t>Asistencia Comercial</t>
  </si>
  <si>
    <t>CH ANGAMOS</t>
  </si>
  <si>
    <t>Segmento
 1</t>
  </si>
  <si>
    <t>Segmento 
2</t>
  </si>
  <si>
    <t>Segmento 
3</t>
  </si>
  <si>
    <t xml:space="preserve"> Reajuste ($)</t>
  </si>
  <si>
    <t>HUAYQUIQUE</t>
  </si>
  <si>
    <t>Tarifas 2025</t>
  </si>
  <si>
    <t xml:space="preserve"> Tarifas 2026</t>
  </si>
  <si>
    <t>Tarifa 2026</t>
  </si>
  <si>
    <t>Propuesta Tarifas 2026</t>
  </si>
  <si>
    <t>Meta Ocupación 2026</t>
  </si>
  <si>
    <t>COSTO DIRECTO ESTIMADO 2026</t>
  </si>
  <si>
    <t>REMUNERACIONES 2025</t>
  </si>
  <si>
    <t>Costo Total por Servidor Reajustado 2026</t>
  </si>
  <si>
    <t>COSTO INDIRECTO ESTIMADO 2026</t>
  </si>
  <si>
    <t xml:space="preserve"> Tarifas  2026</t>
  </si>
  <si>
    <t>Tarifas  2025</t>
  </si>
  <si>
    <t>1 TT</t>
  </si>
  <si>
    <t>Costo Total Empresa
2025</t>
  </si>
  <si>
    <t>TEMPORADA 1 OCTUBRE 2025-31 MARZO 2026</t>
  </si>
  <si>
    <t>Costo Total anual por Servidor 2025</t>
  </si>
  <si>
    <t>D) COSTOS INDIRECTOS ASISTENCIA RECREATIVA</t>
  </si>
  <si>
    <t>RAUL ALEJANDRO</t>
  </si>
  <si>
    <t>CASTILLO</t>
  </si>
  <si>
    <t xml:space="preserve">MARIA </t>
  </si>
  <si>
    <t>RODRIGUEZ</t>
  </si>
  <si>
    <t xml:space="preserve">MIDDIA </t>
  </si>
  <si>
    <t>LA FUENTE</t>
  </si>
  <si>
    <t>JUGO</t>
  </si>
  <si>
    <t>JUGO 200 CC</t>
  </si>
  <si>
    <t>CLAUDIO</t>
  </si>
  <si>
    <t>BARRIENTOS</t>
  </si>
  <si>
    <t xml:space="preserve">HECTOR </t>
  </si>
  <si>
    <t>MONDACA</t>
  </si>
  <si>
    <t>ADMINISTRATIVO</t>
  </si>
  <si>
    <t>ROBERTO</t>
  </si>
  <si>
    <t>GUZMAN</t>
  </si>
  <si>
    <t>MIRIAM</t>
  </si>
  <si>
    <t>LEON</t>
  </si>
  <si>
    <t>C. RECREACIONAL EJERCITO DE CHILE</t>
  </si>
  <si>
    <t xml:space="preserve">ROXANA </t>
  </si>
  <si>
    <t xml:space="preserve">GUERRA </t>
  </si>
  <si>
    <t>3 TT</t>
  </si>
  <si>
    <t>Gastos bancarios</t>
  </si>
  <si>
    <t>Otros materiales y utiles diversos</t>
  </si>
  <si>
    <t>Otros materiales y utiles imprevistos</t>
  </si>
  <si>
    <t>EPP</t>
  </si>
  <si>
    <t>Pulseras</t>
  </si>
  <si>
    <t>APORTE OPERACIONAL</t>
  </si>
  <si>
    <t>RESULTADO CON APORTE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</si>
</sst>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6" formatCode="&quot;$&quot;#,##0;[Red]&quot;$&quot;\-#,##0"/>
    <numFmt numFmtId="42" formatCode="_ &quot;$&quot;* #,##0_ ;_ &quot;$&quot;* \-#,##0_ ;_ &quot;$&quot;* &quot;-&quot;_ ;_ @_ "/>
    <numFmt numFmtId="44" formatCode="_ &quot;$&quot;* #,##0.00_ ;_ &quot;$&quot;* \-#,##0.00_ ;_ &quot;$&quot;* &quot;-&quot;??_ ;_ @_ "/>
    <numFmt numFmtId="43" formatCode="_ * #,##0.00_ ;_ * \-#,##0.00_ ;_ * &quot;-&quot;??_ ;_ @_ "/>
    <numFmt numFmtId="164" formatCode="&quot;$&quot;#,##0_);[Red]\(&quot;$&quot;#,##0\)"/>
    <numFmt numFmtId="165" formatCode="_-&quot;$ &quot;* #,##0_-;&quot;-$ &quot;* #,##0_-;_-&quot;$ &quot;* \-_-;_-@_-"/>
    <numFmt numFmtId="166" formatCode="_-&quot;$&quot;* #,##0_-;\-&quot;$&quot;* #,##0_-;_-&quot;$&quot;* &quot;-&quot;??_-;_-@_-"/>
    <numFmt numFmtId="167" formatCode="0.0%"/>
    <numFmt numFmtId="168" formatCode="#,##0_ ;\-#,##0\ "/>
    <numFmt numFmtId="169" formatCode="_-* #,##0.0_-;\-* #,##0.0_-;_-* \-??_-;_-@_-"/>
    <numFmt numFmtId="170" formatCode="_(* #,##0_);_(* \(#,##0\);_(* \-_);_(@_)"/>
    <numFmt numFmtId="171" formatCode="_-* #,##0_-;\-* #,##0_-;_-* \-??_-;_-@_-"/>
    <numFmt numFmtId="172" formatCode="\$#,##0_);&quot;($&quot;#,##0\)"/>
    <numFmt numFmtId="173" formatCode="&quot;$&quot;\ #,##0"/>
    <numFmt numFmtId="174" formatCode="_-\$* #,##0_-;&quot;-$&quot;* #,##0_-;_-\$* \-??_-;_-@_-"/>
    <numFmt numFmtId="175" formatCode="_-[$$-340A]\ * #,##0_-;\-[$$-340A]\ * #,##0_-;_-[$$-340A]\ * &quot;-&quot;??_-;_-@_-"/>
    <numFmt numFmtId="176" formatCode="0.0000"/>
    <numFmt numFmtId="177" formatCode="0.0\ %"/>
    <numFmt numFmtId="178" formatCode="0.00\ %"/>
    <numFmt numFmtId="179" formatCode="_-&quot;$&quot;\ * #,##0_-;\-&quot;$&quot;\ * #,##0_-;_-&quot;$&quot;\ * &quot;-&quot;??_-;_-@_-"/>
    <numFmt numFmtId="180" formatCode="_-\ * #,##0_-;&quot;$ &quot;* #,##0_-;_-\ * \-_-;_-@_-"/>
    <numFmt numFmtId="181" formatCode="_ &quot;$&quot;* #,##0_ ;_ &quot;$&quot;* \-#,##0_ ;_ &quot;$&quot;* &quot;-&quot;??_ ;_ @_ "/>
    <numFmt numFmtId="182" formatCode="_ &quot;$&quot;* #,##0.0_ ;_ &quot;$&quot;* \-#,##0.0_ ;_ &quot;$&quot;* &quot;-&quot;?_ ;_ @_ "/>
    <numFmt numFmtId="183" formatCode="0\ %"/>
  </numFmts>
  <fonts count="41"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0"/>
      <color indexed="40"/>
      <name val="Arial"/>
      <family val="2"/>
    </font>
    <font>
      <b/>
      <sz val="10"/>
      <name val="Arial"/>
      <family val="2"/>
    </font>
    <font>
      <sz val="10"/>
      <name val="Arial"/>
      <family val="2"/>
    </font>
    <font>
      <b/>
      <sz val="10"/>
      <color indexed="10"/>
      <name val="Arial"/>
      <family val="2"/>
    </font>
    <font>
      <b/>
      <sz val="12"/>
      <name val="Arial"/>
      <family val="2"/>
    </font>
    <font>
      <b/>
      <sz val="10"/>
      <color theme="0"/>
      <name val="Arial"/>
      <family val="2"/>
    </font>
    <font>
      <b/>
      <sz val="11"/>
      <name val="Arial"/>
      <family val="2"/>
    </font>
    <font>
      <b/>
      <sz val="12"/>
      <color theme="0"/>
      <name val="Arial"/>
      <family val="2"/>
    </font>
    <font>
      <sz val="10"/>
      <color rgb="FF000000"/>
      <name val="Arial"/>
      <family val="2"/>
    </font>
    <font>
      <b/>
      <sz val="10"/>
      <color rgb="FF000000"/>
      <name val="Arial"/>
      <family val="2"/>
    </font>
    <font>
      <b/>
      <sz val="10"/>
      <color indexed="8"/>
      <name val="Arial"/>
      <family val="2"/>
    </font>
    <font>
      <sz val="10"/>
      <color indexed="8"/>
      <name val="Arial"/>
      <family val="2"/>
    </font>
    <font>
      <sz val="10"/>
      <color rgb="FFFF0000"/>
      <name val="Arial"/>
      <family val="2"/>
    </font>
    <font>
      <b/>
      <u/>
      <sz val="12"/>
      <color rgb="FF0000CC"/>
      <name val="Arial"/>
      <family val="2"/>
    </font>
    <font>
      <b/>
      <sz val="10"/>
      <color theme="1"/>
      <name val="Arial"/>
      <family val="2"/>
    </font>
    <font>
      <b/>
      <sz val="16"/>
      <name val="Arial"/>
      <family val="2"/>
    </font>
    <font>
      <b/>
      <sz val="10"/>
      <color indexed="9"/>
      <name val="Arial"/>
      <family val="2"/>
    </font>
    <font>
      <sz val="10"/>
      <color theme="1"/>
      <name val="Arial"/>
      <family val="2"/>
    </font>
    <font>
      <b/>
      <u/>
      <sz val="10"/>
      <name val="Arial"/>
      <family val="2"/>
    </font>
    <font>
      <b/>
      <u/>
      <sz val="12"/>
      <name val="Arial"/>
      <family val="2"/>
    </font>
    <font>
      <sz val="10"/>
      <color theme="0"/>
      <name val="Arial"/>
      <family val="2"/>
    </font>
    <font>
      <b/>
      <sz val="11"/>
      <name val="Calibri"/>
      <family val="2"/>
      <scheme val="minor"/>
    </font>
    <font>
      <b/>
      <u/>
      <sz val="11"/>
      <color theme="1"/>
      <name val="Calibri"/>
      <family val="2"/>
      <scheme val="minor"/>
    </font>
    <font>
      <b/>
      <sz val="14"/>
      <name val="Arial"/>
      <family val="2"/>
    </font>
    <font>
      <sz val="11"/>
      <name val="Calibri"/>
      <family val="2"/>
      <scheme val="minor"/>
    </font>
    <font>
      <sz val="10"/>
      <name val="Arial"/>
      <family val="2"/>
      <charset val="1"/>
    </font>
    <font>
      <sz val="10"/>
      <color rgb="FF000000"/>
      <name val="Arial"/>
      <family val="2"/>
      <charset val="1"/>
    </font>
    <font>
      <sz val="11"/>
      <color rgb="FFFF0000"/>
      <name val="Calibri"/>
      <family val="2"/>
      <scheme val="minor"/>
    </font>
    <font>
      <b/>
      <sz val="8"/>
      <color rgb="FF000000"/>
      <name val="Arial"/>
      <family val="2"/>
    </font>
    <font>
      <sz val="8"/>
      <color rgb="FF000000"/>
      <name val="Arial"/>
      <family val="2"/>
    </font>
    <font>
      <b/>
      <sz val="8"/>
      <name val="Arial"/>
      <family val="2"/>
    </font>
    <font>
      <sz val="9"/>
      <color indexed="81"/>
      <name val="Tahoma"/>
      <family val="2"/>
    </font>
    <font>
      <b/>
      <sz val="9"/>
      <color indexed="81"/>
      <name val="Tahoma"/>
      <family val="2"/>
    </font>
    <font>
      <b/>
      <sz val="10"/>
      <color theme="3"/>
      <name val="Arial"/>
      <family val="2"/>
    </font>
    <font>
      <b/>
      <sz val="11"/>
      <color theme="0"/>
      <name val="Calibri"/>
      <family val="2"/>
      <scheme val="minor"/>
    </font>
    <font>
      <b/>
      <sz val="11"/>
      <color indexed="10"/>
      <name val="Calibri"/>
      <family val="2"/>
      <scheme val="minor"/>
    </font>
    <font>
      <b/>
      <sz val="11"/>
      <color rgb="FFFF0000"/>
      <name val="Calibri"/>
      <family val="2"/>
      <scheme val="minor"/>
    </font>
  </fonts>
  <fills count="75">
    <fill>
      <patternFill patternType="none"/>
    </fill>
    <fill>
      <patternFill patternType="gray125"/>
    </fill>
    <fill>
      <patternFill patternType="solid">
        <fgColor theme="0" tint="-0.249977111117893"/>
        <bgColor indexed="26"/>
      </patternFill>
    </fill>
    <fill>
      <patternFill patternType="solid">
        <fgColor theme="3"/>
        <bgColor indexed="26"/>
      </patternFill>
    </fill>
    <fill>
      <patternFill patternType="solid">
        <fgColor theme="5" tint="0.39997558519241921"/>
        <bgColor indexed="26"/>
      </patternFill>
    </fill>
    <fill>
      <patternFill patternType="solid">
        <fgColor rgb="FFC00000"/>
        <bgColor indexed="26"/>
      </patternFill>
    </fill>
    <fill>
      <patternFill patternType="solid">
        <fgColor rgb="FFFFFF00"/>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FFFF00"/>
        <bgColor indexed="26"/>
      </patternFill>
    </fill>
    <fill>
      <patternFill patternType="solid">
        <fgColor theme="0" tint="-0.249977111117893"/>
        <bgColor indexed="24"/>
      </patternFill>
    </fill>
    <fill>
      <patternFill patternType="solid">
        <fgColor theme="3" tint="-0.249977111117893"/>
        <bgColor indexed="24"/>
      </patternFill>
    </fill>
    <fill>
      <patternFill patternType="solid">
        <fgColor theme="3" tint="0.39997558519241921"/>
        <bgColor indexed="26"/>
      </patternFill>
    </fill>
    <fill>
      <patternFill patternType="solid">
        <fgColor theme="0"/>
        <bgColor indexed="64"/>
      </patternFill>
    </fill>
    <fill>
      <patternFill patternType="solid">
        <fgColor theme="0"/>
        <bgColor rgb="FFFFFFCC"/>
      </patternFill>
    </fill>
    <fill>
      <patternFill patternType="gray125">
        <bgColor theme="0"/>
      </patternFill>
    </fill>
    <fill>
      <patternFill patternType="solid">
        <fgColor theme="4" tint="0.59999389629810485"/>
        <bgColor indexed="64"/>
      </patternFill>
    </fill>
    <fill>
      <patternFill patternType="solid">
        <fgColor rgb="FFFFFF00"/>
        <bgColor rgb="FFFFFFCC"/>
      </patternFill>
    </fill>
    <fill>
      <patternFill patternType="solid">
        <fgColor theme="7" tint="0.3999755851924192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3" tint="0.59999389629810485"/>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rgb="FF92D050"/>
        <bgColor indexed="64"/>
      </patternFill>
    </fill>
    <fill>
      <patternFill patternType="solid">
        <fgColor theme="6"/>
        <bgColor indexed="64"/>
      </patternFill>
    </fill>
    <fill>
      <patternFill patternType="solid">
        <fgColor theme="6" tint="0.59999389629810485"/>
        <bgColor indexed="64"/>
      </patternFill>
    </fill>
    <fill>
      <patternFill patternType="solid">
        <fgColor theme="0" tint="-0.249977111117893"/>
        <bgColor indexed="44"/>
      </patternFill>
    </fill>
    <fill>
      <patternFill patternType="solid">
        <fgColor theme="5" tint="0.39997558519241921"/>
        <bgColor indexed="24"/>
      </patternFill>
    </fill>
    <fill>
      <patternFill patternType="solid">
        <fgColor theme="5" tint="0.39997558519241921"/>
        <bgColor indexed="40"/>
      </patternFill>
    </fill>
    <fill>
      <patternFill patternType="solid">
        <fgColor theme="5" tint="0.39994506668294322"/>
        <bgColor auto="1"/>
      </patternFill>
    </fill>
    <fill>
      <patternFill patternType="gray125">
        <fgColor auto="1"/>
        <bgColor theme="5" tint="0.39997558519241921"/>
      </patternFill>
    </fill>
    <fill>
      <patternFill patternType="solid">
        <fgColor theme="5" tint="0.79998168889431442"/>
        <bgColor indexed="24"/>
      </patternFill>
    </fill>
    <fill>
      <patternFill patternType="gray125">
        <fgColor auto="1"/>
        <bgColor theme="5" tint="0.79998168889431442"/>
      </patternFill>
    </fill>
    <fill>
      <patternFill patternType="gray125">
        <bgColor theme="3" tint="0.79998168889431442"/>
      </patternFill>
    </fill>
    <fill>
      <patternFill patternType="solid">
        <fgColor theme="3" tint="0.79998168889431442"/>
        <bgColor indexed="64"/>
      </patternFill>
    </fill>
    <fill>
      <patternFill patternType="solid">
        <fgColor rgb="FFFFC000"/>
        <bgColor indexed="64"/>
      </patternFill>
    </fill>
    <fill>
      <patternFill patternType="solid">
        <fgColor theme="3" tint="0.39997558519241921"/>
        <bgColor indexed="24"/>
      </patternFill>
    </fill>
    <fill>
      <patternFill patternType="solid">
        <fgColor theme="3" tint="0.39997558519241921"/>
        <bgColor indexed="44"/>
      </patternFill>
    </fill>
    <fill>
      <patternFill patternType="gray125">
        <fgColor auto="1"/>
        <bgColor theme="3" tint="0.39997558519241921"/>
      </patternFill>
    </fill>
    <fill>
      <patternFill patternType="solid">
        <fgColor rgb="FFFFFFFF"/>
        <bgColor indexed="64"/>
      </patternFill>
    </fill>
    <fill>
      <patternFill patternType="solid">
        <fgColor theme="4" tint="0.39997558519241921"/>
        <bgColor indexed="64"/>
      </patternFill>
    </fill>
    <fill>
      <patternFill patternType="solid">
        <fgColor theme="3" tint="0.39997558519241921"/>
        <bgColor indexed="64"/>
      </patternFill>
    </fill>
    <fill>
      <patternFill patternType="solid">
        <fgColor rgb="FF00B0F0"/>
        <bgColor indexed="64"/>
      </patternFill>
    </fill>
    <fill>
      <patternFill patternType="solid">
        <fgColor theme="3" tint="-0.249977111117893"/>
        <bgColor indexed="64"/>
      </patternFill>
    </fill>
    <fill>
      <patternFill patternType="gray125">
        <bgColor theme="3" tint="0.79995117038483843"/>
      </patternFill>
    </fill>
    <fill>
      <patternFill patternType="solid">
        <fgColor theme="0" tint="-0.14999847407452621"/>
        <bgColor indexed="64"/>
      </patternFill>
    </fill>
    <fill>
      <patternFill patternType="gray125">
        <bgColor theme="0" tint="-0.14999847407452621"/>
      </patternFill>
    </fill>
    <fill>
      <patternFill patternType="gray125">
        <bgColor theme="0" tint="-0.14996795556505021"/>
      </patternFill>
    </fill>
    <fill>
      <patternFill patternType="solid">
        <fgColor theme="2"/>
        <bgColor indexed="64"/>
      </patternFill>
    </fill>
    <fill>
      <patternFill patternType="solid">
        <fgColor rgb="FF002060"/>
        <bgColor indexed="64"/>
      </patternFill>
    </fill>
    <fill>
      <patternFill patternType="solid">
        <fgColor theme="4" tint="0.79998168889431442"/>
        <bgColor theme="4" tint="0.79998168889431442"/>
      </patternFill>
    </fill>
    <fill>
      <patternFill patternType="solid">
        <fgColor indexed="9"/>
        <bgColor indexed="26"/>
      </patternFill>
    </fill>
    <fill>
      <patternFill patternType="gray125">
        <bgColor indexed="9"/>
      </patternFill>
    </fill>
    <fill>
      <patternFill patternType="solid">
        <fgColor theme="3" tint="0.79998168889431442"/>
        <bgColor indexed="24"/>
      </patternFill>
    </fill>
    <fill>
      <patternFill patternType="gray125">
        <fgColor indexed="26"/>
        <bgColor indexed="9"/>
      </patternFill>
    </fill>
    <fill>
      <patternFill patternType="gray125">
        <fgColor indexed="24"/>
        <bgColor theme="3" tint="0.79998168889431442"/>
      </patternFill>
    </fill>
    <fill>
      <patternFill patternType="solid">
        <fgColor rgb="FFFFFF00"/>
        <bgColor rgb="FFFFD966"/>
      </patternFill>
    </fill>
    <fill>
      <patternFill patternType="solid">
        <fgColor rgb="FFFFC000"/>
        <bgColor rgb="FFFFD966"/>
      </patternFill>
    </fill>
    <fill>
      <patternFill patternType="solid">
        <fgColor rgb="FFD6DCE5"/>
        <bgColor rgb="FFDBDBDB"/>
      </patternFill>
    </fill>
    <fill>
      <patternFill patternType="solid">
        <fgColor rgb="FFF2F5A9"/>
        <bgColor indexed="64"/>
      </patternFill>
    </fill>
    <fill>
      <patternFill patternType="solid">
        <fgColor rgb="FFDBA901"/>
        <bgColor indexed="64"/>
      </patternFill>
    </fill>
    <fill>
      <patternFill patternType="lightGray">
        <bgColor theme="7" tint="0.39997558519241921"/>
      </patternFill>
    </fill>
    <fill>
      <patternFill patternType="solid">
        <fgColor theme="4" tint="0.59999389629810485"/>
        <bgColor rgb="FFFFFFCC"/>
      </patternFill>
    </fill>
    <fill>
      <patternFill patternType="gray125">
        <bgColor theme="4" tint="0.59999389629810485"/>
      </patternFill>
    </fill>
    <fill>
      <patternFill patternType="solid">
        <fgColor theme="5" tint="0.39997558519241921"/>
        <bgColor rgb="FFFFFFCC"/>
      </patternFill>
    </fill>
    <fill>
      <patternFill patternType="gray125">
        <bgColor theme="5" tint="0.39997558519241921"/>
      </patternFill>
    </fill>
    <fill>
      <patternFill patternType="solid">
        <fgColor theme="0"/>
        <bgColor rgb="FFFFD966"/>
      </patternFill>
    </fill>
    <fill>
      <patternFill patternType="solid">
        <fgColor theme="9" tint="0.59999389629810485"/>
        <bgColor indexed="64"/>
      </patternFill>
    </fill>
    <fill>
      <patternFill patternType="solid">
        <fgColor theme="4" tint="-0.249977111117893"/>
        <bgColor indexed="64"/>
      </patternFill>
    </fill>
    <fill>
      <patternFill patternType="solid">
        <fgColor theme="4" tint="-0.249977111117893"/>
        <bgColor indexed="24"/>
      </patternFill>
    </fill>
    <fill>
      <patternFill patternType="solid">
        <fgColor theme="0"/>
        <bgColor indexed="26"/>
      </patternFill>
    </fill>
    <fill>
      <patternFill patternType="lightGray"/>
    </fill>
    <fill>
      <patternFill patternType="gray125">
        <bgColor theme="5" tint="0.59999389629810485"/>
      </patternFill>
    </fill>
  </fills>
  <borders count="284">
    <border>
      <left/>
      <right/>
      <top/>
      <bottom/>
      <diagonal/>
    </border>
    <border>
      <left/>
      <right style="thin">
        <color indexed="8"/>
      </right>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medium">
        <color auto="1"/>
      </top>
      <bottom/>
      <diagonal/>
    </border>
    <border>
      <left/>
      <right/>
      <top style="medium">
        <color indexed="64"/>
      </top>
      <bottom/>
      <diagonal/>
    </border>
    <border>
      <left/>
      <right style="thin">
        <color indexed="8"/>
      </right>
      <top style="medium">
        <color indexed="64"/>
      </top>
      <bottom/>
      <diagonal/>
    </border>
    <border>
      <left style="thin">
        <color indexed="8"/>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medium">
        <color indexed="64"/>
      </right>
      <top style="thin">
        <color indexed="8"/>
      </top>
      <bottom/>
      <diagonal/>
    </border>
    <border>
      <left style="medium">
        <color indexed="64"/>
      </left>
      <right/>
      <top/>
      <bottom/>
      <diagonal/>
    </border>
    <border>
      <left/>
      <right style="medium">
        <color indexed="64"/>
      </right>
      <top/>
      <bottom/>
      <diagonal/>
    </border>
    <border>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rgb="FFC00000"/>
      </left>
      <right/>
      <top style="medium">
        <color rgb="FFC00000"/>
      </top>
      <bottom style="medium">
        <color rgb="FFC00000"/>
      </bottom>
      <diagonal/>
    </border>
    <border>
      <left/>
      <right style="medium">
        <color rgb="FFC00000"/>
      </right>
      <top style="medium">
        <color rgb="FFC00000"/>
      </top>
      <bottom style="medium">
        <color rgb="FFC00000"/>
      </bottom>
      <diagonal/>
    </border>
    <border>
      <left/>
      <right style="medium">
        <color rgb="FFC00000"/>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8"/>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auto="1"/>
      </right>
      <top style="medium">
        <color auto="1"/>
      </top>
      <bottom style="thin">
        <color auto="1"/>
      </bottom>
      <diagonal/>
    </border>
    <border>
      <left/>
      <right style="medium">
        <color indexed="64"/>
      </right>
      <top style="medium">
        <color indexed="64"/>
      </top>
      <bottom style="thin">
        <color indexed="64"/>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rgb="FF6E6E6E"/>
      </left>
      <right style="medium">
        <color rgb="FF6E6E6E"/>
      </right>
      <top/>
      <bottom style="medium">
        <color rgb="FF6E6E6E"/>
      </bottom>
      <diagonal/>
    </border>
    <border>
      <left style="medium">
        <color rgb="FF6E6E6E"/>
      </left>
      <right style="medium">
        <color rgb="FF6E6E6E"/>
      </right>
      <top style="medium">
        <color rgb="FF6E6E6E"/>
      </top>
      <bottom style="medium">
        <color rgb="FF6E6E6E"/>
      </bottom>
      <diagonal/>
    </border>
    <border>
      <left style="thin">
        <color indexed="64"/>
      </left>
      <right/>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top/>
      <bottom/>
      <diagonal/>
    </border>
    <border>
      <left/>
      <right/>
      <top/>
      <bottom style="thin">
        <color indexed="8"/>
      </bottom>
      <diagonal/>
    </border>
    <border>
      <left/>
      <right/>
      <top style="thin">
        <color auto="1"/>
      </top>
      <bottom style="thin">
        <color auto="1"/>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style="thin">
        <color rgb="FF0070C0"/>
      </left>
      <right style="thin">
        <color rgb="FF0070C0"/>
      </right>
      <top/>
      <bottom style="thin">
        <color rgb="FF0070C0"/>
      </bottom>
      <diagonal/>
    </border>
    <border>
      <left/>
      <right style="thin">
        <color auto="1"/>
      </right>
      <top style="thin">
        <color auto="1"/>
      </top>
      <bottom style="thin">
        <color auto="1"/>
      </bottom>
      <diagonal/>
    </border>
    <border>
      <left/>
      <right style="thin">
        <color auto="1"/>
      </right>
      <top style="thin">
        <color auto="1"/>
      </top>
      <bottom/>
      <diagonal/>
    </border>
    <border>
      <left style="thin">
        <color indexed="64"/>
      </left>
      <right style="thin">
        <color indexed="64"/>
      </right>
      <top style="thin">
        <color indexed="64"/>
      </top>
      <bottom/>
      <diagonal/>
    </border>
    <border>
      <left style="thin">
        <color indexed="8"/>
      </left>
      <right/>
      <top style="thin">
        <color indexed="8"/>
      </top>
      <bottom style="thin">
        <color indexed="8"/>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auto="1"/>
      </left>
      <right/>
      <top style="medium">
        <color indexed="64"/>
      </top>
      <bottom style="medium">
        <color indexed="64"/>
      </bottom>
      <diagonal/>
    </border>
    <border>
      <left/>
      <right style="thin">
        <color auto="1"/>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8"/>
      </right>
      <top style="thin">
        <color indexed="8"/>
      </top>
      <bottom style="thin">
        <color indexed="8"/>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medium">
        <color indexed="64"/>
      </left>
      <right/>
      <top style="medium">
        <color indexed="64"/>
      </top>
      <bottom style="thin">
        <color indexed="8"/>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medium">
        <color indexed="8"/>
      </right>
      <top style="medium">
        <color indexed="8"/>
      </top>
      <bottom/>
      <diagonal/>
    </border>
    <border>
      <left style="medium">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style="medium">
        <color indexed="64"/>
      </right>
      <top style="thin">
        <color indexed="8"/>
      </top>
      <bottom/>
      <diagonal/>
    </border>
    <border>
      <left/>
      <right style="thin">
        <color indexed="8"/>
      </right>
      <top style="thin">
        <color indexed="8"/>
      </top>
      <bottom/>
      <diagonal/>
    </border>
    <border>
      <left style="thin">
        <color indexed="8"/>
      </left>
      <right style="medium">
        <color indexed="8"/>
      </right>
      <top/>
      <bottom/>
      <diagonal/>
    </border>
    <border>
      <left/>
      <right style="thin">
        <color indexed="64"/>
      </right>
      <top style="medium">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medium">
        <color indexed="64"/>
      </top>
      <bottom style="thin">
        <color indexed="8"/>
      </bottom>
      <diagonal/>
    </border>
    <border>
      <left style="medium">
        <color indexed="64"/>
      </left>
      <right/>
      <top style="thin">
        <color indexed="8"/>
      </top>
      <bottom style="thin">
        <color indexed="8"/>
      </bottom>
      <diagonal/>
    </border>
    <border>
      <left style="medium">
        <color indexed="64"/>
      </left>
      <right/>
      <top style="thin">
        <color indexed="8"/>
      </top>
      <bottom style="medium">
        <color indexed="64"/>
      </bottom>
      <diagonal/>
    </border>
    <border>
      <left style="thin">
        <color indexed="8"/>
      </left>
      <right style="thin">
        <color indexed="8"/>
      </right>
      <top style="thin">
        <color indexed="8"/>
      </top>
      <bottom style="thin">
        <color indexed="8"/>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thin">
        <color indexed="8"/>
      </left>
      <right style="medium">
        <color indexed="64"/>
      </right>
      <top style="thin">
        <color indexed="8"/>
      </top>
      <bottom style="thin">
        <color indexed="8"/>
      </bottom>
      <diagonal/>
    </border>
    <border>
      <left style="thin">
        <color indexed="8"/>
      </left>
      <right style="medium">
        <color indexed="64"/>
      </right>
      <top/>
      <bottom style="thin">
        <color indexed="8"/>
      </bottom>
      <diagonal/>
    </border>
    <border>
      <left style="medium">
        <color indexed="64"/>
      </left>
      <right style="thin">
        <color indexed="8"/>
      </right>
      <top/>
      <bottom style="medium">
        <color indexed="64"/>
      </bottom>
      <diagonal/>
    </border>
    <border>
      <left style="thin">
        <color indexed="8"/>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style="medium">
        <color indexed="64"/>
      </right>
      <top style="thin">
        <color indexed="64"/>
      </top>
      <bottom/>
      <diagonal/>
    </border>
    <border>
      <left style="thin">
        <color indexed="64"/>
      </left>
      <right/>
      <top style="medium">
        <color indexed="64"/>
      </top>
      <bottom style="thin">
        <color auto="1"/>
      </bottom>
      <diagonal/>
    </border>
    <border>
      <left/>
      <right style="thin">
        <color indexed="64"/>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auto="1"/>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medium">
        <color indexed="64"/>
      </top>
      <bottom style="thin">
        <color indexed="64"/>
      </bottom>
      <diagonal/>
    </border>
    <border>
      <left style="medium">
        <color indexed="64"/>
      </left>
      <right/>
      <top style="thin">
        <color auto="1"/>
      </top>
      <bottom style="thin">
        <color auto="1"/>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auto="1"/>
      </right>
      <top style="medium">
        <color indexed="64"/>
      </top>
      <bottom/>
      <diagonal/>
    </border>
    <border>
      <left style="thin">
        <color auto="1"/>
      </left>
      <right style="medium">
        <color indexed="64"/>
      </right>
      <top style="thin">
        <color indexed="64"/>
      </top>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auto="1"/>
      </left>
      <right style="thin">
        <color auto="1"/>
      </right>
      <top style="medium">
        <color indexed="64"/>
      </top>
      <bottom/>
      <diagonal/>
    </border>
    <border>
      <left style="medium">
        <color indexed="64"/>
      </left>
      <right/>
      <top style="medium">
        <color indexed="64"/>
      </top>
      <bottom style="thin">
        <color indexed="64"/>
      </bottom>
      <diagonal/>
    </border>
    <border>
      <left style="thin">
        <color auto="1"/>
      </left>
      <right style="thin">
        <color auto="1"/>
      </right>
      <top/>
      <bottom style="thin">
        <color auto="1"/>
      </bottom>
      <diagonal/>
    </border>
    <border>
      <left style="medium">
        <color indexed="64"/>
      </left>
      <right style="thin">
        <color auto="1"/>
      </right>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style="thin">
        <color indexed="64"/>
      </left>
      <right/>
      <top style="thin">
        <color indexed="64"/>
      </top>
      <bottom/>
      <diagonal/>
    </border>
    <border>
      <left/>
      <right style="thin">
        <color auto="1"/>
      </right>
      <top style="medium">
        <color auto="1"/>
      </top>
      <bottom style="thin">
        <color auto="1"/>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right/>
      <top style="thin">
        <color auto="1"/>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8"/>
      </right>
      <top style="thin">
        <color indexed="8"/>
      </top>
      <bottom style="thin">
        <color indexed="8"/>
      </bottom>
      <diagonal/>
    </border>
    <border>
      <left/>
      <right style="thin">
        <color indexed="64"/>
      </right>
      <top style="thin">
        <color indexed="64"/>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auto="1"/>
      </top>
      <bottom style="thin">
        <color auto="1"/>
      </bottom>
      <diagonal/>
    </border>
    <border>
      <left/>
      <right style="thin">
        <color indexed="64"/>
      </right>
      <top style="thin">
        <color indexed="64"/>
      </top>
      <bottom style="thin">
        <color indexed="64"/>
      </bottom>
      <diagonal/>
    </border>
    <border>
      <left/>
      <right style="medium">
        <color indexed="64"/>
      </right>
      <top style="thin">
        <color indexed="8"/>
      </top>
      <bottom style="thin">
        <color indexed="8"/>
      </bottom>
      <diagonal/>
    </border>
    <border>
      <left/>
      <right style="medium">
        <color indexed="64"/>
      </right>
      <top/>
      <bottom style="thin">
        <color indexed="8"/>
      </bottom>
      <diagonal/>
    </border>
    <border>
      <left style="thin">
        <color indexed="8"/>
      </left>
      <right style="thin">
        <color indexed="8"/>
      </right>
      <top/>
      <bottom/>
      <diagonal/>
    </border>
    <border>
      <left style="thin">
        <color indexed="8"/>
      </left>
      <right/>
      <top style="medium">
        <color indexed="64"/>
      </top>
      <bottom/>
      <diagonal/>
    </border>
    <border>
      <left style="thin">
        <color indexed="8"/>
      </left>
      <right/>
      <top/>
      <bottom/>
      <diagonal/>
    </border>
    <border>
      <left/>
      <right style="thin">
        <color indexed="8"/>
      </right>
      <top style="medium">
        <color indexed="64"/>
      </top>
      <bottom style="thin">
        <color indexed="8"/>
      </bottom>
      <diagonal/>
    </border>
    <border>
      <left/>
      <right style="thin">
        <color indexed="8"/>
      </right>
      <top/>
      <bottom style="medium">
        <color indexed="64"/>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medium">
        <color indexed="64"/>
      </left>
      <right/>
      <top style="medium">
        <color indexed="64"/>
      </top>
      <bottom style="thin">
        <color indexed="64"/>
      </bottom>
      <diagonal/>
    </border>
    <border>
      <left style="thin">
        <color auto="1"/>
      </left>
      <right style="thin">
        <color auto="1"/>
      </right>
      <top style="thin">
        <color indexed="64"/>
      </top>
      <bottom/>
      <diagonal/>
    </border>
    <border>
      <left style="thin">
        <color indexed="64"/>
      </left>
      <right style="medium">
        <color indexed="64"/>
      </right>
      <top style="thin">
        <color indexed="64"/>
      </top>
      <bottom/>
      <diagonal/>
    </border>
    <border>
      <left style="medium">
        <color indexed="64"/>
      </left>
      <right style="thin">
        <color auto="1"/>
      </right>
      <top style="thin">
        <color auto="1"/>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thin">
        <color auto="1"/>
      </right>
      <top style="medium">
        <color indexed="64"/>
      </top>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style="thin">
        <color auto="1"/>
      </left>
      <right/>
      <top style="medium">
        <color indexed="64"/>
      </top>
      <bottom/>
      <diagonal/>
    </border>
    <border>
      <left style="thin">
        <color indexed="8"/>
      </left>
      <right/>
      <top style="thin">
        <color indexed="8"/>
      </top>
      <bottom style="thin">
        <color indexed="8"/>
      </bottom>
      <diagonal/>
    </border>
    <border>
      <left/>
      <right style="thin">
        <color indexed="64"/>
      </right>
      <top style="medium">
        <color indexed="64"/>
      </top>
      <bottom/>
      <diagonal/>
    </border>
    <border>
      <left style="thin">
        <color auto="1"/>
      </left>
      <right style="thin">
        <color auto="1"/>
      </right>
      <top style="thin">
        <color auto="1"/>
      </top>
      <bottom/>
      <diagonal/>
    </border>
    <border>
      <left style="medium">
        <color indexed="64"/>
      </left>
      <right style="thin">
        <color indexed="64"/>
      </right>
      <top style="thin">
        <color indexed="64"/>
      </top>
      <bottom/>
      <diagonal/>
    </border>
    <border>
      <left style="thin">
        <color auto="1"/>
      </left>
      <right style="medium">
        <color indexed="64"/>
      </right>
      <top style="thin">
        <color indexed="64"/>
      </top>
      <bottom/>
      <diagonal/>
    </border>
    <border>
      <left/>
      <right/>
      <top style="thin">
        <color indexed="64"/>
      </top>
      <bottom style="thin">
        <color indexed="64"/>
      </bottom>
      <diagonal/>
    </border>
    <border>
      <left/>
      <right style="medium">
        <color indexed="64"/>
      </right>
      <top style="thin">
        <color auto="1"/>
      </top>
      <bottom/>
      <diagonal/>
    </border>
    <border>
      <left style="medium">
        <color indexed="64"/>
      </left>
      <right style="medium">
        <color indexed="64"/>
      </right>
      <top style="thin">
        <color auto="1"/>
      </top>
      <bottom/>
      <diagonal/>
    </border>
    <border>
      <left style="medium">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medium">
        <color indexed="64"/>
      </right>
      <top style="thin">
        <color indexed="8"/>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auto="1"/>
      </left>
      <right style="medium">
        <color indexed="64"/>
      </right>
      <top/>
      <bottom style="thin">
        <color auto="1"/>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auto="1"/>
      </left>
      <right style="thin">
        <color auto="1"/>
      </right>
      <top/>
      <bottom style="thin">
        <color auto="1"/>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right style="thin">
        <color auto="1"/>
      </right>
      <top style="thin">
        <color auto="1"/>
      </top>
      <bottom style="thin">
        <color auto="1"/>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thin">
        <color auto="1"/>
      </left>
      <right style="thin">
        <color auto="1"/>
      </right>
      <top/>
      <bottom/>
      <diagonal/>
    </border>
    <border>
      <left style="thin">
        <color auto="1"/>
      </left>
      <right/>
      <top/>
      <bottom/>
      <diagonal/>
    </border>
    <border>
      <left style="thin">
        <color indexed="64"/>
      </left>
      <right/>
      <top style="thin">
        <color indexed="64"/>
      </top>
      <bottom style="medium">
        <color indexed="64"/>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s>
  <cellStyleXfs count="41">
    <xf numFmtId="0" fontId="0" fillId="0" borderId="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6" fillId="0" borderId="0"/>
    <xf numFmtId="183" fontId="6" fillId="0" borderId="0"/>
  </cellStyleXfs>
  <cellXfs count="1739">
    <xf numFmtId="0" fontId="0" fillId="0" borderId="0" xfId="0"/>
    <xf numFmtId="0" fontId="4" fillId="0" borderId="0" xfId="0" applyFont="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0" fillId="0" borderId="0" xfId="0" applyAlignment="1">
      <alignment vertical="center"/>
    </xf>
    <xf numFmtId="0" fontId="5" fillId="0" borderId="0" xfId="0" applyFont="1" applyAlignment="1">
      <alignment horizontal="right" vertical="center"/>
    </xf>
    <xf numFmtId="0" fontId="9" fillId="4" borderId="4"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7" borderId="8" xfId="0" applyFont="1" applyFill="1" applyBorder="1" applyAlignment="1">
      <alignment horizontal="center" vertical="center" wrapText="1"/>
    </xf>
    <xf numFmtId="165" fontId="6" fillId="8" borderId="9" xfId="2" applyNumberFormat="1" applyFont="1" applyFill="1" applyBorder="1" applyAlignment="1" applyProtection="1">
      <alignment vertical="center"/>
    </xf>
    <xf numFmtId="165" fontId="5" fillId="8" borderId="9" xfId="2" applyNumberFormat="1" applyFont="1" applyFill="1" applyBorder="1" applyAlignment="1" applyProtection="1">
      <alignment vertical="center"/>
    </xf>
    <xf numFmtId="165" fontId="6" fillId="9" borderId="9" xfId="2" applyNumberFormat="1" applyFont="1" applyFill="1" applyBorder="1" applyAlignment="1" applyProtection="1">
      <alignment vertical="center"/>
    </xf>
    <xf numFmtId="165" fontId="6" fillId="9" borderId="10" xfId="2" applyNumberFormat="1" applyFont="1" applyFill="1" applyBorder="1" applyAlignment="1" applyProtection="1">
      <alignment vertical="center"/>
    </xf>
    <xf numFmtId="165" fontId="5" fillId="9" borderId="11" xfId="2" applyNumberFormat="1" applyFont="1" applyFill="1" applyBorder="1" applyAlignment="1" applyProtection="1">
      <alignment vertical="center"/>
    </xf>
    <xf numFmtId="165" fontId="5" fillId="2" borderId="14" xfId="2" applyNumberFormat="1" applyFont="1" applyFill="1" applyBorder="1" applyAlignment="1" applyProtection="1">
      <alignment vertical="center"/>
    </xf>
    <xf numFmtId="165" fontId="5" fillId="2" borderId="15" xfId="2" applyNumberFormat="1" applyFont="1" applyFill="1" applyBorder="1" applyAlignment="1" applyProtection="1">
      <alignment vertical="center"/>
    </xf>
    <xf numFmtId="166" fontId="6" fillId="0" borderId="17" xfId="2" applyNumberFormat="1" applyFont="1" applyFill="1" applyBorder="1" applyAlignment="1" applyProtection="1">
      <alignment vertical="center"/>
    </xf>
    <xf numFmtId="166" fontId="6" fillId="1" borderId="40" xfId="2" applyNumberFormat="1" applyFont="1" applyFill="1" applyBorder="1" applyAlignment="1" applyProtection="1">
      <alignment vertical="center"/>
    </xf>
    <xf numFmtId="166" fontId="6" fillId="0" borderId="40" xfId="2" applyNumberFormat="1" applyFont="1" applyFill="1" applyBorder="1" applyAlignment="1" applyProtection="1">
      <alignment vertical="center"/>
    </xf>
    <xf numFmtId="166" fontId="6" fillId="1" borderId="37" xfId="2" applyNumberFormat="1" applyFont="1" applyFill="1" applyBorder="1" applyAlignment="1" applyProtection="1">
      <alignment vertical="center"/>
    </xf>
    <xf numFmtId="0" fontId="5" fillId="20" borderId="9" xfId="0" applyFont="1" applyFill="1" applyBorder="1"/>
    <xf numFmtId="0" fontId="5" fillId="20" borderId="9" xfId="0" applyFont="1" applyFill="1" applyBorder="1" applyAlignment="1">
      <alignment horizontal="center"/>
    </xf>
    <xf numFmtId="0" fontId="5" fillId="20" borderId="80" xfId="0" applyFont="1" applyFill="1" applyBorder="1" applyAlignment="1">
      <alignment vertical="center" wrapText="1"/>
    </xf>
    <xf numFmtId="6" fontId="12" fillId="0" borderId="80" xfId="0" applyNumberFormat="1" applyFont="1" applyBorder="1" applyAlignment="1">
      <alignment horizontal="right" vertical="center" wrapText="1"/>
    </xf>
    <xf numFmtId="0" fontId="5" fillId="20" borderId="81" xfId="0" applyFont="1" applyFill="1" applyBorder="1" applyAlignment="1">
      <alignment vertical="center" wrapText="1"/>
    </xf>
    <xf numFmtId="6" fontId="12" fillId="0" borderId="81" xfId="0" applyNumberFormat="1" applyFont="1" applyBorder="1" applyAlignment="1">
      <alignment horizontal="right" vertical="center" wrapText="1"/>
    </xf>
    <xf numFmtId="6" fontId="12" fillId="21" borderId="81" xfId="0" applyNumberFormat="1" applyFont="1" applyFill="1" applyBorder="1" applyAlignment="1">
      <alignment horizontal="right" vertical="center" wrapText="1"/>
    </xf>
    <xf numFmtId="0" fontId="13" fillId="20" borderId="81" xfId="0" applyFont="1" applyFill="1" applyBorder="1" applyAlignment="1">
      <alignment vertical="center" wrapText="1"/>
    </xf>
    <xf numFmtId="0" fontId="5" fillId="19" borderId="0" xfId="0" applyFont="1" applyFill="1"/>
    <xf numFmtId="6" fontId="5" fillId="19" borderId="0" xfId="0" applyNumberFormat="1" applyFont="1" applyFill="1"/>
    <xf numFmtId="0" fontId="5" fillId="22" borderId="9" xfId="0" applyFont="1" applyFill="1" applyBorder="1"/>
    <xf numFmtId="0" fontId="5" fillId="22" borderId="9" xfId="0" applyFont="1" applyFill="1" applyBorder="1" applyAlignment="1">
      <alignment horizontal="center"/>
    </xf>
    <xf numFmtId="0" fontId="5" fillId="22" borderId="81" xfId="0" applyFont="1" applyFill="1" applyBorder="1" applyAlignment="1">
      <alignment vertical="center" wrapText="1"/>
    </xf>
    <xf numFmtId="6" fontId="12" fillId="8" borderId="81" xfId="0" applyNumberFormat="1" applyFont="1" applyFill="1" applyBorder="1" applyAlignment="1">
      <alignment horizontal="right" vertical="center" wrapText="1"/>
    </xf>
    <xf numFmtId="0" fontId="13" fillId="22" borderId="81" xfId="0" applyFont="1" applyFill="1" applyBorder="1" applyAlignment="1">
      <alignment vertical="center" wrapText="1"/>
    </xf>
    <xf numFmtId="0" fontId="5" fillId="22" borderId="0" xfId="0" applyFont="1" applyFill="1"/>
    <xf numFmtId="6" fontId="5" fillId="22" borderId="0" xfId="0" applyNumberFormat="1" applyFont="1" applyFill="1"/>
    <xf numFmtId="0" fontId="5" fillId="24" borderId="9" xfId="0" applyFont="1" applyFill="1" applyBorder="1"/>
    <xf numFmtId="0" fontId="5" fillId="24" borderId="9" xfId="0" applyFont="1" applyFill="1" applyBorder="1" applyAlignment="1">
      <alignment horizontal="center"/>
    </xf>
    <xf numFmtId="0" fontId="5" fillId="24" borderId="81" xfId="0" applyFont="1" applyFill="1" applyBorder="1" applyAlignment="1">
      <alignment vertical="center" wrapText="1"/>
    </xf>
    <xf numFmtId="6" fontId="12" fillId="9" borderId="81" xfId="0" applyNumberFormat="1" applyFont="1" applyFill="1" applyBorder="1" applyAlignment="1">
      <alignment horizontal="right" vertical="center" wrapText="1"/>
    </xf>
    <xf numFmtId="0" fontId="13" fillId="24" borderId="81" xfId="0" applyFont="1" applyFill="1" applyBorder="1" applyAlignment="1">
      <alignment vertical="center" wrapText="1"/>
    </xf>
    <xf numFmtId="0" fontId="5" fillId="24" borderId="0" xfId="0" applyFont="1" applyFill="1"/>
    <xf numFmtId="6" fontId="5" fillId="24" borderId="0" xfId="0" applyNumberFormat="1" applyFont="1" applyFill="1"/>
    <xf numFmtId="0" fontId="5" fillId="26" borderId="9" xfId="0" applyFont="1" applyFill="1" applyBorder="1"/>
    <xf numFmtId="0" fontId="5" fillId="26" borderId="9" xfId="0" applyFont="1" applyFill="1" applyBorder="1" applyAlignment="1">
      <alignment horizontal="center"/>
    </xf>
    <xf numFmtId="0" fontId="5" fillId="26" borderId="9" xfId="0" applyFont="1" applyFill="1" applyBorder="1" applyAlignment="1">
      <alignment vertical="center" wrapText="1"/>
    </xf>
    <xf numFmtId="6" fontId="12" fillId="0" borderId="9" xfId="0" applyNumberFormat="1" applyFont="1" applyBorder="1" applyAlignment="1">
      <alignment horizontal="right" vertical="center" wrapText="1"/>
    </xf>
    <xf numFmtId="6" fontId="12" fillId="27" borderId="9" xfId="0" applyNumberFormat="1" applyFont="1" applyFill="1" applyBorder="1" applyAlignment="1">
      <alignment horizontal="right" vertical="center" wrapText="1"/>
    </xf>
    <xf numFmtId="0" fontId="13" fillId="26" borderId="9" xfId="0" applyFont="1" applyFill="1" applyBorder="1" applyAlignment="1">
      <alignment vertical="center" wrapText="1"/>
    </xf>
    <xf numFmtId="0" fontId="5" fillId="26" borderId="0" xfId="0" applyFont="1" applyFill="1"/>
    <xf numFmtId="6" fontId="5" fillId="26" borderId="0" xfId="0" applyNumberFormat="1" applyFont="1" applyFill="1"/>
    <xf numFmtId="0" fontId="5" fillId="20" borderId="82" xfId="0" applyFont="1" applyFill="1" applyBorder="1" applyAlignment="1">
      <alignment horizontal="center"/>
    </xf>
    <xf numFmtId="0" fontId="5" fillId="22" borderId="82" xfId="0" applyFont="1" applyFill="1" applyBorder="1"/>
    <xf numFmtId="0" fontId="0" fillId="41" borderId="0" xfId="0" applyFill="1"/>
    <xf numFmtId="173" fontId="0" fillId="0" borderId="18" xfId="0" applyNumberFormat="1" applyBorder="1" applyAlignment="1">
      <alignment horizontal="right" vertical="center"/>
    </xf>
    <xf numFmtId="9" fontId="18" fillId="9" borderId="90" xfId="4" applyFont="1" applyFill="1" applyBorder="1" applyAlignment="1" applyProtection="1">
      <alignment horizontal="center" vertical="center"/>
    </xf>
    <xf numFmtId="0" fontId="0" fillId="41" borderId="0" xfId="0" applyFill="1" applyAlignment="1">
      <alignment horizontal="left" vertical="center"/>
    </xf>
    <xf numFmtId="0" fontId="0" fillId="6" borderId="16" xfId="0" applyFill="1" applyBorder="1" applyAlignment="1" applyProtection="1">
      <alignment horizontal="left" vertical="center"/>
      <protection locked="0"/>
    </xf>
    <xf numFmtId="0" fontId="0" fillId="6" borderId="92" xfId="0" applyFill="1" applyBorder="1" applyAlignment="1" applyProtection="1">
      <alignment horizontal="left" vertical="center"/>
      <protection locked="0"/>
    </xf>
    <xf numFmtId="0" fontId="0" fillId="6" borderId="11" xfId="0" applyFill="1" applyBorder="1" applyAlignment="1" applyProtection="1">
      <alignment horizontal="left" vertical="center"/>
      <protection locked="0"/>
    </xf>
    <xf numFmtId="0" fontId="0" fillId="6" borderId="73" xfId="0" applyFill="1" applyBorder="1" applyAlignment="1" applyProtection="1">
      <alignment horizontal="left" vertical="center"/>
      <protection locked="0"/>
    </xf>
    <xf numFmtId="0" fontId="0" fillId="6" borderId="9" xfId="0" applyFill="1" applyBorder="1" applyAlignment="1" applyProtection="1">
      <alignment horizontal="left" vertical="center"/>
      <protection locked="0"/>
    </xf>
    <xf numFmtId="0" fontId="0" fillId="6" borderId="14" xfId="0" applyFill="1" applyBorder="1" applyAlignment="1" applyProtection="1">
      <alignment horizontal="left" vertical="center"/>
      <protection locked="0"/>
    </xf>
    <xf numFmtId="0" fontId="0" fillId="6" borderId="38" xfId="0" applyFill="1" applyBorder="1" applyAlignment="1" applyProtection="1">
      <alignment horizontal="left" vertical="center"/>
      <protection locked="0"/>
    </xf>
    <xf numFmtId="173" fontId="0" fillId="41" borderId="0" xfId="0" applyNumberFormat="1" applyFill="1"/>
    <xf numFmtId="165" fontId="6" fillId="6" borderId="9" xfId="2" applyNumberFormat="1" applyFont="1" applyFill="1" applyBorder="1" applyAlignment="1" applyProtection="1">
      <alignment vertical="center"/>
      <protection locked="0"/>
    </xf>
    <xf numFmtId="0" fontId="7" fillId="0" borderId="0" xfId="0" applyFont="1" applyAlignment="1">
      <alignment vertical="center"/>
    </xf>
    <xf numFmtId="165" fontId="5" fillId="13" borderId="96" xfId="0" applyNumberFormat="1" applyFont="1" applyFill="1" applyBorder="1" applyAlignment="1">
      <alignment horizontal="center" vertical="center" wrapText="1"/>
    </xf>
    <xf numFmtId="165" fontId="5" fillId="13" borderId="102" xfId="0" applyNumberFormat="1" applyFont="1" applyFill="1" applyBorder="1" applyAlignment="1">
      <alignment horizontal="center" vertical="center" wrapText="1"/>
    </xf>
    <xf numFmtId="165" fontId="5" fillId="13" borderId="104" xfId="0" applyNumberFormat="1" applyFont="1" applyFill="1" applyBorder="1" applyAlignment="1">
      <alignment horizontal="center" vertical="center" wrapText="1"/>
    </xf>
    <xf numFmtId="172" fontId="5" fillId="0" borderId="12" xfId="2" applyNumberFormat="1" applyFont="1" applyFill="1" applyBorder="1" applyAlignment="1" applyProtection="1">
      <alignment vertical="center"/>
    </xf>
    <xf numFmtId="165" fontId="6" fillId="35" borderId="9" xfId="2" applyNumberFormat="1" applyFont="1" applyFill="1" applyBorder="1" applyAlignment="1" applyProtection="1">
      <alignment vertical="center"/>
    </xf>
    <xf numFmtId="165" fontId="6" fillId="35" borderId="10" xfId="2" applyNumberFormat="1" applyFont="1" applyFill="1" applyBorder="1" applyAlignment="1" applyProtection="1">
      <alignment vertical="center"/>
    </xf>
    <xf numFmtId="9" fontId="5" fillId="0" borderId="0" xfId="0" applyNumberFormat="1" applyFont="1" applyAlignment="1">
      <alignment vertical="center"/>
    </xf>
    <xf numFmtId="176" fontId="5" fillId="0" borderId="0" xfId="0" applyNumberFormat="1" applyFont="1" applyAlignment="1">
      <alignment vertical="center"/>
    </xf>
    <xf numFmtId="165" fontId="5" fillId="2" borderId="102" xfId="0" applyNumberFormat="1" applyFont="1" applyFill="1" applyBorder="1" applyAlignment="1">
      <alignment horizontal="center" vertical="center" wrapText="1"/>
    </xf>
    <xf numFmtId="165" fontId="5" fillId="2" borderId="105" xfId="0" applyNumberFormat="1" applyFont="1" applyFill="1" applyBorder="1" applyAlignment="1">
      <alignment horizontal="center" vertical="center" wrapText="1"/>
    </xf>
    <xf numFmtId="165" fontId="5" fillId="2" borderId="104" xfId="0" applyNumberFormat="1" applyFont="1" applyFill="1" applyBorder="1" applyAlignment="1">
      <alignment horizontal="center" vertical="center" wrapText="1"/>
    </xf>
    <xf numFmtId="165" fontId="5" fillId="2" borderId="106" xfId="0" applyNumberFormat="1" applyFont="1" applyFill="1" applyBorder="1" applyAlignment="1">
      <alignment horizontal="center" vertical="center" wrapText="1"/>
    </xf>
    <xf numFmtId="165" fontId="5" fillId="2" borderId="4" xfId="0" applyNumberFormat="1" applyFont="1" applyFill="1" applyBorder="1" applyAlignment="1">
      <alignment horizontal="center" vertical="center" wrapText="1"/>
    </xf>
    <xf numFmtId="165" fontId="5" fillId="2" borderId="107" xfId="0" applyNumberFormat="1" applyFont="1" applyFill="1" applyBorder="1" applyAlignment="1">
      <alignment horizontal="center" vertical="center" wrapText="1"/>
    </xf>
    <xf numFmtId="0" fontId="8" fillId="6" borderId="2" xfId="0" applyFont="1" applyFill="1" applyBorder="1" applyAlignment="1">
      <alignment horizontal="center" vertical="center"/>
    </xf>
    <xf numFmtId="0" fontId="0" fillId="18" borderId="11" xfId="0" applyFill="1" applyBorder="1" applyAlignment="1" applyProtection="1">
      <alignment horizontal="left" vertical="center"/>
      <protection locked="0"/>
    </xf>
    <xf numFmtId="0" fontId="0" fillId="6" borderId="40" xfId="0" applyFill="1" applyBorder="1" applyAlignment="1" applyProtection="1">
      <alignment horizontal="left" vertical="center"/>
      <protection locked="0"/>
    </xf>
    <xf numFmtId="0" fontId="0" fillId="6" borderId="37" xfId="0" applyFill="1" applyBorder="1" applyAlignment="1" applyProtection="1">
      <alignment horizontal="left" vertical="center"/>
      <protection locked="0"/>
    </xf>
    <xf numFmtId="0" fontId="5" fillId="0" borderId="1" xfId="0" applyFont="1" applyBorder="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165" fontId="5" fillId="13" borderId="120" xfId="0" applyNumberFormat="1" applyFont="1" applyFill="1" applyBorder="1" applyAlignment="1">
      <alignment horizontal="center" vertical="center" wrapText="1"/>
    </xf>
    <xf numFmtId="165" fontId="5" fillId="13" borderId="121" xfId="0" applyNumberFormat="1" applyFont="1" applyFill="1" applyBorder="1" applyAlignment="1">
      <alignment horizontal="center" vertical="center" wrapText="1"/>
    </xf>
    <xf numFmtId="165" fontId="5" fillId="13" borderId="122" xfId="0" applyNumberFormat="1" applyFont="1" applyFill="1" applyBorder="1" applyAlignment="1">
      <alignment horizontal="center" vertical="center" wrapText="1"/>
    </xf>
    <xf numFmtId="0" fontId="5" fillId="7" borderId="120" xfId="0" applyFont="1" applyFill="1" applyBorder="1" applyAlignment="1">
      <alignment horizontal="center" vertical="center" wrapText="1"/>
    </xf>
    <xf numFmtId="0" fontId="5" fillId="7" borderId="121" xfId="0" applyFont="1" applyFill="1" applyBorder="1" applyAlignment="1">
      <alignment horizontal="center" vertical="center" wrapText="1"/>
    </xf>
    <xf numFmtId="0" fontId="5" fillId="7" borderId="123" xfId="0" applyFont="1" applyFill="1" applyBorder="1" applyAlignment="1">
      <alignment horizontal="center" vertical="center" wrapText="1"/>
    </xf>
    <xf numFmtId="0" fontId="5" fillId="2" borderId="124" xfId="0" applyFont="1" applyFill="1" applyBorder="1" applyAlignment="1">
      <alignment horizontal="center" vertical="center"/>
    </xf>
    <xf numFmtId="0" fontId="5" fillId="2" borderId="121" xfId="0" applyFont="1" applyFill="1" applyBorder="1" applyAlignment="1">
      <alignment horizontal="center" vertical="center"/>
    </xf>
    <xf numFmtId="165" fontId="6" fillId="36" borderId="72" xfId="2" applyNumberFormat="1" applyFont="1" applyFill="1" applyBorder="1" applyAlignment="1" applyProtection="1">
      <alignment vertical="center"/>
    </xf>
    <xf numFmtId="178" fontId="1" fillId="47" borderId="72" xfId="4" applyNumberFormat="1" applyFill="1" applyBorder="1" applyAlignment="1" applyProtection="1">
      <alignment horizontal="center" vertical="center"/>
    </xf>
    <xf numFmtId="178" fontId="1" fillId="47" borderId="73" xfId="4" applyNumberFormat="1" applyFill="1" applyBorder="1" applyAlignment="1" applyProtection="1">
      <alignment horizontal="center" vertical="center"/>
    </xf>
    <xf numFmtId="178" fontId="1" fillId="47" borderId="75" xfId="4" applyNumberFormat="1" applyFill="1" applyBorder="1" applyAlignment="1" applyProtection="1">
      <alignment horizontal="center" vertical="center"/>
    </xf>
    <xf numFmtId="0" fontId="0" fillId="6" borderId="126" xfId="0" applyFill="1" applyBorder="1" applyAlignment="1" applyProtection="1">
      <alignment horizontal="left" vertical="center"/>
      <protection locked="0"/>
    </xf>
    <xf numFmtId="165" fontId="6" fillId="6" borderId="73" xfId="2" applyNumberFormat="1" applyFont="1" applyFill="1" applyBorder="1" applyAlignment="1" applyProtection="1">
      <alignment vertical="center"/>
      <protection locked="0"/>
    </xf>
    <xf numFmtId="165" fontId="6" fillId="6" borderId="75" xfId="2" applyNumberFormat="1" applyFont="1" applyFill="1" applyBorder="1" applyAlignment="1" applyProtection="1">
      <alignment vertical="center"/>
      <protection locked="0"/>
    </xf>
    <xf numFmtId="165" fontId="6" fillId="36" borderId="76" xfId="2" applyNumberFormat="1" applyFont="1" applyFill="1" applyBorder="1" applyAlignment="1" applyProtection="1">
      <alignment vertical="center"/>
    </xf>
    <xf numFmtId="178" fontId="1" fillId="48" borderId="32" xfId="4" applyNumberFormat="1" applyFill="1" applyBorder="1" applyAlignment="1" applyProtection="1">
      <alignment horizontal="center" vertical="center"/>
    </xf>
    <xf numFmtId="178" fontId="1" fillId="48" borderId="9" xfId="4" applyNumberFormat="1" applyFill="1" applyBorder="1" applyAlignment="1" applyProtection="1">
      <alignment horizontal="center" vertical="center"/>
    </xf>
    <xf numFmtId="178" fontId="1" fillId="48" borderId="12" xfId="4" applyNumberFormat="1" applyFill="1" applyBorder="1" applyAlignment="1" applyProtection="1">
      <alignment horizontal="center" vertical="center"/>
    </xf>
    <xf numFmtId="165" fontId="6" fillId="6" borderId="12" xfId="2" applyNumberFormat="1" applyFont="1" applyFill="1" applyBorder="1" applyAlignment="1" applyProtection="1">
      <alignment vertical="center"/>
      <protection locked="0"/>
    </xf>
    <xf numFmtId="165" fontId="6" fillId="36" borderId="33" xfId="2" applyNumberFormat="1" applyFont="1" applyFill="1" applyBorder="1" applyAlignment="1" applyProtection="1">
      <alignment vertical="center"/>
    </xf>
    <xf numFmtId="178" fontId="1" fillId="47" borderId="9" xfId="4" applyNumberFormat="1" applyFill="1" applyBorder="1" applyAlignment="1" applyProtection="1">
      <alignment horizontal="center" vertical="center"/>
    </xf>
    <xf numFmtId="178" fontId="1" fillId="47" borderId="12" xfId="4" applyNumberFormat="1" applyFill="1" applyBorder="1" applyAlignment="1" applyProtection="1">
      <alignment horizontal="center" vertical="center"/>
    </xf>
    <xf numFmtId="165" fontId="6" fillId="36" borderId="40" xfId="2" applyNumberFormat="1" applyFont="1" applyFill="1" applyBorder="1" applyAlignment="1" applyProtection="1">
      <alignment vertical="center"/>
    </xf>
    <xf numFmtId="178" fontId="1" fillId="47" borderId="40" xfId="4" applyNumberFormat="1" applyFill="1" applyBorder="1" applyAlignment="1" applyProtection="1">
      <alignment horizontal="center" vertical="center"/>
    </xf>
    <xf numFmtId="178" fontId="1" fillId="47" borderId="14" xfId="4" applyNumberFormat="1" applyFill="1" applyBorder="1" applyAlignment="1" applyProtection="1">
      <alignment horizontal="center" vertical="center"/>
    </xf>
    <xf numFmtId="178" fontId="1" fillId="47" borderId="17" xfId="4" applyNumberFormat="1" applyFill="1" applyBorder="1" applyAlignment="1" applyProtection="1">
      <alignment horizontal="center" vertical="center"/>
    </xf>
    <xf numFmtId="165" fontId="6" fillId="6" borderId="14" xfId="2" applyNumberFormat="1" applyFont="1" applyFill="1" applyBorder="1" applyAlignment="1" applyProtection="1">
      <alignment vertical="center"/>
      <protection locked="0"/>
    </xf>
    <xf numFmtId="165" fontId="6" fillId="6" borderId="17" xfId="2" applyNumberFormat="1" applyFont="1" applyFill="1" applyBorder="1" applyAlignment="1" applyProtection="1">
      <alignment vertical="center"/>
      <protection locked="0"/>
    </xf>
    <xf numFmtId="165" fontId="6" fillId="36" borderId="41" xfId="2" applyNumberFormat="1" applyFont="1" applyFill="1" applyBorder="1" applyAlignment="1" applyProtection="1">
      <alignment vertical="center"/>
    </xf>
    <xf numFmtId="178" fontId="1" fillId="47" borderId="38" xfId="4" applyNumberFormat="1" applyFill="1" applyBorder="1" applyAlignment="1" applyProtection="1">
      <alignment horizontal="center" vertical="center"/>
    </xf>
    <xf numFmtId="178" fontId="1" fillId="47" borderId="39" xfId="4" applyNumberFormat="1" applyFill="1" applyBorder="1" applyAlignment="1" applyProtection="1">
      <alignment horizontal="center" vertical="center"/>
    </xf>
    <xf numFmtId="165" fontId="6" fillId="18" borderId="9" xfId="2" applyNumberFormat="1" applyFont="1" applyFill="1" applyBorder="1" applyAlignment="1" applyProtection="1">
      <alignment vertical="center"/>
      <protection locked="0"/>
    </xf>
    <xf numFmtId="0" fontId="0" fillId="18" borderId="16" xfId="0" applyFill="1" applyBorder="1" applyAlignment="1" applyProtection="1">
      <alignment horizontal="left" vertical="center"/>
      <protection locked="0"/>
    </xf>
    <xf numFmtId="165" fontId="6" fillId="18" borderId="14" xfId="2" applyNumberFormat="1" applyFont="1" applyFill="1" applyBorder="1" applyAlignment="1" applyProtection="1">
      <alignment vertical="center"/>
      <protection locked="0"/>
    </xf>
    <xf numFmtId="0" fontId="0" fillId="18" borderId="126" xfId="0" applyFill="1" applyBorder="1" applyAlignment="1" applyProtection="1">
      <alignment horizontal="left" vertical="center"/>
      <protection locked="0"/>
    </xf>
    <xf numFmtId="165" fontId="6" fillId="18" borderId="73" xfId="2" applyNumberFormat="1" applyFont="1" applyFill="1" applyBorder="1" applyAlignment="1" applyProtection="1">
      <alignment vertical="center"/>
      <protection locked="0"/>
    </xf>
    <xf numFmtId="165" fontId="1" fillId="18" borderId="9" xfId="2" applyNumberFormat="1" applyFill="1" applyBorder="1" applyAlignment="1" applyProtection="1">
      <alignment vertical="center"/>
      <protection locked="0"/>
    </xf>
    <xf numFmtId="165" fontId="1" fillId="6" borderId="12" xfId="2" applyNumberFormat="1" applyFill="1" applyBorder="1" applyAlignment="1" applyProtection="1">
      <alignment vertical="center"/>
      <protection locked="0"/>
    </xf>
    <xf numFmtId="0" fontId="0" fillId="6" borderId="9" xfId="0" applyFill="1" applyBorder="1" applyAlignment="1" applyProtection="1">
      <alignment vertical="center"/>
      <protection locked="0"/>
    </xf>
    <xf numFmtId="0" fontId="0" fillId="18" borderId="73" xfId="0" applyFill="1" applyBorder="1" applyAlignment="1" applyProtection="1">
      <alignment horizontal="left" vertical="center"/>
      <protection locked="0"/>
    </xf>
    <xf numFmtId="165" fontId="6" fillId="18" borderId="75" xfId="2" applyNumberFormat="1" applyFont="1" applyFill="1" applyBorder="1" applyAlignment="1" applyProtection="1">
      <alignment vertical="center"/>
      <protection locked="0"/>
    </xf>
    <xf numFmtId="165" fontId="6" fillId="18" borderId="12" xfId="2" applyNumberFormat="1" applyFont="1" applyFill="1" applyBorder="1" applyAlignment="1" applyProtection="1">
      <alignment vertical="center"/>
      <protection locked="0"/>
    </xf>
    <xf numFmtId="165" fontId="6" fillId="18" borderId="17" xfId="2" applyNumberFormat="1" applyFont="1" applyFill="1" applyBorder="1" applyAlignment="1" applyProtection="1">
      <alignment vertical="center"/>
      <protection locked="0"/>
    </xf>
    <xf numFmtId="0" fontId="0" fillId="0" borderId="0" xfId="0" applyProtection="1">
      <protection locked="0"/>
    </xf>
    <xf numFmtId="0" fontId="0" fillId="14" borderId="0" xfId="0" applyFill="1"/>
    <xf numFmtId="0" fontId="5" fillId="14" borderId="0" xfId="0" applyFont="1" applyFill="1" applyAlignment="1">
      <alignment horizontal="center" vertical="center"/>
    </xf>
    <xf numFmtId="0" fontId="0" fillId="14" borderId="0" xfId="0" applyFill="1" applyAlignment="1">
      <alignment vertical="center"/>
    </xf>
    <xf numFmtId="0" fontId="5" fillId="14" borderId="0" xfId="0" applyFont="1" applyFill="1" applyAlignment="1">
      <alignment vertical="center"/>
    </xf>
    <xf numFmtId="0" fontId="5" fillId="14" borderId="1" xfId="0" applyFont="1" applyFill="1" applyBorder="1" applyAlignment="1">
      <alignment horizontal="center" vertical="center"/>
    </xf>
    <xf numFmtId="0" fontId="5" fillId="14" borderId="0" xfId="0" applyFont="1" applyFill="1" applyAlignment="1">
      <alignment horizontal="right" vertical="center"/>
    </xf>
    <xf numFmtId="0" fontId="17" fillId="14" borderId="0" xfId="0" applyFont="1" applyFill="1" applyAlignment="1">
      <alignment vertical="center"/>
    </xf>
    <xf numFmtId="0" fontId="0" fillId="14" borderId="0" xfId="0" applyFill="1" applyAlignment="1">
      <alignment horizontal="center" vertical="center"/>
    </xf>
    <xf numFmtId="0" fontId="0" fillId="14" borderId="9" xfId="0" applyFill="1" applyBorder="1" applyAlignment="1">
      <alignment horizontal="center"/>
    </xf>
    <xf numFmtId="174" fontId="1" fillId="0" borderId="9" xfId="2" applyNumberFormat="1" applyBorder="1"/>
    <xf numFmtId="0" fontId="5" fillId="14" borderId="58" xfId="0" applyFont="1" applyFill="1" applyBorder="1"/>
    <xf numFmtId="174" fontId="1" fillId="0" borderId="58" xfId="2" applyNumberFormat="1" applyBorder="1"/>
    <xf numFmtId="9" fontId="24" fillId="14" borderId="0" xfId="0" applyNumberFormat="1" applyFont="1" applyFill="1" applyAlignment="1">
      <alignment horizontal="center"/>
    </xf>
    <xf numFmtId="0" fontId="26" fillId="14" borderId="0" xfId="0" applyFont="1" applyFill="1"/>
    <xf numFmtId="0" fontId="5" fillId="2" borderId="113" xfId="0" applyFont="1" applyFill="1" applyBorder="1" applyAlignment="1">
      <alignment horizontal="center" vertical="center" wrapText="1"/>
    </xf>
    <xf numFmtId="0" fontId="9" fillId="3" borderId="73" xfId="0" applyFont="1" applyFill="1" applyBorder="1" applyAlignment="1">
      <alignment horizontal="center" vertical="center" wrapText="1"/>
    </xf>
    <xf numFmtId="0" fontId="9" fillId="4" borderId="134" xfId="0" applyFont="1" applyFill="1" applyBorder="1" applyAlignment="1">
      <alignment horizontal="center" vertical="center" wrapText="1"/>
    </xf>
    <xf numFmtId="0" fontId="9" fillId="5" borderId="73" xfId="0" applyFont="1" applyFill="1" applyBorder="1" applyAlignment="1">
      <alignment horizontal="center" vertical="center" wrapText="1"/>
    </xf>
    <xf numFmtId="0" fontId="5" fillId="0" borderId="135" xfId="0" applyFont="1" applyBorder="1" applyAlignment="1">
      <alignment horizontal="left" vertical="center"/>
    </xf>
    <xf numFmtId="165" fontId="6" fillId="9" borderId="130" xfId="2" applyNumberFormat="1" applyFont="1" applyFill="1" applyBorder="1" applyAlignment="1" applyProtection="1">
      <alignment vertical="center"/>
    </xf>
    <xf numFmtId="165" fontId="5" fillId="9" borderId="131" xfId="2" applyNumberFormat="1" applyFont="1" applyFill="1" applyBorder="1" applyAlignment="1" applyProtection="1">
      <alignment vertical="center"/>
    </xf>
    <xf numFmtId="0" fontId="5" fillId="2" borderId="136" xfId="0" applyFont="1" applyFill="1" applyBorder="1" applyAlignment="1">
      <alignment horizontal="center" vertical="center"/>
    </xf>
    <xf numFmtId="0" fontId="5" fillId="53" borderId="0" xfId="0" applyFont="1" applyFill="1" applyAlignment="1">
      <alignment horizontal="left" vertical="center"/>
    </xf>
    <xf numFmtId="165" fontId="5" fillId="53" borderId="0" xfId="2" applyNumberFormat="1" applyFont="1" applyFill="1" applyBorder="1" applyAlignment="1" applyProtection="1">
      <alignment vertical="center"/>
    </xf>
    <xf numFmtId="44" fontId="5" fillId="0" borderId="0" xfId="2" applyFont="1" applyFill="1" applyBorder="1" applyAlignment="1" applyProtection="1">
      <alignment vertical="center"/>
    </xf>
    <xf numFmtId="165" fontId="0" fillId="0" borderId="140" xfId="0" applyNumberFormat="1" applyBorder="1" applyAlignment="1">
      <alignment vertical="center"/>
    </xf>
    <xf numFmtId="165" fontId="6" fillId="0" borderId="140" xfId="2" applyNumberFormat="1" applyFont="1" applyFill="1" applyBorder="1" applyAlignment="1" applyProtection="1">
      <alignment vertical="center"/>
    </xf>
    <xf numFmtId="165" fontId="0" fillId="0" borderId="137" xfId="0" applyNumberFormat="1" applyBorder="1" applyAlignment="1">
      <alignment vertical="center"/>
    </xf>
    <xf numFmtId="180" fontId="0" fillId="0" borderId="121" xfId="1" applyNumberFormat="1" applyFont="1" applyFill="1" applyBorder="1" applyAlignment="1" applyProtection="1">
      <alignment vertical="center"/>
    </xf>
    <xf numFmtId="165" fontId="5" fillId="55" borderId="137" xfId="0" applyNumberFormat="1" applyFont="1" applyFill="1" applyBorder="1" applyAlignment="1">
      <alignment vertical="center"/>
    </xf>
    <xf numFmtId="165" fontId="5" fillId="55" borderId="137" xfId="2" applyNumberFormat="1" applyFont="1" applyFill="1" applyBorder="1" applyAlignment="1" applyProtection="1">
      <alignment vertical="center"/>
    </xf>
    <xf numFmtId="165" fontId="5" fillId="55" borderId="137" xfId="2" applyNumberFormat="1" applyFont="1" applyFill="1" applyBorder="1" applyAlignment="1" applyProtection="1">
      <alignment horizontal="right" vertical="center"/>
    </xf>
    <xf numFmtId="165" fontId="5" fillId="55" borderId="143" xfId="2" applyNumberFormat="1" applyFont="1" applyFill="1" applyBorder="1" applyAlignment="1" applyProtection="1">
      <alignment horizontal="right" vertical="center"/>
    </xf>
    <xf numFmtId="165" fontId="5" fillId="57" borderId="137" xfId="0" applyNumberFormat="1" applyFont="1" applyFill="1" applyBorder="1" applyAlignment="1">
      <alignment vertical="center"/>
    </xf>
    <xf numFmtId="165" fontId="5" fillId="57" borderId="137" xfId="2" applyNumberFormat="1" applyFont="1" applyFill="1" applyBorder="1" applyAlignment="1" applyProtection="1">
      <alignment vertical="center"/>
    </xf>
    <xf numFmtId="165" fontId="5" fillId="57" borderId="137" xfId="2" applyNumberFormat="1" applyFont="1" applyFill="1" applyBorder="1" applyAlignment="1" applyProtection="1">
      <alignment horizontal="right" vertical="center"/>
    </xf>
    <xf numFmtId="165" fontId="5" fillId="57" borderId="143" xfId="2" applyNumberFormat="1" applyFont="1" applyFill="1" applyBorder="1" applyAlignment="1" applyProtection="1">
      <alignment horizontal="right" vertical="center"/>
    </xf>
    <xf numFmtId="165" fontId="0" fillId="0" borderId="137" xfId="2" applyNumberFormat="1" applyFont="1" applyFill="1" applyBorder="1" applyAlignment="1" applyProtection="1">
      <alignment vertical="center"/>
    </xf>
    <xf numFmtId="180" fontId="0" fillId="0" borderId="137" xfId="1" applyNumberFormat="1" applyFont="1" applyFill="1" applyBorder="1" applyAlignment="1" applyProtection="1">
      <alignment vertical="center"/>
    </xf>
    <xf numFmtId="165" fontId="0" fillId="0" borderId="84" xfId="2" applyNumberFormat="1" applyFont="1" applyFill="1" applyBorder="1" applyAlignment="1" applyProtection="1">
      <alignment vertical="center"/>
    </xf>
    <xf numFmtId="165" fontId="10" fillId="39" borderId="148" xfId="2" applyNumberFormat="1" applyFont="1" applyFill="1" applyBorder="1" applyAlignment="1" applyProtection="1">
      <alignment vertical="center" wrapText="1"/>
    </xf>
    <xf numFmtId="165" fontId="0" fillId="0" borderId="140" xfId="2" applyNumberFormat="1" applyFont="1" applyFill="1" applyBorder="1" applyAlignment="1" applyProtection="1">
      <alignment vertical="center"/>
    </xf>
    <xf numFmtId="0" fontId="27" fillId="0" borderId="0" xfId="0" applyFont="1" applyAlignment="1">
      <alignment horizontal="center" vertical="center"/>
    </xf>
    <xf numFmtId="0" fontId="27" fillId="0" borderId="0" xfId="0" applyFont="1" applyAlignment="1">
      <alignment vertical="center"/>
    </xf>
    <xf numFmtId="0" fontId="3" fillId="0" borderId="0" xfId="5" applyBorder="1" applyAlignment="1" applyProtection="1">
      <alignment vertical="center"/>
    </xf>
    <xf numFmtId="0" fontId="3" fillId="0" borderId="0" xfId="5" applyBorder="1" applyAlignment="1" applyProtection="1">
      <alignment horizontal="left" vertical="center"/>
    </xf>
    <xf numFmtId="165" fontId="6" fillId="36" borderId="98" xfId="2" applyNumberFormat="1" applyFont="1" applyFill="1" applyBorder="1" applyAlignment="1" applyProtection="1">
      <alignment vertical="center"/>
    </xf>
    <xf numFmtId="178" fontId="1" fillId="47" borderId="93" xfId="4" applyNumberFormat="1" applyFill="1" applyBorder="1" applyAlignment="1" applyProtection="1">
      <alignment horizontal="center" vertical="center"/>
    </xf>
    <xf numFmtId="178" fontId="1" fillId="47" borderId="88" xfId="4" applyNumberFormat="1" applyFill="1" applyBorder="1" applyAlignment="1" applyProtection="1">
      <alignment horizontal="center" vertical="center"/>
    </xf>
    <xf numFmtId="165" fontId="6" fillId="36" borderId="152" xfId="2" applyNumberFormat="1" applyFont="1" applyFill="1" applyBorder="1" applyAlignment="1" applyProtection="1">
      <alignment vertical="center"/>
    </xf>
    <xf numFmtId="165" fontId="6" fillId="36" borderId="37" xfId="2" applyNumberFormat="1" applyFont="1" applyFill="1" applyBorder="1" applyAlignment="1" applyProtection="1">
      <alignment vertical="center"/>
    </xf>
    <xf numFmtId="165" fontId="6" fillId="36" borderId="79" xfId="2" applyNumberFormat="1" applyFont="1" applyFill="1" applyBorder="1" applyAlignment="1" applyProtection="1">
      <alignment vertical="center"/>
    </xf>
    <xf numFmtId="178" fontId="1" fillId="47" borderId="150" xfId="4" applyNumberFormat="1" applyFill="1" applyBorder="1" applyAlignment="1" applyProtection="1">
      <alignment horizontal="center" vertical="center"/>
    </xf>
    <xf numFmtId="178" fontId="1" fillId="47" borderId="151" xfId="4" applyNumberFormat="1" applyFill="1" applyBorder="1" applyAlignment="1" applyProtection="1">
      <alignment horizontal="center" vertical="center"/>
    </xf>
    <xf numFmtId="0" fontId="0" fillId="18" borderId="91" xfId="0" applyFill="1" applyBorder="1" applyAlignment="1" applyProtection="1">
      <alignment horizontal="left" vertical="center"/>
      <protection locked="0"/>
    </xf>
    <xf numFmtId="165" fontId="6" fillId="18" borderId="39" xfId="2" applyNumberFormat="1" applyFont="1" applyFill="1" applyBorder="1" applyAlignment="1" applyProtection="1">
      <alignment vertical="center"/>
      <protection locked="0"/>
    </xf>
    <xf numFmtId="0" fontId="3" fillId="0" borderId="0" xfId="5" applyFill="1"/>
    <xf numFmtId="166" fontId="0" fillId="6" borderId="153" xfId="2" applyNumberFormat="1" applyFont="1" applyFill="1" applyBorder="1" applyAlignment="1" applyProtection="1">
      <alignment vertical="center"/>
      <protection locked="0"/>
    </xf>
    <xf numFmtId="0" fontId="0" fillId="6" borderId="156" xfId="0" applyFill="1" applyBorder="1" applyAlignment="1" applyProtection="1">
      <alignment horizontal="left" vertical="center"/>
      <protection locked="0"/>
    </xf>
    <xf numFmtId="0" fontId="0" fillId="0" borderId="129" xfId="0" applyBorder="1"/>
    <xf numFmtId="0" fontId="0" fillId="6" borderId="153" xfId="0" applyFill="1" applyBorder="1" applyProtection="1">
      <protection locked="0"/>
    </xf>
    <xf numFmtId="0" fontId="0" fillId="0" borderId="0" xfId="0" applyAlignment="1">
      <alignment horizontal="center"/>
    </xf>
    <xf numFmtId="0" fontId="0" fillId="0" borderId="157" xfId="0" applyBorder="1"/>
    <xf numFmtId="0" fontId="0" fillId="0" borderId="95" xfId="0" applyBorder="1" applyAlignment="1">
      <alignment horizontal="center"/>
    </xf>
    <xf numFmtId="0" fontId="0" fillId="0" borderId="82" xfId="0" applyBorder="1" applyAlignment="1">
      <alignment horizontal="center"/>
    </xf>
    <xf numFmtId="0" fontId="0" fillId="0" borderId="162" xfId="0" applyBorder="1" applyAlignment="1">
      <alignment horizontal="center"/>
    </xf>
    <xf numFmtId="9" fontId="0" fillId="0" borderId="0" xfId="4" applyFont="1"/>
    <xf numFmtId="0" fontId="2" fillId="0" borderId="158" xfId="0" applyFont="1" applyBorder="1" applyAlignment="1">
      <alignment horizontal="center"/>
    </xf>
    <xf numFmtId="0" fontId="0" fillId="0" borderId="163" xfId="0" applyBorder="1"/>
    <xf numFmtId="181" fontId="0" fillId="0" borderId="110" xfId="2" applyNumberFormat="1" applyFont="1" applyBorder="1"/>
    <xf numFmtId="181" fontId="0" fillId="0" borderId="129" xfId="2" applyNumberFormat="1" applyFont="1" applyBorder="1"/>
    <xf numFmtId="181" fontId="0" fillId="0" borderId="163" xfId="2" applyNumberFormat="1" applyFont="1" applyBorder="1"/>
    <xf numFmtId="181" fontId="0" fillId="0" borderId="0" xfId="0" applyNumberFormat="1"/>
    <xf numFmtId="181" fontId="2" fillId="0" borderId="91" xfId="0" applyNumberFormat="1" applyFont="1" applyBorder="1"/>
    <xf numFmtId="181" fontId="0" fillId="0" borderId="0" xfId="2" applyNumberFormat="1" applyFont="1"/>
    <xf numFmtId="6" fontId="32" fillId="61" borderId="81" xfId="0" applyNumberFormat="1" applyFont="1" applyFill="1" applyBorder="1" applyAlignment="1">
      <alignment horizontal="right" vertical="center" wrapText="1"/>
    </xf>
    <xf numFmtId="6" fontId="32" fillId="62" borderId="81" xfId="0" applyNumberFormat="1" applyFont="1" applyFill="1" applyBorder="1" applyAlignment="1">
      <alignment horizontal="right" vertical="center" wrapText="1"/>
    </xf>
    <xf numFmtId="9" fontId="0" fillId="0" borderId="0" xfId="0" applyNumberFormat="1"/>
    <xf numFmtId="6" fontId="0" fillId="0" borderId="0" xfId="0" applyNumberFormat="1"/>
    <xf numFmtId="167" fontId="0" fillId="0" borderId="0" xfId="0" applyNumberFormat="1"/>
    <xf numFmtId="164" fontId="0" fillId="0" borderId="0" xfId="0" applyNumberFormat="1"/>
    <xf numFmtId="181" fontId="31" fillId="0" borderId="0" xfId="2" applyNumberFormat="1" applyFont="1"/>
    <xf numFmtId="0" fontId="2" fillId="0" borderId="129" xfId="0" applyFont="1" applyBorder="1" applyAlignment="1">
      <alignment horizontal="center"/>
    </xf>
    <xf numFmtId="181" fontId="2" fillId="0" borderId="129" xfId="2" applyNumberFormat="1" applyFont="1" applyBorder="1"/>
    <xf numFmtId="0" fontId="0" fillId="0" borderId="58" xfId="0" applyBorder="1" applyAlignment="1">
      <alignment horizontal="center"/>
    </xf>
    <xf numFmtId="9" fontId="31" fillId="0" borderId="0" xfId="4" applyFont="1"/>
    <xf numFmtId="181" fontId="31" fillId="0" borderId="0" xfId="0" applyNumberFormat="1" applyFont="1"/>
    <xf numFmtId="9" fontId="2" fillId="0" borderId="163" xfId="4" applyFont="1" applyBorder="1"/>
    <xf numFmtId="181" fontId="31" fillId="0" borderId="129" xfId="2" applyNumberFormat="1" applyFont="1" applyBorder="1"/>
    <xf numFmtId="9" fontId="31" fillId="0" borderId="163" xfId="4" applyFont="1" applyBorder="1"/>
    <xf numFmtId="0" fontId="0" fillId="0" borderId="158" xfId="0" applyBorder="1" applyAlignment="1">
      <alignment horizontal="center"/>
    </xf>
    <xf numFmtId="0" fontId="0" fillId="0" borderId="91" xfId="0" applyBorder="1" applyAlignment="1">
      <alignment horizontal="center"/>
    </xf>
    <xf numFmtId="9" fontId="31" fillId="0" borderId="93" xfId="4" applyFont="1" applyBorder="1" applyAlignment="1">
      <alignment horizontal="center"/>
    </xf>
    <xf numFmtId="9" fontId="31" fillId="0" borderId="49" xfId="4" applyFont="1" applyBorder="1" applyAlignment="1">
      <alignment horizontal="center"/>
    </xf>
    <xf numFmtId="9" fontId="0" fillId="0" borderId="49" xfId="4" applyFont="1" applyBorder="1" applyAlignment="1">
      <alignment horizontal="center"/>
    </xf>
    <xf numFmtId="9" fontId="0" fillId="0" borderId="161" xfId="4" applyFont="1" applyBorder="1" applyAlignment="1">
      <alignment horizontal="center"/>
    </xf>
    <xf numFmtId="9" fontId="2" fillId="0" borderId="91" xfId="4" applyFont="1" applyBorder="1" applyAlignment="1">
      <alignment horizontal="center"/>
    </xf>
    <xf numFmtId="10" fontId="0" fillId="0" borderId="0" xfId="0" applyNumberFormat="1"/>
    <xf numFmtId="42" fontId="0" fillId="0" borderId="0" xfId="0" applyNumberFormat="1"/>
    <xf numFmtId="0" fontId="0" fillId="0" borderId="157" xfId="0" applyBorder="1" applyAlignment="1">
      <alignment horizontal="center"/>
    </xf>
    <xf numFmtId="6" fontId="0" fillId="0" borderId="157" xfId="0" applyNumberFormat="1" applyBorder="1"/>
    <xf numFmtId="0" fontId="0" fillId="14" borderId="157" xfId="0" applyFill="1" applyBorder="1"/>
    <xf numFmtId="42" fontId="0" fillId="14" borderId="157" xfId="3" applyFont="1" applyFill="1" applyBorder="1"/>
    <xf numFmtId="9" fontId="0" fillId="14" borderId="157" xfId="0" applyNumberFormat="1" applyFill="1" applyBorder="1" applyAlignment="1">
      <alignment horizontal="center"/>
    </xf>
    <xf numFmtId="42" fontId="0" fillId="0" borderId="0" xfId="3" applyFont="1"/>
    <xf numFmtId="181" fontId="0" fillId="6" borderId="0" xfId="0" applyNumberFormat="1" applyFill="1"/>
    <xf numFmtId="0" fontId="0" fillId="6" borderId="0" xfId="0" applyFill="1"/>
    <xf numFmtId="181" fontId="0" fillId="6" borderId="0" xfId="2" applyNumberFormat="1" applyFont="1" applyFill="1"/>
    <xf numFmtId="9" fontId="31" fillId="14" borderId="157" xfId="4" applyFont="1" applyFill="1" applyBorder="1" applyAlignment="1">
      <alignment horizontal="center"/>
    </xf>
    <xf numFmtId="0" fontId="0" fillId="6" borderId="163" xfId="0" applyFill="1" applyBorder="1" applyAlignment="1" applyProtection="1">
      <alignment horizontal="left" vertical="center"/>
      <protection locked="0"/>
    </xf>
    <xf numFmtId="0" fontId="0" fillId="6" borderId="161" xfId="0" applyFill="1" applyBorder="1" applyAlignment="1" applyProtection="1">
      <alignment horizontal="left" vertical="center"/>
      <protection locked="0"/>
    </xf>
    <xf numFmtId="0" fontId="0" fillId="6" borderId="160" xfId="0" applyFill="1" applyBorder="1" applyAlignment="1" applyProtection="1">
      <alignment horizontal="left" vertical="center"/>
      <protection locked="0"/>
    </xf>
    <xf numFmtId="6" fontId="33" fillId="61" borderId="0" xfId="0" applyNumberFormat="1" applyFont="1" applyFill="1" applyAlignment="1">
      <alignment horizontal="right" vertical="center" wrapText="1"/>
    </xf>
    <xf numFmtId="6" fontId="33" fillId="0" borderId="0" xfId="0" applyNumberFormat="1" applyFont="1" applyAlignment="1">
      <alignment horizontal="right" vertical="center" wrapText="1"/>
    </xf>
    <xf numFmtId="42" fontId="33" fillId="61" borderId="0" xfId="3" applyFont="1" applyFill="1" applyBorder="1" applyAlignment="1">
      <alignment horizontal="right" vertical="center" wrapText="1"/>
    </xf>
    <xf numFmtId="6" fontId="33" fillId="0" borderId="0" xfId="0" applyNumberFormat="1" applyFont="1"/>
    <xf numFmtId="42" fontId="0" fillId="0" borderId="129" xfId="3" applyFont="1" applyBorder="1"/>
    <xf numFmtId="44" fontId="0" fillId="0" borderId="0" xfId="0" applyNumberFormat="1"/>
    <xf numFmtId="0" fontId="31" fillId="58" borderId="157" xfId="0" applyFont="1" applyFill="1" applyBorder="1" applyAlignment="1" applyProtection="1">
      <alignment horizontal="left" vertical="center"/>
      <protection locked="0"/>
    </xf>
    <xf numFmtId="172" fontId="0" fillId="0" borderId="39" xfId="2" applyNumberFormat="1" applyFont="1" applyFill="1" applyBorder="1" applyAlignment="1" applyProtection="1">
      <alignment horizontal="left" vertical="center"/>
    </xf>
    <xf numFmtId="172" fontId="0" fillId="0" borderId="166" xfId="2" applyNumberFormat="1" applyFont="1" applyFill="1" applyBorder="1" applyAlignment="1" applyProtection="1">
      <alignment vertical="center"/>
    </xf>
    <xf numFmtId="172" fontId="5" fillId="0" borderId="167" xfId="2" applyNumberFormat="1" applyFont="1" applyFill="1" applyBorder="1" applyAlignment="1" applyProtection="1">
      <alignment vertical="center"/>
    </xf>
    <xf numFmtId="172" fontId="0" fillId="0" borderId="167" xfId="2" applyNumberFormat="1" applyFont="1" applyFill="1" applyBorder="1" applyAlignment="1" applyProtection="1">
      <alignment horizontal="left" vertical="center"/>
    </xf>
    <xf numFmtId="172" fontId="0" fillId="0" borderId="18" xfId="2" applyNumberFormat="1" applyFont="1" applyFill="1" applyBorder="1" applyAlignment="1" applyProtection="1">
      <alignment horizontal="left" vertical="center"/>
    </xf>
    <xf numFmtId="165" fontId="6" fillId="36" borderId="163" xfId="2" applyNumberFormat="1" applyFont="1" applyFill="1" applyBorder="1" applyAlignment="1" applyProtection="1">
      <alignment vertical="center"/>
    </xf>
    <xf numFmtId="165" fontId="6" fillId="36" borderId="154" xfId="2" applyNumberFormat="1" applyFont="1" applyFill="1" applyBorder="1" applyAlignment="1" applyProtection="1">
      <alignment vertical="center"/>
    </xf>
    <xf numFmtId="165" fontId="6" fillId="35" borderId="157" xfId="2" applyNumberFormat="1" applyFont="1" applyFill="1" applyBorder="1" applyAlignment="1" applyProtection="1">
      <alignment vertical="center"/>
    </xf>
    <xf numFmtId="165" fontId="6" fillId="35" borderId="159" xfId="2" applyNumberFormat="1" applyFont="1" applyFill="1" applyBorder="1" applyAlignment="1" applyProtection="1">
      <alignment vertical="center"/>
    </xf>
    <xf numFmtId="165" fontId="6" fillId="36" borderId="157" xfId="2" applyNumberFormat="1" applyFont="1" applyFill="1" applyBorder="1" applyAlignment="1" applyProtection="1">
      <alignment vertical="center"/>
    </xf>
    <xf numFmtId="165" fontId="6" fillId="36" borderId="159" xfId="2" applyNumberFormat="1" applyFont="1" applyFill="1" applyBorder="1" applyAlignment="1" applyProtection="1">
      <alignment vertical="center"/>
    </xf>
    <xf numFmtId="165" fontId="6" fillId="36" borderId="168" xfId="2" applyNumberFormat="1" applyFont="1" applyFill="1" applyBorder="1" applyAlignment="1" applyProtection="1">
      <alignment vertical="center"/>
    </xf>
    <xf numFmtId="165" fontId="6" fillId="36" borderId="169" xfId="2" applyNumberFormat="1" applyFont="1" applyFill="1" applyBorder="1" applyAlignment="1" applyProtection="1">
      <alignment vertical="center"/>
    </xf>
    <xf numFmtId="165" fontId="6" fillId="36" borderId="170" xfId="2" applyNumberFormat="1" applyFont="1" applyFill="1" applyBorder="1" applyAlignment="1" applyProtection="1">
      <alignment vertical="center"/>
    </xf>
    <xf numFmtId="172" fontId="0" fillId="0" borderId="8" xfId="2" applyNumberFormat="1" applyFont="1" applyFill="1" applyBorder="1" applyAlignment="1" applyProtection="1">
      <alignment horizontal="left" vertical="center"/>
    </xf>
    <xf numFmtId="165" fontId="6" fillId="36" borderId="160" xfId="2" applyNumberFormat="1" applyFont="1" applyFill="1" applyBorder="1" applyAlignment="1" applyProtection="1">
      <alignment vertical="center"/>
    </xf>
    <xf numFmtId="165" fontId="6" fillId="36" borderId="17" xfId="2" applyNumberFormat="1" applyFont="1" applyFill="1" applyBorder="1" applyAlignment="1" applyProtection="1">
      <alignment vertical="center"/>
    </xf>
    <xf numFmtId="172" fontId="0" fillId="0" borderId="88" xfId="2" applyNumberFormat="1" applyFont="1" applyFill="1" applyBorder="1" applyAlignment="1" applyProtection="1">
      <alignment horizontal="left" vertical="center"/>
    </xf>
    <xf numFmtId="172" fontId="0" fillId="0" borderId="100" xfId="2" applyNumberFormat="1" applyFont="1" applyFill="1" applyBorder="1" applyAlignment="1" applyProtection="1">
      <alignment horizontal="left" vertical="center"/>
    </xf>
    <xf numFmtId="172" fontId="0" fillId="0" borderId="174" xfId="2" applyNumberFormat="1" applyFont="1" applyFill="1" applyBorder="1" applyAlignment="1" applyProtection="1">
      <alignment horizontal="left" vertical="center"/>
    </xf>
    <xf numFmtId="165" fontId="6" fillId="36" borderId="93" xfId="2" applyNumberFormat="1" applyFont="1" applyFill="1" applyBorder="1" applyAlignment="1" applyProtection="1">
      <alignment vertical="center"/>
    </xf>
    <xf numFmtId="165" fontId="6" fillId="36" borderId="73" xfId="2" applyNumberFormat="1" applyFont="1" applyFill="1" applyBorder="1" applyAlignment="1" applyProtection="1">
      <alignment vertical="center"/>
    </xf>
    <xf numFmtId="165" fontId="6" fillId="36" borderId="75" xfId="2" applyNumberFormat="1" applyFont="1" applyFill="1" applyBorder="1" applyAlignment="1" applyProtection="1">
      <alignment vertical="center"/>
    </xf>
    <xf numFmtId="172" fontId="0" fillId="0" borderId="172" xfId="2" applyNumberFormat="1" applyFont="1" applyFill="1" applyBorder="1" applyAlignment="1" applyProtection="1">
      <alignment horizontal="left" vertical="center"/>
    </xf>
    <xf numFmtId="172" fontId="5" fillId="0" borderId="174" xfId="2" applyNumberFormat="1" applyFont="1" applyFill="1" applyBorder="1" applyAlignment="1" applyProtection="1">
      <alignment vertical="center"/>
    </xf>
    <xf numFmtId="172" fontId="0" fillId="0" borderId="174" xfId="2" applyNumberFormat="1" applyFont="1" applyFill="1" applyBorder="1" applyAlignment="1" applyProtection="1">
      <alignment horizontal="right" vertical="center"/>
    </xf>
    <xf numFmtId="172" fontId="0" fillId="0" borderId="103" xfId="2" applyNumberFormat="1" applyFont="1" applyFill="1" applyBorder="1" applyAlignment="1" applyProtection="1">
      <alignment horizontal="right" vertical="center"/>
    </xf>
    <xf numFmtId="172" fontId="0" fillId="0" borderId="172" xfId="2" applyNumberFormat="1" applyFont="1" applyFill="1" applyBorder="1" applyAlignment="1" applyProtection="1">
      <alignment horizontal="right" vertical="center"/>
    </xf>
    <xf numFmtId="172" fontId="0" fillId="0" borderId="100" xfId="2" applyNumberFormat="1" applyFont="1" applyFill="1" applyBorder="1" applyAlignment="1" applyProtection="1">
      <alignment vertical="center"/>
    </xf>
    <xf numFmtId="172" fontId="0" fillId="0" borderId="174" xfId="2" applyNumberFormat="1" applyFont="1" applyFill="1" applyBorder="1" applyAlignment="1" applyProtection="1">
      <alignment vertical="center"/>
    </xf>
    <xf numFmtId="166" fontId="6" fillId="0" borderId="160" xfId="2" applyNumberFormat="1" applyFont="1" applyFill="1" applyBorder="1" applyAlignment="1" applyProtection="1">
      <alignment vertical="center"/>
    </xf>
    <xf numFmtId="0" fontId="2" fillId="0" borderId="0" xfId="0" applyFont="1" applyAlignment="1">
      <alignment horizontal="right" indent="2"/>
    </xf>
    <xf numFmtId="0" fontId="25" fillId="14" borderId="0" xfId="0" applyFont="1" applyFill="1" applyAlignment="1">
      <alignment horizontal="right"/>
    </xf>
    <xf numFmtId="178" fontId="1" fillId="47" borderId="173" xfId="4" applyNumberFormat="1" applyFill="1" applyBorder="1" applyAlignment="1" applyProtection="1">
      <alignment horizontal="center" vertical="center"/>
    </xf>
    <xf numFmtId="178" fontId="1" fillId="48" borderId="168" xfId="4" applyNumberFormat="1" applyFill="1" applyBorder="1" applyAlignment="1" applyProtection="1">
      <alignment horizontal="center" vertical="center"/>
    </xf>
    <xf numFmtId="178" fontId="1" fillId="47" borderId="168" xfId="4" applyNumberFormat="1" applyFill="1" applyBorder="1" applyAlignment="1" applyProtection="1">
      <alignment horizontal="center" vertical="center"/>
    </xf>
    <xf numFmtId="178" fontId="1" fillId="47" borderId="110" xfId="4" applyNumberFormat="1" applyFill="1" applyBorder="1" applyAlignment="1" applyProtection="1">
      <alignment horizontal="center" vertical="center"/>
    </xf>
    <xf numFmtId="178" fontId="1" fillId="47" borderId="74" xfId="4" applyNumberFormat="1" applyFill="1" applyBorder="1" applyAlignment="1" applyProtection="1">
      <alignment horizontal="center" vertical="center"/>
    </xf>
    <xf numFmtId="178" fontId="1" fillId="47" borderId="175" xfId="4" applyNumberFormat="1" applyFill="1" applyBorder="1" applyAlignment="1" applyProtection="1">
      <alignment horizontal="center" vertical="center"/>
    </xf>
    <xf numFmtId="165" fontId="6" fillId="6" borderId="161" xfId="2" applyNumberFormat="1" applyFont="1" applyFill="1" applyBorder="1" applyAlignment="1" applyProtection="1">
      <alignment vertical="center"/>
      <protection locked="0"/>
    </xf>
    <xf numFmtId="165" fontId="6" fillId="6" borderId="39" xfId="2" applyNumberFormat="1" applyFont="1" applyFill="1" applyBorder="1" applyAlignment="1" applyProtection="1">
      <alignment vertical="center"/>
      <protection locked="0"/>
    </xf>
    <xf numFmtId="165" fontId="6" fillId="36" borderId="164" xfId="2" applyNumberFormat="1" applyFont="1" applyFill="1" applyBorder="1" applyAlignment="1" applyProtection="1">
      <alignment vertical="center"/>
    </xf>
    <xf numFmtId="0" fontId="0" fillId="6" borderId="73" xfId="0" applyFill="1" applyBorder="1" applyAlignment="1" applyProtection="1">
      <alignment vertical="center"/>
      <protection locked="0"/>
    </xf>
    <xf numFmtId="165" fontId="6" fillId="6" borderId="160" xfId="2" applyNumberFormat="1" applyFont="1" applyFill="1" applyBorder="1" applyAlignment="1" applyProtection="1">
      <alignment vertical="center"/>
      <protection locked="0"/>
    </xf>
    <xf numFmtId="178" fontId="1" fillId="47" borderId="154" xfId="4" applyNumberFormat="1" applyFill="1" applyBorder="1" applyAlignment="1" applyProtection="1">
      <alignment horizontal="center" vertical="center"/>
    </xf>
    <xf numFmtId="178" fontId="1" fillId="47" borderId="169" xfId="4" applyNumberFormat="1" applyFill="1" applyBorder="1" applyAlignment="1" applyProtection="1">
      <alignment horizontal="center" vertical="center"/>
    </xf>
    <xf numFmtId="165" fontId="6" fillId="36" borderId="88" xfId="2" applyNumberFormat="1" applyFont="1" applyFill="1" applyBorder="1" applyAlignment="1" applyProtection="1">
      <alignment vertical="center"/>
    </xf>
    <xf numFmtId="178" fontId="1" fillId="47" borderId="163" xfId="4" applyNumberFormat="1" applyFill="1" applyBorder="1" applyAlignment="1" applyProtection="1">
      <alignment horizontal="center" vertical="center"/>
    </xf>
    <xf numFmtId="165" fontId="6" fillId="35" borderId="168" xfId="2" applyNumberFormat="1" applyFont="1" applyFill="1" applyBorder="1" applyAlignment="1" applyProtection="1">
      <alignment vertical="center"/>
    </xf>
    <xf numFmtId="172" fontId="0" fillId="14" borderId="55" xfId="2" applyNumberFormat="1" applyFont="1" applyFill="1" applyBorder="1" applyAlignment="1" applyProtection="1">
      <alignment vertical="center"/>
    </xf>
    <xf numFmtId="172" fontId="5" fillId="14" borderId="89" xfId="2" applyNumberFormat="1" applyFont="1" applyFill="1" applyBorder="1" applyAlignment="1" applyProtection="1">
      <alignment vertical="center"/>
    </xf>
    <xf numFmtId="172" fontId="0" fillId="14" borderId="89" xfId="2" applyNumberFormat="1" applyFont="1" applyFill="1" applyBorder="1" applyAlignment="1" applyProtection="1">
      <alignment horizontal="right" vertical="center"/>
    </xf>
    <xf numFmtId="172" fontId="0" fillId="14" borderId="89" xfId="2" applyNumberFormat="1" applyFont="1" applyFill="1" applyBorder="1" applyAlignment="1" applyProtection="1">
      <alignment vertical="center"/>
    </xf>
    <xf numFmtId="172" fontId="0" fillId="0" borderId="55" xfId="2" applyNumberFormat="1" applyFont="1" applyFill="1" applyBorder="1" applyAlignment="1" applyProtection="1">
      <alignment vertical="center"/>
    </xf>
    <xf numFmtId="172" fontId="0" fillId="0" borderId="56" xfId="2" applyNumberFormat="1" applyFont="1" applyFill="1" applyBorder="1" applyAlignment="1" applyProtection="1">
      <alignment vertical="center"/>
    </xf>
    <xf numFmtId="165" fontId="6" fillId="36" borderId="110" xfId="2" applyNumberFormat="1" applyFont="1" applyFill="1" applyBorder="1" applyAlignment="1" applyProtection="1">
      <alignment vertical="center"/>
    </xf>
    <xf numFmtId="172" fontId="0" fillId="0" borderId="89" xfId="2" applyNumberFormat="1" applyFont="1" applyFill="1" applyBorder="1" applyAlignment="1" applyProtection="1">
      <alignment vertical="center"/>
    </xf>
    <xf numFmtId="172" fontId="5" fillId="0" borderId="89" xfId="2" applyNumberFormat="1" applyFont="1" applyFill="1" applyBorder="1" applyAlignment="1" applyProtection="1">
      <alignment vertical="center"/>
    </xf>
    <xf numFmtId="172" fontId="0" fillId="0" borderId="56" xfId="2" applyNumberFormat="1" applyFont="1" applyFill="1" applyBorder="1" applyAlignment="1" applyProtection="1">
      <alignment horizontal="right" vertical="center"/>
    </xf>
    <xf numFmtId="172" fontId="0" fillId="0" borderId="89" xfId="2" applyNumberFormat="1" applyFont="1" applyFill="1" applyBorder="1" applyAlignment="1" applyProtection="1">
      <alignment horizontal="right" vertical="center"/>
    </xf>
    <xf numFmtId="0" fontId="2" fillId="52" borderId="96" xfId="0" applyFont="1" applyFill="1" applyBorder="1" applyAlignment="1">
      <alignment horizontal="center" vertical="center" wrapText="1"/>
    </xf>
    <xf numFmtId="0" fontId="2" fillId="52" borderId="105" xfId="0" applyFont="1" applyFill="1" applyBorder="1" applyAlignment="1">
      <alignment horizontal="center" vertical="center" wrapText="1"/>
    </xf>
    <xf numFmtId="0" fontId="25" fillId="52" borderId="96" xfId="0" applyFont="1" applyFill="1" applyBorder="1" applyAlignment="1">
      <alignment horizontal="center" vertical="center" wrapText="1"/>
    </xf>
    <xf numFmtId="1" fontId="0" fillId="14" borderId="0" xfId="0" applyNumberFormat="1" applyFill="1"/>
    <xf numFmtId="167" fontId="2" fillId="14" borderId="0" xfId="0" applyNumberFormat="1" applyFont="1" applyFill="1"/>
    <xf numFmtId="0" fontId="31" fillId="58" borderId="168" xfId="0" applyFont="1" applyFill="1" applyBorder="1" applyAlignment="1" applyProtection="1">
      <alignment horizontal="left" vertical="center"/>
      <protection locked="0"/>
    </xf>
    <xf numFmtId="165" fontId="5" fillId="2" borderId="181" xfId="0" applyNumberFormat="1" applyFont="1" applyFill="1" applyBorder="1" applyAlignment="1">
      <alignment horizontal="center" vertical="center" wrapText="1"/>
    </xf>
    <xf numFmtId="165" fontId="5" fillId="2" borderId="197" xfId="0" applyNumberFormat="1" applyFont="1" applyFill="1" applyBorder="1" applyAlignment="1">
      <alignment horizontal="center" vertical="center" wrapText="1"/>
    </xf>
    <xf numFmtId="165" fontId="5" fillId="2" borderId="198" xfId="0" applyNumberFormat="1" applyFont="1" applyFill="1" applyBorder="1" applyAlignment="1">
      <alignment horizontal="center" vertical="center" wrapText="1"/>
    </xf>
    <xf numFmtId="173" fontId="0" fillId="36" borderId="199" xfId="0" applyNumberFormat="1" applyFill="1" applyBorder="1" applyAlignment="1">
      <alignment horizontal="right" vertical="center"/>
    </xf>
    <xf numFmtId="173" fontId="0" fillId="36" borderId="103" xfId="0" applyNumberFormat="1" applyFill="1" applyBorder="1" applyAlignment="1">
      <alignment horizontal="right" vertical="center"/>
    </xf>
    <xf numFmtId="173" fontId="0" fillId="0" borderId="8" xfId="0" applyNumberFormat="1" applyBorder="1" applyAlignment="1">
      <alignment horizontal="right" vertical="center"/>
    </xf>
    <xf numFmtId="173" fontId="8" fillId="24" borderId="56" xfId="0" applyNumberFormat="1" applyFont="1" applyFill="1" applyBorder="1" applyAlignment="1">
      <alignment horizontal="right" vertical="center"/>
    </xf>
    <xf numFmtId="179" fontId="25" fillId="14" borderId="102" xfId="0" applyNumberFormat="1" applyFont="1" applyFill="1" applyBorder="1"/>
    <xf numFmtId="179" fontId="25" fillId="14" borderId="58" xfId="0" applyNumberFormat="1" applyFont="1" applyFill="1" applyBorder="1"/>
    <xf numFmtId="0" fontId="8" fillId="14" borderId="0" xfId="0" applyFont="1" applyFill="1" applyAlignment="1" applyProtection="1">
      <alignment horizontal="center" vertical="center"/>
      <protection locked="0"/>
    </xf>
    <xf numFmtId="0" fontId="2" fillId="42" borderId="58" xfId="0" applyFont="1" applyFill="1" applyBorder="1" applyAlignment="1">
      <alignment horizontal="left" vertical="center" indent="1"/>
    </xf>
    <xf numFmtId="0" fontId="2" fillId="52" borderId="102" xfId="0" applyFont="1" applyFill="1" applyBorder="1" applyAlignment="1">
      <alignment horizontal="center" vertical="center" wrapText="1"/>
    </xf>
    <xf numFmtId="0" fontId="2" fillId="52" borderId="104" xfId="0" applyFont="1" applyFill="1" applyBorder="1" applyAlignment="1">
      <alignment horizontal="center" vertical="center" wrapText="1"/>
    </xf>
    <xf numFmtId="0" fontId="2" fillId="52" borderId="58" xfId="0" applyFont="1" applyFill="1" applyBorder="1" applyAlignment="1">
      <alignment horizontal="center" vertical="center" wrapText="1"/>
    </xf>
    <xf numFmtId="0" fontId="0" fillId="14" borderId="207" xfId="0" applyFill="1" applyBorder="1" applyAlignment="1">
      <alignment horizontal="left" indent="2"/>
    </xf>
    <xf numFmtId="179" fontId="0" fillId="14" borderId="215" xfId="0" applyNumberFormat="1" applyFill="1" applyBorder="1"/>
    <xf numFmtId="179" fontId="0" fillId="14" borderId="208" xfId="0" applyNumberFormat="1" applyFill="1" applyBorder="1"/>
    <xf numFmtId="0" fontId="2" fillId="52" borderId="73" xfId="0" applyFont="1" applyFill="1" applyBorder="1" applyAlignment="1">
      <alignment horizontal="center" vertical="center" wrapText="1"/>
    </xf>
    <xf numFmtId="0" fontId="25" fillId="52" borderId="73" xfId="0" applyFont="1" applyFill="1" applyBorder="1" applyAlignment="1">
      <alignment horizontal="center" vertical="center" wrapText="1"/>
    </xf>
    <xf numFmtId="42" fontId="0" fillId="14" borderId="215" xfId="3" applyFont="1" applyFill="1" applyBorder="1"/>
    <xf numFmtId="179" fontId="25" fillId="14" borderId="104" xfId="0" applyNumberFormat="1" applyFont="1" applyFill="1" applyBorder="1"/>
    <xf numFmtId="179" fontId="0" fillId="14" borderId="204" xfId="0" applyNumberFormat="1" applyFill="1" applyBorder="1"/>
    <xf numFmtId="0" fontId="25" fillId="52" borderId="102" xfId="0" applyFont="1" applyFill="1" applyBorder="1" applyAlignment="1">
      <alignment horizontal="center" vertical="center" wrapText="1"/>
    </xf>
    <xf numFmtId="179" fontId="0" fillId="14" borderId="206" xfId="0" applyNumberFormat="1" applyFill="1" applyBorder="1"/>
    <xf numFmtId="179" fontId="0" fillId="14" borderId="218" xfId="0" applyNumberFormat="1" applyFill="1" applyBorder="1"/>
    <xf numFmtId="179" fontId="0" fillId="14" borderId="211" xfId="0" applyNumberFormat="1" applyFill="1" applyBorder="1"/>
    <xf numFmtId="179" fontId="25" fillId="14" borderId="105" xfId="0" applyNumberFormat="1" applyFont="1" applyFill="1" applyBorder="1"/>
    <xf numFmtId="0" fontId="0" fillId="14" borderId="44" xfId="0" applyFill="1" applyBorder="1" applyAlignment="1">
      <alignment horizontal="left" indent="2"/>
    </xf>
    <xf numFmtId="0" fontId="0" fillId="14" borderId="217" xfId="0" applyFill="1" applyBorder="1" applyAlignment="1">
      <alignment horizontal="left" indent="2"/>
    </xf>
    <xf numFmtId="0" fontId="2" fillId="8" borderId="58" xfId="0" applyFont="1" applyFill="1" applyBorder="1" applyAlignment="1">
      <alignment horizontal="left" indent="2"/>
    </xf>
    <xf numFmtId="0" fontId="2" fillId="52" borderId="177" xfId="0" applyFont="1" applyFill="1" applyBorder="1" applyAlignment="1">
      <alignment horizontal="center" vertical="center" wrapText="1"/>
    </xf>
    <xf numFmtId="179" fontId="0" fillId="14" borderId="205" xfId="0" applyNumberFormat="1" applyFill="1" applyBorder="1"/>
    <xf numFmtId="179" fontId="0" fillId="14" borderId="216" xfId="0" applyNumberFormat="1" applyFill="1" applyBorder="1"/>
    <xf numFmtId="179" fontId="0" fillId="14" borderId="209" xfId="0" applyNumberFormat="1" applyFill="1" applyBorder="1"/>
    <xf numFmtId="179" fontId="2" fillId="14" borderId="44" xfId="0" applyNumberFormat="1" applyFont="1" applyFill="1" applyBorder="1"/>
    <xf numFmtId="179" fontId="2" fillId="14" borderId="217" xfId="0" applyNumberFormat="1" applyFont="1" applyFill="1" applyBorder="1"/>
    <xf numFmtId="179" fontId="2" fillId="14" borderId="207" xfId="0" applyNumberFormat="1" applyFont="1" applyFill="1" applyBorder="1"/>
    <xf numFmtId="42" fontId="0" fillId="14" borderId="218" xfId="3" applyFont="1" applyFill="1" applyBorder="1" applyAlignment="1"/>
    <xf numFmtId="42" fontId="0" fillId="14" borderId="216" xfId="3" applyFont="1" applyFill="1" applyBorder="1"/>
    <xf numFmtId="0" fontId="2" fillId="52" borderId="193" xfId="0" applyFont="1" applyFill="1" applyBorder="1" applyAlignment="1">
      <alignment horizontal="center" vertical="center" wrapText="1"/>
    </xf>
    <xf numFmtId="0" fontId="2" fillId="42" borderId="8" xfId="0" applyFont="1" applyFill="1" applyBorder="1" applyAlignment="1">
      <alignment horizontal="left" vertical="center" indent="1"/>
    </xf>
    <xf numFmtId="0" fontId="2" fillId="52" borderId="74" xfId="0" applyFont="1" applyFill="1" applyBorder="1" applyAlignment="1">
      <alignment horizontal="center" vertical="center" wrapText="1"/>
    </xf>
    <xf numFmtId="165" fontId="0" fillId="6" borderId="215" xfId="2" applyNumberFormat="1" applyFont="1" applyFill="1" applyBorder="1" applyAlignment="1" applyProtection="1">
      <alignment vertical="center"/>
      <protection locked="0"/>
    </xf>
    <xf numFmtId="165" fontId="15" fillId="6" borderId="215" xfId="2" applyNumberFormat="1" applyFont="1" applyFill="1" applyBorder="1" applyAlignment="1" applyProtection="1">
      <alignment vertical="center"/>
      <protection locked="0"/>
    </xf>
    <xf numFmtId="171" fontId="15" fillId="6" borderId="215" xfId="1" applyNumberFormat="1" applyFont="1" applyFill="1" applyBorder="1" applyAlignment="1" applyProtection="1">
      <alignment vertical="center"/>
      <protection locked="0"/>
    </xf>
    <xf numFmtId="165" fontId="0" fillId="37" borderId="215" xfId="2" applyNumberFormat="1" applyFont="1" applyFill="1" applyBorder="1" applyAlignment="1" applyProtection="1">
      <alignment vertical="center"/>
      <protection locked="0"/>
    </xf>
    <xf numFmtId="165" fontId="15" fillId="37" borderId="215" xfId="2" applyNumberFormat="1" applyFont="1" applyFill="1" applyBorder="1" applyAlignment="1" applyProtection="1">
      <alignment vertical="center"/>
      <protection locked="0"/>
    </xf>
    <xf numFmtId="171" fontId="15" fillId="37" borderId="215" xfId="1" applyNumberFormat="1" applyFont="1" applyFill="1" applyBorder="1" applyAlignment="1" applyProtection="1">
      <alignment vertical="center"/>
      <protection locked="0"/>
    </xf>
    <xf numFmtId="165" fontId="15" fillId="36" borderId="215" xfId="2" applyNumberFormat="1" applyFont="1" applyFill="1" applyBorder="1" applyAlignment="1">
      <alignment vertical="center"/>
    </xf>
    <xf numFmtId="165" fontId="14" fillId="33" borderId="215" xfId="2" applyNumberFormat="1" applyFont="1" applyFill="1" applyBorder="1" applyAlignment="1">
      <alignment horizontal="center" vertical="center"/>
    </xf>
    <xf numFmtId="165" fontId="14" fillId="34" borderId="215" xfId="2" applyNumberFormat="1" applyFont="1" applyFill="1" applyBorder="1" applyAlignment="1">
      <alignment vertical="center"/>
    </xf>
    <xf numFmtId="165" fontId="14" fillId="22" borderId="215" xfId="2" applyNumberFormat="1" applyFont="1" applyFill="1" applyBorder="1" applyAlignment="1">
      <alignment vertical="center"/>
    </xf>
    <xf numFmtId="172" fontId="5" fillId="39" borderId="215" xfId="2" applyNumberFormat="1" applyFont="1" applyFill="1" applyBorder="1" applyAlignment="1">
      <alignment vertical="center"/>
    </xf>
    <xf numFmtId="172" fontId="5" fillId="40" borderId="215" xfId="2" applyNumberFormat="1" applyFont="1" applyFill="1" applyBorder="1" applyAlignment="1">
      <alignment vertical="center"/>
    </xf>
    <xf numFmtId="0" fontId="5" fillId="11" borderId="215" xfId="0" applyFont="1" applyFill="1" applyBorder="1" applyAlignment="1">
      <alignment horizontal="center" vertical="center" wrapText="1"/>
    </xf>
    <xf numFmtId="169" fontId="5" fillId="11" borderId="215" xfId="1" applyNumberFormat="1" applyFont="1" applyFill="1" applyBorder="1" applyAlignment="1" applyProtection="1">
      <alignment horizontal="center" vertical="center" wrapText="1"/>
    </xf>
    <xf numFmtId="0" fontId="14" fillId="11" borderId="215" xfId="0" applyFont="1" applyFill="1" applyBorder="1" applyAlignment="1">
      <alignment horizontal="center" vertical="center"/>
    </xf>
    <xf numFmtId="165" fontId="5" fillId="31" borderId="215" xfId="2" applyNumberFormat="1" applyFont="1" applyFill="1" applyBorder="1" applyAlignment="1">
      <alignment vertical="center"/>
    </xf>
    <xf numFmtId="165" fontId="14" fillId="32" borderId="215" xfId="2" applyNumberFormat="1" applyFont="1" applyFill="1" applyBorder="1" applyAlignment="1">
      <alignment vertical="center"/>
    </xf>
    <xf numFmtId="165" fontId="5" fillId="34" borderId="215" xfId="2" applyNumberFormat="1" applyFont="1" applyFill="1" applyBorder="1" applyAlignment="1">
      <alignment vertical="center"/>
    </xf>
    <xf numFmtId="165" fontId="0" fillId="8" borderId="215" xfId="2" applyNumberFormat="1" applyFont="1" applyFill="1" applyBorder="1" applyAlignment="1">
      <alignment vertical="center"/>
    </xf>
    <xf numFmtId="165" fontId="15" fillId="35" borderId="215" xfId="2" applyNumberFormat="1" applyFont="1" applyFill="1" applyBorder="1" applyAlignment="1">
      <alignment vertical="center"/>
    </xf>
    <xf numFmtId="165" fontId="14" fillId="33" borderId="215" xfId="2" applyNumberFormat="1" applyFont="1" applyFill="1" applyBorder="1" applyAlignment="1">
      <alignment vertical="center"/>
    </xf>
    <xf numFmtId="165" fontId="14" fillId="30" borderId="215" xfId="2" applyNumberFormat="1" applyFont="1" applyFill="1" applyBorder="1" applyAlignment="1">
      <alignment horizontal="center" vertical="center"/>
    </xf>
    <xf numFmtId="0" fontId="5" fillId="29" borderId="215" xfId="0" applyFont="1" applyFill="1" applyBorder="1" applyAlignment="1">
      <alignment horizontal="center" vertical="center"/>
    </xf>
    <xf numFmtId="0" fontId="14" fillId="30" borderId="215" xfId="0" applyFont="1" applyFill="1" applyBorder="1" applyAlignment="1">
      <alignment horizontal="left" vertical="center"/>
    </xf>
    <xf numFmtId="0" fontId="0" fillId="0" borderId="215" xfId="0" applyBorder="1" applyAlignment="1">
      <alignment horizontal="center" vertical="center"/>
    </xf>
    <xf numFmtId="0" fontId="5" fillId="33" borderId="215" xfId="0" applyFont="1" applyFill="1" applyBorder="1" applyAlignment="1">
      <alignment horizontal="center" vertical="center" wrapText="1"/>
    </xf>
    <xf numFmtId="0" fontId="14" fillId="33" borderId="215" xfId="0" applyFont="1" applyFill="1" applyBorder="1" applyAlignment="1">
      <alignment horizontal="left" vertical="center"/>
    </xf>
    <xf numFmtId="1" fontId="0" fillId="0" borderId="215" xfId="0" applyNumberFormat="1" applyBorder="1" applyAlignment="1">
      <alignment horizontal="center" vertical="center" wrapText="1"/>
    </xf>
    <xf numFmtId="170" fontId="15" fillId="0" borderId="215" xfId="0" applyNumberFormat="1" applyFont="1" applyBorder="1" applyAlignment="1">
      <alignment horizontal="left"/>
    </xf>
    <xf numFmtId="0" fontId="0" fillId="0" borderId="215" xfId="0" applyBorder="1" applyAlignment="1">
      <alignment horizontal="left" vertical="center"/>
    </xf>
    <xf numFmtId="170" fontId="15" fillId="14" borderId="215" xfId="0" applyNumberFormat="1" applyFont="1" applyFill="1" applyBorder="1" applyAlignment="1">
      <alignment horizontal="left"/>
    </xf>
    <xf numFmtId="0" fontId="5" fillId="38" borderId="215" xfId="0" applyFont="1" applyFill="1" applyBorder="1" applyAlignment="1">
      <alignment horizontal="center" vertical="center" wrapText="1"/>
    </xf>
    <xf numFmtId="0" fontId="5" fillId="39" borderId="215" xfId="0" applyFont="1" applyFill="1" applyBorder="1" applyAlignment="1">
      <alignment vertical="center"/>
    </xf>
    <xf numFmtId="0" fontId="16" fillId="0" borderId="215" xfId="0" applyFont="1" applyBorder="1" applyAlignment="1">
      <alignment horizontal="left" vertical="center"/>
    </xf>
    <xf numFmtId="0" fontId="16" fillId="0" borderId="215" xfId="0" applyFont="1" applyBorder="1" applyAlignment="1">
      <alignment horizontal="center" vertical="center"/>
    </xf>
    <xf numFmtId="165" fontId="30" fillId="58" borderId="215" xfId="2" applyNumberFormat="1" applyFont="1" applyFill="1" applyBorder="1" applyAlignment="1" applyProtection="1">
      <alignment vertical="center"/>
      <protection locked="0"/>
    </xf>
    <xf numFmtId="171" fontId="30" fillId="58" borderId="215" xfId="1" applyNumberFormat="1" applyFont="1" applyFill="1" applyBorder="1" applyAlignment="1" applyProtection="1">
      <alignment vertical="center"/>
      <protection locked="0"/>
    </xf>
    <xf numFmtId="165" fontId="0" fillId="59" borderId="215" xfId="2" applyNumberFormat="1" applyFont="1" applyFill="1" applyBorder="1" applyAlignment="1" applyProtection="1">
      <alignment vertical="center"/>
      <protection locked="0"/>
    </xf>
    <xf numFmtId="165" fontId="0" fillId="58" borderId="215" xfId="2" applyNumberFormat="1" applyFont="1" applyFill="1" applyBorder="1" applyAlignment="1" applyProtection="1">
      <alignment vertical="center"/>
      <protection locked="0"/>
    </xf>
    <xf numFmtId="165" fontId="0" fillId="60" borderId="215" xfId="2" applyNumberFormat="1" applyFont="1" applyFill="1" applyBorder="1" applyAlignment="1" applyProtection="1">
      <alignment vertical="center"/>
      <protection locked="0"/>
    </xf>
    <xf numFmtId="165" fontId="30" fillId="59" borderId="215" xfId="2" applyNumberFormat="1" applyFont="1" applyFill="1" applyBorder="1" applyAlignment="1" applyProtection="1">
      <alignment vertical="center"/>
      <protection locked="0"/>
    </xf>
    <xf numFmtId="171" fontId="30" fillId="59" borderId="215" xfId="1" applyNumberFormat="1" applyFont="1" applyFill="1" applyBorder="1" applyAlignment="1" applyProtection="1">
      <alignment vertical="center"/>
      <protection locked="0"/>
    </xf>
    <xf numFmtId="165" fontId="14" fillId="6" borderId="215" xfId="2" applyNumberFormat="1" applyFont="1" applyFill="1" applyBorder="1" applyAlignment="1">
      <alignment vertical="center"/>
    </xf>
    <xf numFmtId="165" fontId="5" fillId="57" borderId="219" xfId="2" applyNumberFormat="1" applyFont="1" applyFill="1" applyBorder="1" applyAlignment="1" applyProtection="1">
      <alignment horizontal="right" vertical="center"/>
    </xf>
    <xf numFmtId="165" fontId="5" fillId="55" borderId="219" xfId="2" applyNumberFormat="1" applyFont="1" applyFill="1" applyBorder="1" applyAlignment="1" applyProtection="1">
      <alignment horizontal="right" vertical="center"/>
    </xf>
    <xf numFmtId="165" fontId="5" fillId="55" borderId="212" xfId="0" applyNumberFormat="1" applyFont="1" applyFill="1" applyBorder="1" applyAlignment="1">
      <alignment vertical="center"/>
    </xf>
    <xf numFmtId="165" fontId="5" fillId="55" borderId="212" xfId="2" applyNumberFormat="1" applyFont="1" applyFill="1" applyBorder="1" applyAlignment="1" applyProtection="1">
      <alignment vertical="center"/>
    </xf>
    <xf numFmtId="165" fontId="5" fillId="55" borderId="212" xfId="2" applyNumberFormat="1" applyFont="1" applyFill="1" applyBorder="1" applyAlignment="1" applyProtection="1">
      <alignment horizontal="right" vertical="center"/>
    </xf>
    <xf numFmtId="165" fontId="0" fillId="0" borderId="201" xfId="0" applyNumberFormat="1" applyBorder="1" applyAlignment="1">
      <alignment vertical="center"/>
    </xf>
    <xf numFmtId="165" fontId="6" fillId="0" borderId="201" xfId="2" applyNumberFormat="1" applyFont="1" applyFill="1" applyBorder="1" applyAlignment="1" applyProtection="1">
      <alignment vertical="center"/>
    </xf>
    <xf numFmtId="165" fontId="5" fillId="57" borderId="215" xfId="0" applyNumberFormat="1" applyFont="1" applyFill="1" applyBorder="1" applyAlignment="1">
      <alignment vertical="center"/>
    </xf>
    <xf numFmtId="165" fontId="5" fillId="57" borderId="215" xfId="2" applyNumberFormat="1" applyFont="1" applyFill="1" applyBorder="1" applyAlignment="1" applyProtection="1">
      <alignment vertical="center"/>
    </xf>
    <xf numFmtId="165" fontId="5" fillId="57" borderId="215" xfId="2" applyNumberFormat="1" applyFont="1" applyFill="1" applyBorder="1" applyAlignment="1" applyProtection="1">
      <alignment horizontal="right" vertical="center"/>
    </xf>
    <xf numFmtId="165" fontId="0" fillId="0" borderId="215" xfId="0" applyNumberFormat="1" applyBorder="1" applyAlignment="1">
      <alignment vertical="center"/>
    </xf>
    <xf numFmtId="165" fontId="0" fillId="0" borderId="215" xfId="2" applyNumberFormat="1" applyFont="1" applyFill="1" applyBorder="1" applyAlignment="1" applyProtection="1">
      <alignment vertical="center"/>
    </xf>
    <xf numFmtId="180" fontId="0" fillId="0" borderId="215" xfId="1" applyNumberFormat="1" applyFont="1" applyFill="1" applyBorder="1" applyAlignment="1" applyProtection="1">
      <alignment vertical="center"/>
    </xf>
    <xf numFmtId="165" fontId="5" fillId="55" borderId="215" xfId="0" applyNumberFormat="1" applyFont="1" applyFill="1" applyBorder="1" applyAlignment="1">
      <alignment vertical="center"/>
    </xf>
    <xf numFmtId="165" fontId="5" fillId="55" borderId="215" xfId="2" applyNumberFormat="1" applyFont="1" applyFill="1" applyBorder="1" applyAlignment="1" applyProtection="1">
      <alignment vertical="center"/>
    </xf>
    <xf numFmtId="165" fontId="5" fillId="55" borderId="215" xfId="2" applyNumberFormat="1" applyFont="1" applyFill="1" applyBorder="1" applyAlignment="1" applyProtection="1">
      <alignment horizontal="right" vertical="center"/>
    </xf>
    <xf numFmtId="165" fontId="0" fillId="0" borderId="224" xfId="2" applyNumberFormat="1" applyFont="1" applyFill="1" applyBorder="1" applyAlignment="1" applyProtection="1">
      <alignment vertical="center"/>
    </xf>
    <xf numFmtId="180" fontId="0" fillId="0" borderId="210" xfId="1" applyNumberFormat="1" applyFont="1" applyFill="1" applyBorder="1" applyAlignment="1" applyProtection="1">
      <alignment vertical="center"/>
    </xf>
    <xf numFmtId="165" fontId="5" fillId="55" borderId="210" xfId="2" applyNumberFormat="1" applyFont="1" applyFill="1" applyBorder="1" applyAlignment="1" applyProtection="1">
      <alignment vertical="center"/>
    </xf>
    <xf numFmtId="165" fontId="0" fillId="0" borderId="210" xfId="2" applyNumberFormat="1" applyFont="1" applyFill="1" applyBorder="1" applyAlignment="1" applyProtection="1">
      <alignment vertical="center"/>
    </xf>
    <xf numFmtId="165" fontId="10" fillId="39" borderId="221" xfId="2" applyNumberFormat="1" applyFont="1" applyFill="1" applyBorder="1" applyAlignment="1" applyProtection="1">
      <alignment vertical="center" wrapText="1"/>
    </xf>
    <xf numFmtId="165" fontId="5" fillId="55" borderId="201" xfId="0" applyNumberFormat="1" applyFont="1" applyFill="1" applyBorder="1" applyAlignment="1">
      <alignment vertical="center"/>
    </xf>
    <xf numFmtId="165" fontId="5" fillId="57" borderId="201" xfId="2" applyNumberFormat="1" applyFont="1" applyFill="1" applyBorder="1" applyAlignment="1" applyProtection="1">
      <alignment vertical="center"/>
    </xf>
    <xf numFmtId="165" fontId="5" fillId="55" borderId="201" xfId="2" applyNumberFormat="1" applyFont="1" applyFill="1" applyBorder="1" applyAlignment="1" applyProtection="1">
      <alignment vertical="center"/>
    </xf>
    <xf numFmtId="165" fontId="0" fillId="0" borderId="202" xfId="2" applyNumberFormat="1" applyFont="1" applyFill="1" applyBorder="1" applyAlignment="1" applyProtection="1">
      <alignment vertical="center"/>
    </xf>
    <xf numFmtId="180" fontId="0" fillId="0" borderId="214" xfId="1" applyNumberFormat="1" applyFont="1" applyFill="1" applyBorder="1" applyAlignment="1" applyProtection="1">
      <alignment vertical="center"/>
    </xf>
    <xf numFmtId="165" fontId="5" fillId="57" borderId="212" xfId="0" applyNumberFormat="1" applyFont="1" applyFill="1" applyBorder="1" applyAlignment="1">
      <alignment vertical="center"/>
    </xf>
    <xf numFmtId="165" fontId="5" fillId="57" borderId="212" xfId="2" applyNumberFormat="1" applyFont="1" applyFill="1" applyBorder="1" applyAlignment="1" applyProtection="1">
      <alignment vertical="center"/>
    </xf>
    <xf numFmtId="165" fontId="0" fillId="0" borderId="139" xfId="2" applyNumberFormat="1" applyFont="1" applyFill="1" applyBorder="1" applyAlignment="1" applyProtection="1">
      <alignment vertical="center"/>
    </xf>
    <xf numFmtId="165" fontId="5" fillId="55" borderId="208" xfId="0" applyNumberFormat="1" applyFont="1" applyFill="1" applyBorder="1" applyAlignment="1">
      <alignment vertical="center"/>
    </xf>
    <xf numFmtId="165" fontId="5" fillId="57" borderId="208" xfId="2" applyNumberFormat="1" applyFont="1" applyFill="1" applyBorder="1" applyAlignment="1" applyProtection="1">
      <alignment vertical="center"/>
    </xf>
    <xf numFmtId="165" fontId="5" fillId="55" borderId="214" xfId="2" applyNumberFormat="1" applyFont="1" applyFill="1" applyBorder="1" applyAlignment="1" applyProtection="1">
      <alignment vertical="center"/>
    </xf>
    <xf numFmtId="165" fontId="5" fillId="57" borderId="210" xfId="2" applyNumberFormat="1" applyFont="1" applyFill="1" applyBorder="1" applyAlignment="1" applyProtection="1">
      <alignment vertical="center"/>
    </xf>
    <xf numFmtId="165" fontId="0" fillId="0" borderId="212" xfId="0" applyNumberFormat="1" applyBorder="1" applyAlignment="1">
      <alignment vertical="center"/>
    </xf>
    <xf numFmtId="165" fontId="5" fillId="57" borderId="201" xfId="0" applyNumberFormat="1" applyFont="1" applyFill="1" applyBorder="1" applyAlignment="1">
      <alignment vertical="center"/>
    </xf>
    <xf numFmtId="0" fontId="0" fillId="0" borderId="215" xfId="0" applyBorder="1" applyAlignment="1" applyProtection="1">
      <alignment horizontal="center" vertical="center"/>
      <protection locked="0"/>
    </xf>
    <xf numFmtId="0" fontId="0" fillId="0" borderId="215" xfId="0" applyBorder="1" applyAlignment="1" applyProtection="1">
      <alignment horizontal="left" vertical="center"/>
      <protection locked="0"/>
    </xf>
    <xf numFmtId="0" fontId="0" fillId="0" borderId="215" xfId="0" applyBorder="1" applyAlignment="1" applyProtection="1">
      <alignment vertical="center"/>
      <protection locked="0"/>
    </xf>
    <xf numFmtId="165" fontId="1" fillId="0" borderId="67" xfId="2" applyNumberFormat="1" applyFont="1" applyFill="1" applyBorder="1" applyAlignment="1" applyProtection="1">
      <alignment vertical="center"/>
    </xf>
    <xf numFmtId="165" fontId="1" fillId="0" borderId="73" xfId="2" applyNumberFormat="1" applyFont="1" applyFill="1" applyBorder="1" applyAlignment="1" applyProtection="1">
      <alignment vertical="center"/>
    </xf>
    <xf numFmtId="165" fontId="1" fillId="0" borderId="74" xfId="2" applyNumberFormat="1" applyFont="1" applyFill="1" applyBorder="1" applyAlignment="1" applyProtection="1">
      <alignment vertical="center"/>
    </xf>
    <xf numFmtId="177" fontId="1" fillId="0" borderId="72" xfId="4" applyNumberFormat="1" applyFont="1" applyBorder="1" applyAlignment="1" applyProtection="1">
      <alignment horizontal="center" vertical="center"/>
    </xf>
    <xf numFmtId="165" fontId="1" fillId="1" borderId="11" xfId="2" applyNumberFormat="1" applyFont="1" applyFill="1" applyBorder="1" applyAlignment="1" applyProtection="1">
      <alignment vertical="center"/>
    </xf>
    <xf numFmtId="165" fontId="1" fillId="1" borderId="9" xfId="2" applyNumberFormat="1" applyFont="1" applyFill="1" applyBorder="1" applyAlignment="1" applyProtection="1">
      <alignment vertical="center"/>
    </xf>
    <xf numFmtId="165" fontId="1" fillId="1" borderId="10" xfId="2" applyNumberFormat="1" applyFont="1" applyFill="1" applyBorder="1" applyAlignment="1" applyProtection="1">
      <alignment vertical="center"/>
    </xf>
    <xf numFmtId="165" fontId="1" fillId="0" borderId="9" xfId="2" applyNumberFormat="1" applyFont="1" applyFill="1" applyBorder="1" applyAlignment="1" applyProtection="1">
      <alignment vertical="center"/>
    </xf>
    <xf numFmtId="165" fontId="1" fillId="0" borderId="10" xfId="2" applyNumberFormat="1" applyFont="1" applyFill="1" applyBorder="1" applyAlignment="1" applyProtection="1">
      <alignment vertical="center"/>
    </xf>
    <xf numFmtId="177" fontId="1" fillId="1" borderId="156" xfId="4" applyNumberFormat="1" applyFont="1" applyFill="1" applyBorder="1" applyAlignment="1" applyProtection="1">
      <alignment horizontal="center" vertical="center"/>
    </xf>
    <xf numFmtId="165" fontId="1" fillId="0" borderId="11" xfId="2" applyNumberFormat="1" applyFont="1" applyFill="1" applyBorder="1" applyAlignment="1" applyProtection="1">
      <alignment vertical="center"/>
    </xf>
    <xf numFmtId="177" fontId="1" fillId="0" borderId="156" xfId="4" applyNumberFormat="1" applyFont="1" applyBorder="1" applyAlignment="1" applyProtection="1">
      <alignment horizontal="center" vertical="center"/>
    </xf>
    <xf numFmtId="165" fontId="1" fillId="1" borderId="156" xfId="2" applyNumberFormat="1" applyFont="1" applyFill="1" applyBorder="1" applyAlignment="1" applyProtection="1">
      <alignment vertical="center"/>
    </xf>
    <xf numFmtId="165" fontId="1" fillId="1" borderId="16" xfId="2" applyNumberFormat="1" applyFont="1" applyFill="1" applyBorder="1" applyAlignment="1" applyProtection="1">
      <alignment vertical="center"/>
    </xf>
    <xf numFmtId="165" fontId="1" fillId="0" borderId="14" xfId="2" applyNumberFormat="1" applyFont="1" applyFill="1" applyBorder="1" applyAlignment="1" applyProtection="1">
      <alignment vertical="center"/>
    </xf>
    <xf numFmtId="165" fontId="1" fillId="0" borderId="15" xfId="2" applyNumberFormat="1" applyFont="1" applyFill="1" applyBorder="1" applyAlignment="1" applyProtection="1">
      <alignment vertical="center"/>
    </xf>
    <xf numFmtId="165" fontId="1" fillId="1" borderId="40" xfId="2" applyNumberFormat="1" applyFont="1" applyFill="1" applyBorder="1" applyAlignment="1" applyProtection="1">
      <alignment vertical="center"/>
    </xf>
    <xf numFmtId="165" fontId="1" fillId="1" borderId="47" xfId="2" applyNumberFormat="1" applyFont="1" applyFill="1" applyBorder="1" applyAlignment="1" applyProtection="1">
      <alignment vertical="center"/>
    </xf>
    <xf numFmtId="165" fontId="1" fillId="0" borderId="38" xfId="2" applyNumberFormat="1" applyFont="1" applyFill="1" applyBorder="1" applyAlignment="1" applyProtection="1">
      <alignment vertical="center"/>
    </xf>
    <xf numFmtId="165" fontId="1" fillId="0" borderId="46" xfId="2" applyNumberFormat="1" applyFont="1" applyFill="1" applyBorder="1" applyAlignment="1" applyProtection="1">
      <alignment vertical="center"/>
    </xf>
    <xf numFmtId="177" fontId="1" fillId="1" borderId="72" xfId="4" applyNumberFormat="1" applyFont="1" applyFill="1" applyBorder="1" applyAlignment="1" applyProtection="1">
      <alignment horizontal="center" vertical="center"/>
    </xf>
    <xf numFmtId="165" fontId="1" fillId="1" borderId="92" xfId="2" applyNumberFormat="1" applyFont="1" applyFill="1" applyBorder="1" applyAlignment="1" applyProtection="1">
      <alignment vertical="center"/>
    </xf>
    <xf numFmtId="165" fontId="1" fillId="0" borderId="93" xfId="2" applyNumberFormat="1" applyFont="1" applyFill="1" applyBorder="1" applyAlignment="1" applyProtection="1">
      <alignment vertical="center"/>
    </xf>
    <xf numFmtId="165" fontId="1" fillId="0" borderId="95" xfId="2" applyNumberFormat="1" applyFont="1" applyFill="1" applyBorder="1" applyAlignment="1" applyProtection="1">
      <alignment vertical="center"/>
    </xf>
    <xf numFmtId="177" fontId="1" fillId="1" borderId="40" xfId="4" applyNumberFormat="1" applyFont="1" applyFill="1" applyBorder="1" applyAlignment="1" applyProtection="1">
      <alignment horizontal="center" vertical="center"/>
    </xf>
    <xf numFmtId="165" fontId="1" fillId="0" borderId="47" xfId="2" applyNumberFormat="1" applyFont="1" applyFill="1" applyBorder="1" applyAlignment="1" applyProtection="1">
      <alignment vertical="center"/>
    </xf>
    <xf numFmtId="165" fontId="1" fillId="0" borderId="92" xfId="2" applyNumberFormat="1" applyFont="1" applyFill="1" applyBorder="1" applyAlignment="1" applyProtection="1">
      <alignment vertical="center"/>
    </xf>
    <xf numFmtId="177" fontId="1" fillId="0" borderId="98" xfId="4" applyNumberFormat="1" applyFont="1" applyBorder="1" applyAlignment="1" applyProtection="1">
      <alignment horizontal="center" vertical="center"/>
    </xf>
    <xf numFmtId="165" fontId="1" fillId="1" borderId="67" xfId="2" applyNumberFormat="1" applyFont="1" applyFill="1" applyBorder="1" applyAlignment="1" applyProtection="1">
      <alignment vertical="center"/>
    </xf>
    <xf numFmtId="177" fontId="1" fillId="1" borderId="98" xfId="4" applyNumberFormat="1" applyFont="1" applyFill="1" applyBorder="1" applyAlignment="1" applyProtection="1">
      <alignment horizontal="center" vertical="center"/>
    </xf>
    <xf numFmtId="177" fontId="1" fillId="1" borderId="156" xfId="4" applyNumberFormat="1" applyFont="1" applyFill="1" applyBorder="1" applyAlignment="1" applyProtection="1">
      <alignment vertical="center"/>
    </xf>
    <xf numFmtId="177" fontId="1" fillId="1" borderId="157" xfId="4" applyNumberFormat="1" applyFont="1" applyFill="1" applyBorder="1" applyAlignment="1" applyProtection="1">
      <alignment vertical="center"/>
    </xf>
    <xf numFmtId="177" fontId="1" fillId="1" borderId="159" xfId="4" applyNumberFormat="1" applyFont="1" applyFill="1" applyBorder="1" applyAlignment="1" applyProtection="1">
      <alignment vertical="center"/>
    </xf>
    <xf numFmtId="165" fontId="28" fillId="36" borderId="149" xfId="2" applyNumberFormat="1" applyFont="1" applyFill="1" applyBorder="1" applyAlignment="1" applyProtection="1">
      <alignment vertical="center"/>
    </xf>
    <xf numFmtId="165" fontId="28" fillId="36" borderId="154" xfId="2" applyNumberFormat="1" applyFont="1" applyFill="1" applyBorder="1" applyAlignment="1" applyProtection="1">
      <alignment vertical="center"/>
    </xf>
    <xf numFmtId="165" fontId="28" fillId="36" borderId="183" xfId="2" applyNumberFormat="1" applyFont="1" applyFill="1" applyBorder="1" applyAlignment="1" applyProtection="1">
      <alignment vertical="center"/>
    </xf>
    <xf numFmtId="165" fontId="28" fillId="47" borderId="64" xfId="2" applyNumberFormat="1" applyFont="1" applyFill="1" applyBorder="1" applyAlignment="1" applyProtection="1">
      <alignment vertical="center"/>
    </xf>
    <xf numFmtId="165" fontId="28" fillId="47" borderId="73" xfId="2" applyNumberFormat="1" applyFont="1" applyFill="1" applyBorder="1" applyAlignment="1" applyProtection="1">
      <alignment vertical="center"/>
    </xf>
    <xf numFmtId="165" fontId="28" fillId="47" borderId="75" xfId="2" applyNumberFormat="1" applyFont="1" applyFill="1" applyBorder="1" applyAlignment="1" applyProtection="1">
      <alignment vertical="center"/>
    </xf>
    <xf numFmtId="167" fontId="28" fillId="0" borderId="73" xfId="2" applyNumberFormat="1" applyFont="1" applyFill="1" applyBorder="1" applyAlignment="1" applyProtection="1">
      <alignment horizontal="center" vertical="center"/>
    </xf>
    <xf numFmtId="165" fontId="28" fillId="35" borderId="156" xfId="2" applyNumberFormat="1" applyFont="1" applyFill="1" applyBorder="1" applyAlignment="1" applyProtection="1">
      <alignment vertical="center"/>
    </xf>
    <xf numFmtId="165" fontId="28" fillId="35" borderId="157" xfId="2" applyNumberFormat="1" applyFont="1" applyFill="1" applyBorder="1" applyAlignment="1" applyProtection="1">
      <alignment vertical="center"/>
    </xf>
    <xf numFmtId="165" fontId="28" fillId="35" borderId="158" xfId="2" applyNumberFormat="1" applyFont="1" applyFill="1" applyBorder="1" applyAlignment="1" applyProtection="1">
      <alignment vertical="center"/>
    </xf>
    <xf numFmtId="165" fontId="28" fillId="48" borderId="156" xfId="2" applyNumberFormat="1" applyFont="1" applyFill="1" applyBorder="1" applyAlignment="1" applyProtection="1">
      <alignment vertical="center"/>
    </xf>
    <xf numFmtId="165" fontId="28" fillId="48" borderId="157" xfId="2" applyNumberFormat="1" applyFont="1" applyFill="1" applyBorder="1" applyAlignment="1" applyProtection="1">
      <alignment vertical="center"/>
    </xf>
    <xf numFmtId="165" fontId="28" fillId="48" borderId="159" xfId="2" applyNumberFormat="1" applyFont="1" applyFill="1" applyBorder="1" applyAlignment="1" applyProtection="1">
      <alignment vertical="center"/>
    </xf>
    <xf numFmtId="165" fontId="28" fillId="36" borderId="157" xfId="2" applyNumberFormat="1" applyFont="1" applyFill="1" applyBorder="1" applyAlignment="1" applyProtection="1">
      <alignment vertical="center"/>
    </xf>
    <xf numFmtId="165" fontId="28" fillId="36" borderId="158" xfId="2" applyNumberFormat="1" applyFont="1" applyFill="1" applyBorder="1" applyAlignment="1" applyProtection="1">
      <alignment vertical="center"/>
    </xf>
    <xf numFmtId="165" fontId="28" fillId="47" borderId="157" xfId="2" applyNumberFormat="1" applyFont="1" applyFill="1" applyBorder="1" applyAlignment="1" applyProtection="1">
      <alignment vertical="center"/>
    </xf>
    <xf numFmtId="165" fontId="28" fillId="47" borderId="159" xfId="2" applyNumberFormat="1" applyFont="1" applyFill="1" applyBorder="1" applyAlignment="1" applyProtection="1">
      <alignment vertical="center"/>
    </xf>
    <xf numFmtId="167" fontId="28" fillId="1" borderId="157" xfId="2" applyNumberFormat="1" applyFont="1" applyFill="1" applyBorder="1" applyAlignment="1" applyProtection="1">
      <alignment horizontal="center" vertical="center"/>
    </xf>
    <xf numFmtId="167" fontId="28" fillId="1" borderId="159" xfId="2" applyNumberFormat="1" applyFont="1" applyFill="1" applyBorder="1" applyAlignment="1" applyProtection="1">
      <alignment horizontal="center" vertical="center"/>
    </xf>
    <xf numFmtId="165" fontId="28" fillId="36" borderId="156" xfId="2" applyNumberFormat="1" applyFont="1" applyFill="1" applyBorder="1" applyAlignment="1" applyProtection="1">
      <alignment vertical="center"/>
    </xf>
    <xf numFmtId="165" fontId="28" fillId="36" borderId="168" xfId="2" applyNumberFormat="1" applyFont="1" applyFill="1" applyBorder="1" applyAlignment="1" applyProtection="1">
      <alignment vertical="center"/>
    </xf>
    <xf numFmtId="165" fontId="28" fillId="36" borderId="190" xfId="2" applyNumberFormat="1" applyFont="1" applyFill="1" applyBorder="1" applyAlignment="1" applyProtection="1">
      <alignment vertical="center"/>
    </xf>
    <xf numFmtId="165" fontId="28" fillId="47" borderId="156" xfId="2" applyNumberFormat="1" applyFont="1" applyFill="1" applyBorder="1" applyAlignment="1" applyProtection="1">
      <alignment vertical="center"/>
    </xf>
    <xf numFmtId="167" fontId="28" fillId="0" borderId="157" xfId="2" applyNumberFormat="1" applyFont="1" applyFill="1" applyBorder="1" applyAlignment="1" applyProtection="1">
      <alignment horizontal="center" vertical="center"/>
    </xf>
    <xf numFmtId="165" fontId="28" fillId="46" borderId="156" xfId="2" applyNumberFormat="1" applyFont="1" applyFill="1" applyBorder="1" applyAlignment="1" applyProtection="1">
      <alignment vertical="center"/>
    </xf>
    <xf numFmtId="165" fontId="28" fillId="46" borderId="40" xfId="2" applyNumberFormat="1" applyFont="1" applyFill="1" applyBorder="1" applyAlignment="1" applyProtection="1">
      <alignment vertical="center"/>
    </xf>
    <xf numFmtId="165" fontId="28" fillId="36" borderId="169" xfId="2" applyNumberFormat="1" applyFont="1" applyFill="1" applyBorder="1" applyAlignment="1" applyProtection="1">
      <alignment vertical="center"/>
    </xf>
    <xf numFmtId="165" fontId="28" fillId="36" borderId="196" xfId="2" applyNumberFormat="1" applyFont="1" applyFill="1" applyBorder="1" applyAlignment="1" applyProtection="1">
      <alignment vertical="center"/>
    </xf>
    <xf numFmtId="165" fontId="28" fillId="48" borderId="40" xfId="2" applyNumberFormat="1" applyFont="1" applyFill="1" applyBorder="1" applyAlignment="1" applyProtection="1">
      <alignment vertical="center"/>
    </xf>
    <xf numFmtId="165" fontId="28" fillId="47" borderId="160" xfId="2" applyNumberFormat="1" applyFont="1" applyFill="1" applyBorder="1" applyAlignment="1" applyProtection="1">
      <alignment vertical="center"/>
    </xf>
    <xf numFmtId="165" fontId="28" fillId="47" borderId="17" xfId="2" applyNumberFormat="1" applyFont="1" applyFill="1" applyBorder="1" applyAlignment="1" applyProtection="1">
      <alignment vertical="center"/>
    </xf>
    <xf numFmtId="167" fontId="28" fillId="0" borderId="160" xfId="2" applyNumberFormat="1" applyFont="1" applyFill="1" applyBorder="1" applyAlignment="1" applyProtection="1">
      <alignment horizontal="center" vertical="center"/>
    </xf>
    <xf numFmtId="165" fontId="28" fillId="46" borderId="72" xfId="2" applyNumberFormat="1" applyFont="1" applyFill="1" applyBorder="1" applyAlignment="1" applyProtection="1">
      <alignment vertical="center"/>
    </xf>
    <xf numFmtId="165" fontId="28" fillId="36" borderId="173" xfId="2" applyNumberFormat="1" applyFont="1" applyFill="1" applyBorder="1" applyAlignment="1" applyProtection="1">
      <alignment vertical="center"/>
    </xf>
    <xf numFmtId="165" fontId="28" fillId="36" borderId="76" xfId="2" applyNumberFormat="1" applyFont="1" applyFill="1" applyBorder="1" applyAlignment="1" applyProtection="1">
      <alignment vertical="center"/>
    </xf>
    <xf numFmtId="165" fontId="28" fillId="48" borderId="37" xfId="2" applyNumberFormat="1" applyFont="1" applyFill="1" applyBorder="1" applyAlignment="1" applyProtection="1">
      <alignment vertical="center"/>
    </xf>
    <xf numFmtId="165" fontId="28" fillId="47" borderId="38" xfId="2" applyNumberFormat="1" applyFont="1" applyFill="1" applyBorder="1" applyAlignment="1" applyProtection="1">
      <alignment vertical="center"/>
    </xf>
    <xf numFmtId="165" fontId="28" fillId="47" borderId="39" xfId="2" applyNumberFormat="1" applyFont="1" applyFill="1" applyBorder="1" applyAlignment="1" applyProtection="1">
      <alignment vertical="center"/>
    </xf>
    <xf numFmtId="165" fontId="28" fillId="36" borderId="170" xfId="2" applyNumberFormat="1" applyFont="1" applyFill="1" applyBorder="1" applyAlignment="1" applyProtection="1">
      <alignment vertical="center"/>
    </xf>
    <xf numFmtId="165" fontId="28" fillId="36" borderId="163" xfId="2" applyNumberFormat="1" applyFont="1" applyFill="1" applyBorder="1" applyAlignment="1" applyProtection="1">
      <alignment vertical="center"/>
    </xf>
    <xf numFmtId="165" fontId="28" fillId="47" borderId="72" xfId="2" applyNumberFormat="1" applyFont="1" applyFill="1" applyBorder="1" applyAlignment="1" applyProtection="1">
      <alignment vertical="center"/>
    </xf>
    <xf numFmtId="165" fontId="28" fillId="35" borderId="11" xfId="2" applyNumberFormat="1" applyFont="1" applyFill="1" applyBorder="1" applyAlignment="1" applyProtection="1">
      <alignment vertical="center"/>
    </xf>
    <xf numFmtId="165" fontId="28" fillId="35" borderId="9" xfId="2" applyNumberFormat="1" applyFont="1" applyFill="1" applyBorder="1" applyAlignment="1" applyProtection="1">
      <alignment vertical="center"/>
    </xf>
    <xf numFmtId="165" fontId="28" fillId="35" borderId="10" xfId="2" applyNumberFormat="1" applyFont="1" applyFill="1" applyBorder="1" applyAlignment="1" applyProtection="1">
      <alignment vertical="center"/>
    </xf>
    <xf numFmtId="165" fontId="28" fillId="46" borderId="110" xfId="2" applyNumberFormat="1" applyFont="1" applyFill="1" applyBorder="1" applyAlignment="1" applyProtection="1">
      <alignment vertical="center"/>
    </xf>
    <xf numFmtId="165" fontId="28" fillId="36" borderId="93" xfId="2" applyNumberFormat="1" applyFont="1" applyFill="1" applyBorder="1" applyAlignment="1" applyProtection="1">
      <alignment vertical="center"/>
    </xf>
    <xf numFmtId="165" fontId="28" fillId="49" borderId="98" xfId="2" applyNumberFormat="1" applyFont="1" applyFill="1" applyBorder="1" applyAlignment="1" applyProtection="1">
      <alignment vertical="center"/>
    </xf>
    <xf numFmtId="165" fontId="28" fillId="47" borderId="93" xfId="2" applyNumberFormat="1" applyFont="1" applyFill="1" applyBorder="1" applyAlignment="1" applyProtection="1">
      <alignment vertical="center"/>
    </xf>
    <xf numFmtId="165" fontId="28" fillId="47" borderId="88" xfId="2" applyNumberFormat="1" applyFont="1" applyFill="1" applyBorder="1" applyAlignment="1" applyProtection="1">
      <alignment vertical="center"/>
    </xf>
    <xf numFmtId="167" fontId="28" fillId="1" borderId="160" xfId="2" applyNumberFormat="1" applyFont="1" applyFill="1" applyBorder="1" applyAlignment="1" applyProtection="1">
      <alignment horizontal="center" vertical="center"/>
    </xf>
    <xf numFmtId="167" fontId="28" fillId="1" borderId="17" xfId="2" applyNumberFormat="1" applyFont="1" applyFill="1" applyBorder="1" applyAlignment="1" applyProtection="1">
      <alignment horizontal="center" vertical="center"/>
    </xf>
    <xf numFmtId="165" fontId="28" fillId="36" borderId="72" xfId="2" applyNumberFormat="1" applyFont="1" applyFill="1" applyBorder="1" applyAlignment="1" applyProtection="1">
      <alignment vertical="center"/>
    </xf>
    <xf numFmtId="165" fontId="28" fillId="36" borderId="73" xfId="2" applyNumberFormat="1" applyFont="1" applyFill="1" applyBorder="1" applyAlignment="1" applyProtection="1">
      <alignment vertical="center"/>
    </xf>
    <xf numFmtId="165" fontId="28" fillId="36" borderId="74" xfId="2" applyNumberFormat="1" applyFont="1" applyFill="1" applyBorder="1" applyAlignment="1" applyProtection="1">
      <alignment vertical="center"/>
    </xf>
    <xf numFmtId="167" fontId="28" fillId="0" borderId="161" xfId="2" applyNumberFormat="1" applyFont="1" applyFill="1" applyBorder="1" applyAlignment="1" applyProtection="1">
      <alignment horizontal="center" vertical="center"/>
    </xf>
    <xf numFmtId="165" fontId="28" fillId="49" borderId="156" xfId="2" applyNumberFormat="1" applyFont="1" applyFill="1" applyBorder="1" applyAlignment="1" applyProtection="1">
      <alignment vertical="center"/>
    </xf>
    <xf numFmtId="165" fontId="28" fillId="36" borderId="98" xfId="2" applyNumberFormat="1" applyFont="1" applyFill="1" applyBorder="1" applyAlignment="1" applyProtection="1">
      <alignment vertical="center"/>
    </xf>
    <xf numFmtId="165" fontId="28" fillId="36" borderId="95" xfId="2" applyNumberFormat="1" applyFont="1" applyFill="1" applyBorder="1" applyAlignment="1" applyProtection="1">
      <alignment vertical="center"/>
    </xf>
    <xf numFmtId="165" fontId="28" fillId="47" borderId="98" xfId="2" applyNumberFormat="1" applyFont="1" applyFill="1" applyBorder="1" applyAlignment="1" applyProtection="1">
      <alignment vertical="center"/>
    </xf>
    <xf numFmtId="167" fontId="28" fillId="0" borderId="49" xfId="2" applyNumberFormat="1" applyFont="1" applyFill="1" applyBorder="1" applyAlignment="1" applyProtection="1">
      <alignment horizontal="center" vertical="center"/>
    </xf>
    <xf numFmtId="165" fontId="28" fillId="49" borderId="72" xfId="2" applyNumberFormat="1" applyFont="1" applyFill="1" applyBorder="1" applyAlignment="1" applyProtection="1">
      <alignment vertical="center"/>
    </xf>
    <xf numFmtId="165" fontId="28" fillId="46" borderId="98" xfId="2" applyNumberFormat="1" applyFont="1" applyFill="1" applyBorder="1" applyAlignment="1" applyProtection="1">
      <alignment vertical="center"/>
    </xf>
    <xf numFmtId="167" fontId="28" fillId="0" borderId="42" xfId="2" applyNumberFormat="1" applyFont="1" applyFill="1" applyBorder="1" applyAlignment="1" applyProtection="1">
      <alignment horizontal="center" vertical="center"/>
    </xf>
    <xf numFmtId="166" fontId="28" fillId="1" borderId="157" xfId="2" applyNumberFormat="1" applyFont="1" applyFill="1" applyBorder="1" applyAlignment="1" applyProtection="1">
      <alignment vertical="center"/>
    </xf>
    <xf numFmtId="166" fontId="28" fillId="1" borderId="159" xfId="2" applyNumberFormat="1" applyFont="1" applyFill="1" applyBorder="1" applyAlignment="1" applyProtection="1">
      <alignment vertical="center"/>
    </xf>
    <xf numFmtId="166" fontId="28" fillId="1" borderId="93" xfId="2" applyNumberFormat="1" applyFont="1" applyFill="1" applyBorder="1" applyAlignment="1" applyProtection="1">
      <alignment vertical="center"/>
    </xf>
    <xf numFmtId="166" fontId="28" fillId="1" borderId="88" xfId="2" applyNumberFormat="1" applyFont="1" applyFill="1" applyBorder="1" applyAlignment="1" applyProtection="1">
      <alignment vertical="center"/>
    </xf>
    <xf numFmtId="165" fontId="28" fillId="36" borderId="160" xfId="2" applyNumberFormat="1" applyFont="1" applyFill="1" applyBorder="1" applyAlignment="1" applyProtection="1">
      <alignment vertical="center"/>
    </xf>
    <xf numFmtId="165" fontId="28" fillId="36" borderId="175" xfId="2" applyNumberFormat="1" applyFont="1" applyFill="1" applyBorder="1" applyAlignment="1" applyProtection="1">
      <alignment vertical="center"/>
    </xf>
    <xf numFmtId="165" fontId="28" fillId="49" borderId="40" xfId="2" applyNumberFormat="1" applyFont="1" applyFill="1" applyBorder="1" applyAlignment="1" applyProtection="1">
      <alignment vertical="center"/>
    </xf>
    <xf numFmtId="166" fontId="28" fillId="1" borderId="160" xfId="2" applyNumberFormat="1" applyFont="1" applyFill="1" applyBorder="1" applyAlignment="1" applyProtection="1">
      <alignment vertical="center"/>
    </xf>
    <xf numFmtId="166" fontId="28" fillId="1" borderId="17" xfId="2" applyNumberFormat="1" applyFont="1" applyFill="1" applyBorder="1" applyAlignment="1" applyProtection="1">
      <alignment vertical="center"/>
    </xf>
    <xf numFmtId="0" fontId="0" fillId="6" borderId="215" xfId="0" applyFill="1" applyBorder="1" applyAlignment="1" applyProtection="1">
      <alignment horizontal="left" vertical="center"/>
      <protection locked="0"/>
    </xf>
    <xf numFmtId="0" fontId="0" fillId="6" borderId="218" xfId="0" applyFill="1" applyBorder="1" applyAlignment="1" applyProtection="1">
      <alignment horizontal="left" vertical="center"/>
      <protection locked="0"/>
    </xf>
    <xf numFmtId="0" fontId="0" fillId="58" borderId="218" xfId="0" applyFill="1" applyBorder="1" applyAlignment="1" applyProtection="1">
      <alignment horizontal="left" vertical="center"/>
      <protection locked="0"/>
    </xf>
    <xf numFmtId="165" fontId="29" fillId="58" borderId="215" xfId="2" applyNumberFormat="1" applyFont="1" applyFill="1" applyBorder="1" applyAlignment="1" applyProtection="1">
      <alignment vertical="center"/>
      <protection locked="0"/>
    </xf>
    <xf numFmtId="165" fontId="6" fillId="18" borderId="159" xfId="2" applyNumberFormat="1" applyFont="1" applyFill="1" applyBorder="1" applyAlignment="1" applyProtection="1">
      <alignment vertical="center"/>
      <protection locked="0"/>
    </xf>
    <xf numFmtId="0" fontId="0" fillId="14" borderId="215" xfId="0" applyFill="1" applyBorder="1" applyAlignment="1">
      <alignment horizontal="left"/>
    </xf>
    <xf numFmtId="174" fontId="0" fillId="58" borderId="215" xfId="2" applyNumberFormat="1" applyFont="1" applyFill="1" applyBorder="1" applyAlignment="1" applyProtection="1">
      <protection locked="0"/>
    </xf>
    <xf numFmtId="0" fontId="0" fillId="14" borderId="215" xfId="0" applyFill="1" applyBorder="1" applyAlignment="1">
      <alignment horizontal="center"/>
    </xf>
    <xf numFmtId="174" fontId="1" fillId="0" borderId="215" xfId="2" applyNumberFormat="1" applyBorder="1"/>
    <xf numFmtId="0" fontId="9" fillId="51" borderId="188" xfId="0" applyFont="1" applyFill="1" applyBorder="1" applyAlignment="1">
      <alignment horizontal="center" vertical="center"/>
    </xf>
    <xf numFmtId="0" fontId="0" fillId="18" borderId="215" xfId="0" applyFill="1" applyBorder="1" applyAlignment="1" applyProtection="1">
      <alignment horizontal="left" vertical="center"/>
      <protection locked="0"/>
    </xf>
    <xf numFmtId="0" fontId="0" fillId="6" borderId="208" xfId="0" applyFill="1" applyBorder="1" applyAlignment="1" applyProtection="1">
      <alignment horizontal="left" vertical="center"/>
      <protection locked="0"/>
    </xf>
    <xf numFmtId="166" fontId="0" fillId="6" borderId="215" xfId="2" applyNumberFormat="1" applyFont="1" applyFill="1" applyBorder="1" applyAlignment="1" applyProtection="1">
      <alignment vertical="center"/>
      <protection locked="0"/>
    </xf>
    <xf numFmtId="165" fontId="6" fillId="6" borderId="215" xfId="2" applyNumberFormat="1" applyFont="1" applyFill="1" applyBorder="1" applyAlignment="1" applyProtection="1">
      <alignment vertical="center"/>
      <protection locked="0"/>
    </xf>
    <xf numFmtId="165" fontId="6" fillId="6" borderId="159" xfId="2" applyNumberFormat="1" applyFont="1" applyFill="1" applyBorder="1" applyAlignment="1" applyProtection="1">
      <alignment vertical="center"/>
      <protection locked="0"/>
    </xf>
    <xf numFmtId="0" fontId="0" fillId="6" borderId="211" xfId="0" applyFill="1" applyBorder="1" applyAlignment="1" applyProtection="1">
      <alignment horizontal="left" vertical="center"/>
      <protection locked="0"/>
    </xf>
    <xf numFmtId="165" fontId="6" fillId="6" borderId="208" xfId="2" applyNumberFormat="1" applyFont="1" applyFill="1" applyBorder="1" applyAlignment="1" applyProtection="1">
      <alignment vertical="center"/>
      <protection locked="0"/>
    </xf>
    <xf numFmtId="165" fontId="6" fillId="6" borderId="182" xfId="2" applyNumberFormat="1" applyFont="1" applyFill="1" applyBorder="1" applyAlignment="1" applyProtection="1">
      <alignment vertical="center"/>
      <protection locked="0"/>
    </xf>
    <xf numFmtId="0" fontId="0" fillId="41" borderId="0" xfId="0" applyFill="1" applyAlignment="1">
      <alignment horizontal="center"/>
    </xf>
    <xf numFmtId="0" fontId="28" fillId="6" borderId="9" xfId="0" applyFont="1" applyFill="1" applyBorder="1" applyAlignment="1" applyProtection="1">
      <alignment horizontal="center" vertical="center"/>
      <protection locked="0"/>
    </xf>
    <xf numFmtId="0" fontId="28" fillId="6" borderId="14" xfId="0" applyFont="1" applyFill="1" applyBorder="1" applyAlignment="1" applyProtection="1">
      <alignment horizontal="center" vertical="center"/>
      <protection locked="0"/>
    </xf>
    <xf numFmtId="0" fontId="28" fillId="6" borderId="215" xfId="0" applyFont="1" applyFill="1" applyBorder="1" applyAlignment="1" applyProtection="1">
      <alignment horizontal="center" vertical="center"/>
      <protection locked="0"/>
    </xf>
    <xf numFmtId="0" fontId="28" fillId="6" borderId="208" xfId="0" applyFont="1" applyFill="1" applyBorder="1" applyAlignment="1" applyProtection="1">
      <alignment horizontal="center" vertical="center"/>
      <protection locked="0"/>
    </xf>
    <xf numFmtId="0" fontId="28" fillId="6" borderId="150" xfId="0" applyFont="1" applyFill="1" applyBorder="1" applyAlignment="1" applyProtection="1">
      <alignment horizontal="center" vertical="center"/>
      <protection locked="0"/>
    </xf>
    <xf numFmtId="0" fontId="28" fillId="6" borderId="157" xfId="0" applyFont="1" applyFill="1" applyBorder="1" applyAlignment="1" applyProtection="1">
      <alignment horizontal="center" vertical="center"/>
      <protection locked="0"/>
    </xf>
    <xf numFmtId="0" fontId="28" fillId="6" borderId="157" xfId="0" applyFont="1" applyFill="1" applyBorder="1" applyAlignment="1">
      <alignment horizontal="center"/>
    </xf>
    <xf numFmtId="0" fontId="28" fillId="6" borderId="160" xfId="0" applyFont="1" applyFill="1" applyBorder="1" applyAlignment="1" applyProtection="1">
      <alignment horizontal="center" vertical="center"/>
      <protection locked="0"/>
    </xf>
    <xf numFmtId="0" fontId="28" fillId="6" borderId="93" xfId="0" applyFont="1" applyFill="1" applyBorder="1" applyAlignment="1" applyProtection="1">
      <alignment horizontal="center" vertical="center"/>
      <protection locked="0"/>
    </xf>
    <xf numFmtId="166" fontId="28" fillId="6" borderId="38" xfId="2" applyNumberFormat="1" applyFont="1" applyFill="1" applyBorder="1" applyAlignment="1" applyProtection="1">
      <alignment vertical="center"/>
      <protection locked="0"/>
    </xf>
    <xf numFmtId="166" fontId="28" fillId="6" borderId="9" xfId="2" applyNumberFormat="1" applyFont="1" applyFill="1" applyBorder="1" applyAlignment="1" applyProtection="1">
      <alignment vertical="center"/>
      <protection locked="0"/>
    </xf>
    <xf numFmtId="166" fontId="28" fillId="36" borderId="187" xfId="2" applyNumberFormat="1" applyFont="1" applyFill="1" applyBorder="1" applyAlignment="1" applyProtection="1">
      <alignment vertical="center"/>
    </xf>
    <xf numFmtId="166" fontId="28" fillId="36" borderId="199" xfId="2" applyNumberFormat="1" applyFont="1" applyFill="1" applyBorder="1" applyAlignment="1" applyProtection="1">
      <alignment vertical="center"/>
    </xf>
    <xf numFmtId="0" fontId="5" fillId="19" borderId="135" xfId="0" applyFont="1" applyFill="1" applyBorder="1" applyAlignment="1">
      <alignment horizontal="left" vertical="center"/>
    </xf>
    <xf numFmtId="165" fontId="6" fillId="19" borderId="9" xfId="2" applyNumberFormat="1" applyFont="1" applyFill="1" applyBorder="1" applyAlignment="1" applyProtection="1">
      <alignment vertical="center"/>
    </xf>
    <xf numFmtId="165" fontId="6" fillId="63" borderId="9" xfId="2" applyNumberFormat="1" applyFont="1" applyFill="1" applyBorder="1" applyAlignment="1" applyProtection="1">
      <alignment vertical="center"/>
    </xf>
    <xf numFmtId="165" fontId="5" fillId="19" borderId="9" xfId="2" applyNumberFormat="1" applyFont="1" applyFill="1" applyBorder="1" applyAlignment="1" applyProtection="1">
      <alignment vertical="center"/>
    </xf>
    <xf numFmtId="166" fontId="28" fillId="6" borderId="73" xfId="2" applyNumberFormat="1" applyFont="1" applyFill="1" applyBorder="1" applyAlignment="1" applyProtection="1">
      <alignment vertical="center"/>
      <protection locked="0"/>
    </xf>
    <xf numFmtId="166" fontId="28" fillId="6" borderId="153" xfId="2" applyNumberFormat="1" applyFont="1" applyFill="1" applyBorder="1" applyAlignment="1" applyProtection="1">
      <alignment vertical="center"/>
      <protection locked="0"/>
    </xf>
    <xf numFmtId="166" fontId="28" fillId="6" borderId="10" xfId="2" applyNumberFormat="1" applyFont="1" applyFill="1" applyBorder="1" applyAlignment="1" applyProtection="1">
      <alignment vertical="center"/>
      <protection locked="0"/>
    </xf>
    <xf numFmtId="166" fontId="28" fillId="6" borderId="46" xfId="2" applyNumberFormat="1" applyFont="1" applyFill="1" applyBorder="1" applyAlignment="1" applyProtection="1">
      <alignment vertical="center"/>
      <protection locked="0"/>
    </xf>
    <xf numFmtId="166" fontId="0" fillId="6" borderId="159" xfId="2" applyNumberFormat="1" applyFont="1" applyFill="1" applyBorder="1" applyAlignment="1" applyProtection="1">
      <alignment vertical="center"/>
      <protection locked="0"/>
    </xf>
    <xf numFmtId="0" fontId="0" fillId="6" borderId="228" xfId="0" applyFill="1" applyBorder="1" applyAlignment="1" applyProtection="1">
      <alignment horizontal="left" vertical="center"/>
      <protection locked="0"/>
    </xf>
    <xf numFmtId="166" fontId="28" fillId="6" borderId="29" xfId="2" applyNumberFormat="1" applyFont="1" applyFill="1" applyBorder="1" applyAlignment="1" applyProtection="1">
      <alignment vertical="center"/>
      <protection locked="0"/>
    </xf>
    <xf numFmtId="166" fontId="28" fillId="6" borderId="31" xfId="2" applyNumberFormat="1" applyFont="1" applyFill="1" applyBorder="1" applyAlignment="1" applyProtection="1">
      <alignment vertical="center"/>
      <protection locked="0"/>
    </xf>
    <xf numFmtId="166" fontId="28" fillId="6" borderId="215" xfId="2" applyNumberFormat="1" applyFont="1" applyFill="1" applyBorder="1" applyAlignment="1" applyProtection="1">
      <alignment vertical="center"/>
      <protection locked="0"/>
    </xf>
    <xf numFmtId="166" fontId="28" fillId="6" borderId="159" xfId="2" applyNumberFormat="1" applyFont="1" applyFill="1" applyBorder="1" applyAlignment="1" applyProtection="1">
      <alignment vertical="center"/>
      <protection locked="0"/>
    </xf>
    <xf numFmtId="166" fontId="0" fillId="6" borderId="73" xfId="2" applyNumberFormat="1" applyFont="1" applyFill="1" applyBorder="1" applyAlignment="1" applyProtection="1">
      <alignment vertical="center"/>
      <protection locked="0"/>
    </xf>
    <xf numFmtId="174" fontId="28" fillId="58" borderId="150" xfId="2" applyNumberFormat="1" applyFont="1" applyFill="1" applyBorder="1" applyAlignment="1" applyProtection="1">
      <alignment vertical="center"/>
      <protection locked="0"/>
    </xf>
    <xf numFmtId="0" fontId="28" fillId="6" borderId="188" xfId="0" applyFont="1" applyFill="1" applyBorder="1" applyAlignment="1" applyProtection="1">
      <alignment horizontal="center" vertical="center"/>
      <protection locked="0"/>
    </xf>
    <xf numFmtId="166" fontId="28" fillId="6" borderId="188" xfId="2" applyNumberFormat="1" applyFont="1" applyFill="1" applyBorder="1" applyAlignment="1" applyProtection="1">
      <alignment vertical="center"/>
      <protection locked="0"/>
    </xf>
    <xf numFmtId="174" fontId="28" fillId="58" borderId="157" xfId="2" applyNumberFormat="1" applyFont="1" applyFill="1" applyBorder="1" applyAlignment="1" applyProtection="1">
      <alignment vertical="center"/>
      <protection locked="0"/>
    </xf>
    <xf numFmtId="166" fontId="28" fillId="36" borderId="8" xfId="2" applyNumberFormat="1" applyFont="1" applyFill="1" applyBorder="1" applyAlignment="1" applyProtection="1">
      <alignment vertical="center"/>
    </xf>
    <xf numFmtId="166" fontId="28" fillId="36" borderId="217" xfId="2" applyNumberFormat="1" applyFont="1" applyFill="1" applyBorder="1" applyAlignment="1" applyProtection="1">
      <alignment vertical="center"/>
    </xf>
    <xf numFmtId="0" fontId="31" fillId="58" borderId="215" xfId="0" applyFont="1" applyFill="1" applyBorder="1" applyAlignment="1" applyProtection="1">
      <alignment horizontal="left" vertical="center"/>
      <protection locked="0"/>
    </xf>
    <xf numFmtId="0" fontId="0" fillId="6" borderId="215" xfId="0" applyFill="1" applyBorder="1"/>
    <xf numFmtId="0" fontId="28" fillId="6" borderId="215" xfId="0" applyFont="1" applyFill="1" applyBorder="1" applyAlignment="1">
      <alignment horizontal="center"/>
    </xf>
    <xf numFmtId="0" fontId="0" fillId="58" borderId="28" xfId="0" applyFill="1" applyBorder="1" applyAlignment="1" applyProtection="1">
      <alignment horizontal="left" vertical="center"/>
      <protection locked="0"/>
    </xf>
    <xf numFmtId="0" fontId="31" fillId="58" borderId="156" xfId="0" applyFont="1" applyFill="1" applyBorder="1" applyAlignment="1" applyProtection="1">
      <alignment horizontal="left" vertical="center"/>
      <protection locked="0"/>
    </xf>
    <xf numFmtId="0" fontId="0" fillId="58" borderId="156" xfId="0" applyFill="1" applyBorder="1" applyAlignment="1" applyProtection="1">
      <alignment horizontal="left" vertical="center"/>
      <protection locked="0"/>
    </xf>
    <xf numFmtId="0" fontId="28" fillId="6" borderId="29" xfId="0" applyFont="1" applyFill="1" applyBorder="1" applyAlignment="1" applyProtection="1">
      <alignment horizontal="center" vertical="center"/>
      <protection locked="0"/>
    </xf>
    <xf numFmtId="174" fontId="28" fillId="58" borderId="29" xfId="2" applyNumberFormat="1" applyFont="1" applyFill="1" applyBorder="1" applyAlignment="1" applyProtection="1">
      <alignment vertical="center"/>
      <protection locked="0"/>
    </xf>
    <xf numFmtId="166" fontId="28" fillId="36" borderId="229" xfId="2" applyNumberFormat="1" applyFont="1" applyFill="1" applyBorder="1" applyAlignment="1" applyProtection="1">
      <alignment vertical="center"/>
    </xf>
    <xf numFmtId="179" fontId="0" fillId="14" borderId="227" xfId="0" applyNumberFormat="1" applyFill="1" applyBorder="1"/>
    <xf numFmtId="179" fontId="0" fillId="14" borderId="190" xfId="0" applyNumberFormat="1" applyFill="1" applyBorder="1"/>
    <xf numFmtId="179" fontId="0" fillId="14" borderId="128" xfId="0" applyNumberFormat="1" applyFill="1" applyBorder="1"/>
    <xf numFmtId="166" fontId="28" fillId="36" borderId="103" xfId="2" applyNumberFormat="1" applyFont="1" applyFill="1" applyBorder="1" applyAlignment="1" applyProtection="1">
      <alignment vertical="center"/>
    </xf>
    <xf numFmtId="165" fontId="6" fillId="19" borderId="10" xfId="2" applyNumberFormat="1" applyFont="1" applyFill="1" applyBorder="1" applyAlignment="1" applyProtection="1">
      <alignment vertical="center"/>
    </xf>
    <xf numFmtId="165" fontId="5" fillId="53" borderId="0" xfId="2" applyNumberFormat="1" applyFont="1" applyFill="1" applyBorder="1" applyAlignment="1" applyProtection="1">
      <alignment horizontal="right" vertical="center"/>
    </xf>
    <xf numFmtId="165" fontId="5" fillId="2" borderId="92" xfId="2" applyNumberFormat="1" applyFont="1" applyFill="1" applyBorder="1" applyAlignment="1" applyProtection="1">
      <alignment vertical="center"/>
    </xf>
    <xf numFmtId="9" fontId="5" fillId="0" borderId="58" xfId="4" applyFont="1" applyBorder="1" applyAlignment="1">
      <alignment horizontal="center" vertical="center"/>
    </xf>
    <xf numFmtId="165" fontId="5" fillId="53" borderId="77" xfId="2" applyNumberFormat="1" applyFont="1" applyFill="1" applyBorder="1" applyAlignment="1" applyProtection="1">
      <alignment horizontal="center" vertical="center"/>
    </xf>
    <xf numFmtId="173" fontId="2" fillId="41" borderId="215" xfId="0" applyNumberFormat="1" applyFont="1" applyFill="1" applyBorder="1" applyAlignment="1">
      <alignment horizontal="center"/>
    </xf>
    <xf numFmtId="166" fontId="0" fillId="41" borderId="0" xfId="0" applyNumberFormat="1" applyFill="1"/>
    <xf numFmtId="0" fontId="0" fillId="6" borderId="215" xfId="0" applyFill="1" applyBorder="1" applyAlignment="1" applyProtection="1">
      <alignment vertical="center"/>
      <protection locked="0"/>
    </xf>
    <xf numFmtId="0" fontId="0" fillId="6" borderId="28" xfId="0" applyFill="1" applyBorder="1" applyAlignment="1" applyProtection="1">
      <alignment vertical="center"/>
      <protection locked="0"/>
    </xf>
    <xf numFmtId="0" fontId="0" fillId="6" borderId="40" xfId="0" applyFill="1" applyBorder="1" applyAlignment="1" applyProtection="1">
      <alignment vertical="center"/>
      <protection locked="0"/>
    </xf>
    <xf numFmtId="178" fontId="1" fillId="47" borderId="153" xfId="4" applyNumberFormat="1" applyFill="1" applyBorder="1" applyAlignment="1" applyProtection="1">
      <alignment horizontal="center" vertical="center"/>
    </xf>
    <xf numFmtId="178" fontId="1" fillId="47" borderId="216" xfId="4" applyNumberFormat="1" applyFill="1" applyBorder="1" applyAlignment="1" applyProtection="1">
      <alignment horizontal="center" vertical="center"/>
    </xf>
    <xf numFmtId="178" fontId="1" fillId="48" borderId="216" xfId="4" applyNumberFormat="1" applyFill="1" applyBorder="1" applyAlignment="1" applyProtection="1">
      <alignment horizontal="center" vertical="center"/>
    </xf>
    <xf numFmtId="165" fontId="6" fillId="6" borderId="230" xfId="2" applyNumberFormat="1" applyFont="1" applyFill="1" applyBorder="1" applyAlignment="1" applyProtection="1">
      <alignment vertical="center"/>
      <protection locked="0"/>
    </xf>
    <xf numFmtId="0" fontId="0" fillId="6" borderId="230" xfId="0" applyFill="1" applyBorder="1" applyAlignment="1" applyProtection="1">
      <alignment horizontal="left" vertical="center"/>
      <protection locked="0"/>
    </xf>
    <xf numFmtId="165" fontId="6" fillId="6" borderId="231" xfId="2" applyNumberFormat="1" applyFont="1" applyFill="1" applyBorder="1" applyAlignment="1" applyProtection="1">
      <alignment vertical="center"/>
      <protection locked="0"/>
    </xf>
    <xf numFmtId="0" fontId="0" fillId="58" borderId="226" xfId="0" applyFill="1" applyBorder="1" applyAlignment="1" applyProtection="1">
      <alignment horizontal="left" vertical="center"/>
      <protection locked="0"/>
    </xf>
    <xf numFmtId="165" fontId="29" fillId="58" borderId="228" xfId="2" applyNumberFormat="1" applyFont="1" applyFill="1" applyBorder="1" applyAlignment="1" applyProtection="1">
      <alignment vertical="center"/>
      <protection locked="0"/>
    </xf>
    <xf numFmtId="165" fontId="6" fillId="18" borderId="215" xfId="2" applyNumberFormat="1" applyFont="1" applyFill="1" applyBorder="1" applyAlignment="1" applyProtection="1">
      <alignment vertical="center"/>
      <protection locked="0"/>
    </xf>
    <xf numFmtId="165" fontId="29" fillId="58" borderId="73" xfId="2" applyNumberFormat="1" applyFont="1" applyFill="1" applyBorder="1" applyAlignment="1" applyProtection="1">
      <alignment vertical="center"/>
      <protection locked="0"/>
    </xf>
    <xf numFmtId="0" fontId="0" fillId="6" borderId="156" xfId="0" applyFill="1" applyBorder="1" applyAlignment="1" applyProtection="1">
      <alignment vertical="center"/>
      <protection locked="0"/>
    </xf>
    <xf numFmtId="165" fontId="6" fillId="18" borderId="160" xfId="2" applyNumberFormat="1" applyFont="1" applyFill="1" applyBorder="1" applyAlignment="1" applyProtection="1">
      <alignment vertical="center"/>
      <protection locked="0"/>
    </xf>
    <xf numFmtId="165" fontId="5" fillId="6" borderId="8" xfId="0" applyNumberFormat="1" applyFont="1" applyFill="1" applyBorder="1" applyAlignment="1">
      <alignment vertical="center"/>
    </xf>
    <xf numFmtId="165" fontId="5" fillId="0" borderId="216" xfId="2" applyNumberFormat="1" applyFont="1" applyFill="1" applyBorder="1" applyAlignment="1" applyProtection="1">
      <alignment vertical="center"/>
    </xf>
    <xf numFmtId="165" fontId="5" fillId="2" borderId="127" xfId="2" applyNumberFormat="1" applyFont="1" applyFill="1" applyBorder="1" applyAlignment="1" applyProtection="1">
      <alignment vertical="center"/>
    </xf>
    <xf numFmtId="9" fontId="1" fillId="0" borderId="179" xfId="4" applyBorder="1" applyAlignment="1" applyProtection="1">
      <alignment horizontal="center"/>
    </xf>
    <xf numFmtId="9" fontId="5" fillId="7" borderId="170" xfId="4" applyFont="1" applyFill="1" applyBorder="1" applyAlignment="1" applyProtection="1">
      <alignment horizontal="center" vertical="center"/>
    </xf>
    <xf numFmtId="0" fontId="5" fillId="6" borderId="195" xfId="0" applyFont="1" applyFill="1" applyBorder="1" applyAlignment="1">
      <alignment horizontal="center" vertical="center"/>
    </xf>
    <xf numFmtId="9" fontId="5" fillId="0" borderId="56" xfId="4" applyFont="1" applyBorder="1" applyAlignment="1">
      <alignment horizontal="center" vertical="center"/>
    </xf>
    <xf numFmtId="165" fontId="5" fillId="6" borderId="217" xfId="0" applyNumberFormat="1" applyFont="1" applyFill="1" applyBorder="1" applyAlignment="1">
      <alignment vertical="center"/>
    </xf>
    <xf numFmtId="165" fontId="5" fillId="6" borderId="18" xfId="0" applyNumberFormat="1" applyFont="1" applyFill="1" applyBorder="1" applyAlignment="1">
      <alignment vertical="center"/>
    </xf>
    <xf numFmtId="0" fontId="0" fillId="6" borderId="232" xfId="0" applyFill="1" applyBorder="1" applyAlignment="1" applyProtection="1">
      <alignment horizontal="left" vertical="center"/>
      <protection locked="0"/>
    </xf>
    <xf numFmtId="166" fontId="6" fillId="24" borderId="160" xfId="2" applyNumberFormat="1" applyFont="1" applyFill="1" applyBorder="1" applyAlignment="1" applyProtection="1">
      <alignment vertical="center"/>
    </xf>
    <xf numFmtId="166" fontId="6" fillId="24" borderId="17" xfId="2" applyNumberFormat="1" applyFont="1" applyFill="1" applyBorder="1" applyAlignment="1" applyProtection="1">
      <alignment vertical="center"/>
    </xf>
    <xf numFmtId="166" fontId="6" fillId="67" borderId="40" xfId="2" applyNumberFormat="1" applyFont="1" applyFill="1" applyBorder="1" applyAlignment="1" applyProtection="1">
      <alignment vertical="center"/>
    </xf>
    <xf numFmtId="0" fontId="31" fillId="6" borderId="9" xfId="0" applyFont="1" applyFill="1" applyBorder="1" applyAlignment="1" applyProtection="1">
      <alignment horizontal="left" vertical="center"/>
      <protection locked="0"/>
    </xf>
    <xf numFmtId="0" fontId="28" fillId="6" borderId="91" xfId="0" applyFont="1" applyFill="1" applyBorder="1" applyAlignment="1" applyProtection="1">
      <alignment horizontal="left" vertical="center"/>
      <protection locked="0"/>
    </xf>
    <xf numFmtId="0" fontId="28" fillId="6" borderId="157" xfId="0" applyFont="1" applyFill="1" applyBorder="1" applyAlignment="1" applyProtection="1">
      <alignment horizontal="left" vertical="center"/>
      <protection locked="0"/>
    </xf>
    <xf numFmtId="166" fontId="28" fillId="6" borderId="65" xfId="2" applyNumberFormat="1" applyFont="1" applyFill="1" applyBorder="1" applyAlignment="1" applyProtection="1">
      <alignment vertical="center"/>
      <protection locked="0"/>
    </xf>
    <xf numFmtId="166" fontId="28" fillId="6" borderId="66" xfId="2" applyNumberFormat="1" applyFont="1" applyFill="1" applyBorder="1" applyAlignment="1" applyProtection="1">
      <alignment vertical="center"/>
      <protection locked="0"/>
    </xf>
    <xf numFmtId="0" fontId="0" fillId="6" borderId="67" xfId="0" applyFill="1" applyBorder="1" applyAlignment="1" applyProtection="1">
      <alignment horizontal="left" vertical="center"/>
      <protection locked="0"/>
    </xf>
    <xf numFmtId="0" fontId="0" fillId="6" borderId="73" xfId="0" applyFill="1" applyBorder="1" applyAlignment="1" applyProtection="1">
      <alignment horizontal="center" vertical="center"/>
      <protection locked="0"/>
    </xf>
    <xf numFmtId="173" fontId="0" fillId="36" borderId="8" xfId="0" applyNumberFormat="1" applyFill="1" applyBorder="1" applyAlignment="1">
      <alignment horizontal="right" vertical="center"/>
    </xf>
    <xf numFmtId="0" fontId="0" fillId="18" borderId="9" xfId="0" applyFill="1" applyBorder="1" applyAlignment="1" applyProtection="1">
      <alignment horizontal="left" vertical="center"/>
      <protection locked="0"/>
    </xf>
    <xf numFmtId="0" fontId="0" fillId="6" borderId="9" xfId="0" applyFill="1" applyBorder="1" applyAlignment="1" applyProtection="1">
      <alignment horizontal="center" vertical="center"/>
      <protection locked="0"/>
    </xf>
    <xf numFmtId="173" fontId="0" fillId="36" borderId="217" xfId="0" applyNumberFormat="1" applyFill="1" applyBorder="1" applyAlignment="1">
      <alignment horizontal="right" vertical="center"/>
    </xf>
    <xf numFmtId="0" fontId="0" fillId="6" borderId="14" xfId="0" applyFill="1" applyBorder="1" applyAlignment="1" applyProtection="1">
      <alignment horizontal="center" vertical="center"/>
      <protection locked="0"/>
    </xf>
    <xf numFmtId="173" fontId="0" fillId="36" borderId="18" xfId="0" applyNumberFormat="1" applyFill="1" applyBorder="1" applyAlignment="1">
      <alignment horizontal="right" vertical="center"/>
    </xf>
    <xf numFmtId="173" fontId="0" fillId="36" borderId="207" xfId="0" applyNumberFormat="1" applyFill="1" applyBorder="1" applyAlignment="1">
      <alignment horizontal="right" vertical="center"/>
    </xf>
    <xf numFmtId="0" fontId="0" fillId="6" borderId="47" xfId="0" applyFill="1" applyBorder="1" applyAlignment="1" applyProtection="1">
      <alignment horizontal="left" vertical="center"/>
      <protection locked="0"/>
    </xf>
    <xf numFmtId="0" fontId="0" fillId="6" borderId="38" xfId="0" applyFill="1" applyBorder="1" applyAlignment="1" applyProtection="1">
      <alignment horizontal="center" vertical="center"/>
      <protection locked="0"/>
    </xf>
    <xf numFmtId="173" fontId="0" fillId="36" borderId="44" xfId="0" applyNumberFormat="1" applyFill="1" applyBorder="1" applyAlignment="1">
      <alignment horizontal="right" vertical="center"/>
    </xf>
    <xf numFmtId="0" fontId="0" fillId="6" borderId="91" xfId="0" applyFill="1" applyBorder="1" applyAlignment="1" applyProtection="1">
      <alignment horizontal="left" vertical="center"/>
      <protection locked="0"/>
    </xf>
    <xf numFmtId="0" fontId="0" fillId="6" borderId="157" xfId="0" applyFill="1" applyBorder="1" applyAlignment="1" applyProtection="1">
      <alignment horizontal="left" vertical="center"/>
      <protection locked="0"/>
    </xf>
    <xf numFmtId="0" fontId="0" fillId="6" borderId="157" xfId="0" applyFill="1" applyBorder="1" applyAlignment="1" applyProtection="1">
      <alignment horizontal="center" vertical="center"/>
      <protection locked="0"/>
    </xf>
    <xf numFmtId="0" fontId="0" fillId="6" borderId="35" xfId="0" applyFill="1" applyBorder="1" applyAlignment="1" applyProtection="1">
      <alignment horizontal="left" vertical="center"/>
      <protection locked="0"/>
    </xf>
    <xf numFmtId="0" fontId="0" fillId="6" borderId="35" xfId="0" applyFill="1" applyBorder="1" applyAlignment="1" applyProtection="1">
      <alignment horizontal="center" vertical="center"/>
      <protection locked="0"/>
    </xf>
    <xf numFmtId="0" fontId="0" fillId="6" borderId="64" xfId="0" applyFill="1" applyBorder="1" applyAlignment="1" applyProtection="1">
      <alignment horizontal="left" vertical="center"/>
      <protection locked="0"/>
    </xf>
    <xf numFmtId="0" fontId="0" fillId="6" borderId="65" xfId="0" applyFill="1" applyBorder="1" applyAlignment="1" applyProtection="1">
      <alignment horizontal="left" vertical="center"/>
      <protection locked="0"/>
    </xf>
    <xf numFmtId="0" fontId="0" fillId="6" borderId="65" xfId="0" applyFill="1" applyBorder="1" applyAlignment="1" applyProtection="1">
      <alignment horizontal="center" vertical="center"/>
      <protection locked="0"/>
    </xf>
    <xf numFmtId="0" fontId="0" fillId="18" borderId="156" xfId="0" applyFill="1" applyBorder="1" applyAlignment="1" applyProtection="1">
      <alignment horizontal="left" vertical="center"/>
      <protection locked="0"/>
    </xf>
    <xf numFmtId="0" fontId="0" fillId="6" borderId="215" xfId="0" applyFill="1" applyBorder="1" applyAlignment="1" applyProtection="1">
      <alignment horizontal="center" vertical="center"/>
      <protection locked="0"/>
    </xf>
    <xf numFmtId="0" fontId="0" fillId="6" borderId="160" xfId="0" applyFill="1" applyBorder="1" applyAlignment="1" applyProtection="1">
      <alignment horizontal="center" vertical="center"/>
      <protection locked="0"/>
    </xf>
    <xf numFmtId="0" fontId="0" fillId="6" borderId="28" xfId="0" applyFill="1" applyBorder="1" applyAlignment="1" applyProtection="1">
      <alignment horizontal="left" vertical="center"/>
      <protection locked="0"/>
    </xf>
    <xf numFmtId="0" fontId="0" fillId="6" borderId="29" xfId="0" applyFill="1" applyBorder="1" applyAlignment="1" applyProtection="1">
      <alignment horizontal="left" vertical="center"/>
      <protection locked="0"/>
    </xf>
    <xf numFmtId="0" fontId="0" fillId="6" borderId="29" xfId="0" applyFill="1" applyBorder="1" applyAlignment="1" applyProtection="1">
      <alignment horizontal="center" vertical="center"/>
      <protection locked="0"/>
    </xf>
    <xf numFmtId="166" fontId="0" fillId="6" borderId="29" xfId="2" applyNumberFormat="1" applyFont="1" applyFill="1" applyBorder="1" applyAlignment="1" applyProtection="1">
      <alignment vertical="center"/>
      <protection locked="0"/>
    </xf>
    <xf numFmtId="0" fontId="0" fillId="6" borderId="161" xfId="0" applyFill="1" applyBorder="1" applyAlignment="1" applyProtection="1">
      <alignment horizontal="center" vertical="center"/>
      <protection locked="0"/>
    </xf>
    <xf numFmtId="166" fontId="0" fillId="6" borderId="161" xfId="2" applyNumberFormat="1" applyFont="1" applyFill="1" applyBorder="1" applyAlignment="1" applyProtection="1">
      <alignment vertical="center"/>
      <protection locked="0"/>
    </xf>
    <xf numFmtId="0" fontId="0" fillId="6" borderId="110" xfId="0" applyFill="1" applyBorder="1" applyAlignment="1" applyProtection="1">
      <alignment horizontal="left" vertical="center"/>
      <protection locked="0"/>
    </xf>
    <xf numFmtId="0" fontId="0" fillId="6" borderId="93" xfId="0" applyFill="1" applyBorder="1" applyAlignment="1" applyProtection="1">
      <alignment horizontal="left" vertical="center"/>
      <protection locked="0"/>
    </xf>
    <xf numFmtId="0" fontId="0" fillId="6" borderId="93" xfId="0" applyFill="1" applyBorder="1" applyAlignment="1" applyProtection="1">
      <alignment horizontal="center" vertical="center"/>
      <protection locked="0"/>
    </xf>
    <xf numFmtId="0" fontId="0" fillId="6" borderId="168" xfId="0" applyFill="1" applyBorder="1" applyAlignment="1" applyProtection="1">
      <alignment horizontal="left" vertical="center"/>
      <protection locked="0"/>
    </xf>
    <xf numFmtId="0" fontId="0" fillId="18" borderId="168" xfId="0" applyFill="1" applyBorder="1" applyAlignment="1" applyProtection="1">
      <alignment horizontal="left" vertical="center"/>
      <protection locked="0"/>
    </xf>
    <xf numFmtId="0" fontId="0" fillId="58" borderId="193" xfId="0" applyFill="1" applyBorder="1" applyAlignment="1" applyProtection="1">
      <alignment horizontal="left" vertical="center"/>
      <protection locked="0"/>
    </xf>
    <xf numFmtId="0" fontId="0" fillId="58" borderId="150" xfId="0" applyFill="1" applyBorder="1" applyAlignment="1" applyProtection="1">
      <alignment horizontal="left" vertical="center"/>
      <protection locked="0"/>
    </xf>
    <xf numFmtId="0" fontId="0" fillId="58" borderId="168" xfId="0" applyFill="1" applyBorder="1" applyAlignment="1" applyProtection="1">
      <alignment horizontal="left" vertical="center"/>
      <protection locked="0"/>
    </xf>
    <xf numFmtId="0" fontId="0" fillId="58" borderId="157" xfId="0" applyFill="1" applyBorder="1" applyAlignment="1" applyProtection="1">
      <alignment horizontal="left" vertical="center"/>
      <protection locked="0"/>
    </xf>
    <xf numFmtId="0" fontId="0" fillId="6" borderId="168" xfId="0" applyFill="1" applyBorder="1"/>
    <xf numFmtId="0" fontId="0" fillId="6" borderId="157" xfId="0" applyFill="1" applyBorder="1"/>
    <xf numFmtId="0" fontId="0" fillId="6" borderId="169" xfId="0" applyFill="1" applyBorder="1" applyAlignment="1" applyProtection="1">
      <alignment horizontal="left" vertical="center"/>
      <protection locked="0"/>
    </xf>
    <xf numFmtId="0" fontId="0" fillId="6" borderId="194" xfId="0" applyFill="1" applyBorder="1" applyAlignment="1" applyProtection="1">
      <alignment horizontal="left" vertical="center"/>
      <protection locked="0"/>
    </xf>
    <xf numFmtId="0" fontId="0" fillId="6" borderId="188" xfId="0" applyFill="1" applyBorder="1" applyAlignment="1" applyProtection="1">
      <alignment horizontal="left" vertical="center"/>
      <protection locked="0"/>
    </xf>
    <xf numFmtId="0" fontId="0" fillId="58" borderId="29" xfId="0" applyFill="1" applyBorder="1" applyAlignment="1" applyProtection="1">
      <alignment horizontal="left" vertical="center"/>
      <protection locked="0"/>
    </xf>
    <xf numFmtId="0" fontId="28" fillId="58" borderId="215" xfId="0" applyFont="1" applyFill="1" applyBorder="1" applyAlignment="1" applyProtection="1">
      <alignment horizontal="center" vertical="center"/>
      <protection locked="0"/>
    </xf>
    <xf numFmtId="0" fontId="0" fillId="58" borderId="215" xfId="0" applyFill="1" applyBorder="1" applyAlignment="1" applyProtection="1">
      <alignment horizontal="left" vertical="center"/>
      <protection locked="0"/>
    </xf>
    <xf numFmtId="0" fontId="0" fillId="6" borderId="156" xfId="0" applyFill="1" applyBorder="1"/>
    <xf numFmtId="0" fontId="0" fillId="58" borderId="40" xfId="0" applyFill="1" applyBorder="1" applyAlignment="1" applyProtection="1">
      <alignment horizontal="left" vertical="center"/>
      <protection locked="0"/>
    </xf>
    <xf numFmtId="0" fontId="0" fillId="58" borderId="160" xfId="0" applyFill="1" applyBorder="1" applyAlignment="1" applyProtection="1">
      <alignment horizontal="left" vertical="center"/>
      <protection locked="0"/>
    </xf>
    <xf numFmtId="0" fontId="28" fillId="58" borderId="160" xfId="0" applyFont="1" applyFill="1" applyBorder="1" applyAlignment="1" applyProtection="1">
      <alignment horizontal="center" vertical="center"/>
      <protection locked="0"/>
    </xf>
    <xf numFmtId="166" fontId="28" fillId="6" borderId="14" xfId="2" applyNumberFormat="1" applyFont="1" applyFill="1" applyBorder="1" applyAlignment="1" applyProtection="1">
      <alignment vertical="center"/>
      <protection locked="0"/>
    </xf>
    <xf numFmtId="166" fontId="28" fillId="6" borderId="15" xfId="2" applyNumberFormat="1" applyFont="1" applyFill="1" applyBorder="1" applyAlignment="1" applyProtection="1">
      <alignment vertical="center"/>
      <protection locked="0"/>
    </xf>
    <xf numFmtId="166" fontId="28" fillId="36" borderId="200" xfId="2" applyNumberFormat="1" applyFont="1" applyFill="1" applyBorder="1" applyAlignment="1" applyProtection="1">
      <alignment vertical="center"/>
    </xf>
    <xf numFmtId="166" fontId="0" fillId="6" borderId="157" xfId="2" applyNumberFormat="1" applyFont="1" applyFill="1" applyBorder="1" applyAlignment="1" applyProtection="1">
      <alignment vertical="center"/>
      <protection locked="0"/>
    </xf>
    <xf numFmtId="166" fontId="28" fillId="6" borderId="35" xfId="2" applyNumberFormat="1" applyFont="1" applyFill="1" applyBorder="1" applyAlignment="1" applyProtection="1">
      <alignment vertical="center"/>
      <protection locked="0"/>
    </xf>
    <xf numFmtId="166" fontId="28" fillId="6" borderId="192" xfId="2" applyNumberFormat="1" applyFont="1" applyFill="1" applyBorder="1" applyAlignment="1" applyProtection="1">
      <alignment vertical="center"/>
      <protection locked="0"/>
    </xf>
    <xf numFmtId="0" fontId="31" fillId="6" borderId="156" xfId="0" applyFont="1" applyFill="1" applyBorder="1" applyAlignment="1" applyProtection="1">
      <alignment horizontal="left" vertical="center"/>
      <protection locked="0"/>
    </xf>
    <xf numFmtId="0" fontId="31" fillId="6" borderId="215" xfId="0" applyFont="1" applyFill="1" applyBorder="1" applyAlignment="1" applyProtection="1">
      <alignment horizontal="left" vertical="center"/>
      <protection locked="0"/>
    </xf>
    <xf numFmtId="0" fontId="31" fillId="6" borderId="215" xfId="0" applyFont="1" applyFill="1" applyBorder="1" applyAlignment="1" applyProtection="1">
      <alignment horizontal="center" vertical="center"/>
      <protection locked="0"/>
    </xf>
    <xf numFmtId="166" fontId="28" fillId="6" borderId="160" xfId="2" applyNumberFormat="1" applyFont="1" applyFill="1" applyBorder="1" applyAlignment="1" applyProtection="1">
      <alignment vertical="center"/>
      <protection locked="0"/>
    </xf>
    <xf numFmtId="166" fontId="28" fillId="6" borderId="17" xfId="2" applyNumberFormat="1" applyFont="1" applyFill="1" applyBorder="1" applyAlignment="1" applyProtection="1">
      <alignment vertical="center"/>
      <protection locked="0"/>
    </xf>
    <xf numFmtId="166" fontId="28" fillId="6" borderId="161" xfId="2" applyNumberFormat="1" applyFont="1" applyFill="1" applyBorder="1" applyAlignment="1" applyProtection="1">
      <alignment vertical="center"/>
      <protection locked="0"/>
    </xf>
    <xf numFmtId="166" fontId="28" fillId="6" borderId="93" xfId="2" applyNumberFormat="1" applyFont="1" applyFill="1" applyBorder="1" applyAlignment="1" applyProtection="1">
      <alignment vertical="center"/>
      <protection locked="0"/>
    </xf>
    <xf numFmtId="0" fontId="31" fillId="6" borderId="168" xfId="0" applyFont="1" applyFill="1" applyBorder="1" applyAlignment="1" applyProtection="1">
      <alignment horizontal="left" vertical="center"/>
      <protection locked="0"/>
    </xf>
    <xf numFmtId="166" fontId="28" fillId="6" borderId="208" xfId="2" applyNumberFormat="1" applyFont="1" applyFill="1" applyBorder="1" applyAlignment="1" applyProtection="1">
      <alignment vertical="center"/>
      <protection locked="0"/>
    </xf>
    <xf numFmtId="0" fontId="28" fillId="6" borderId="168" xfId="0" applyFont="1" applyFill="1" applyBorder="1" applyAlignment="1" applyProtection="1">
      <alignment horizontal="left" vertical="center"/>
      <protection locked="0"/>
    </xf>
    <xf numFmtId="166" fontId="28" fillId="36" borderId="207" xfId="2" applyNumberFormat="1" applyFont="1" applyFill="1" applyBorder="1" applyAlignment="1" applyProtection="1">
      <alignment vertical="center"/>
    </xf>
    <xf numFmtId="174" fontId="28" fillId="58" borderId="31" xfId="2" applyNumberFormat="1" applyFont="1" applyFill="1" applyBorder="1" applyAlignment="1" applyProtection="1">
      <alignment vertical="center"/>
      <protection locked="0"/>
    </xf>
    <xf numFmtId="174" fontId="28" fillId="58" borderId="215" xfId="2" applyNumberFormat="1" applyFont="1" applyFill="1" applyBorder="1" applyAlignment="1" applyProtection="1">
      <alignment vertical="center"/>
      <protection locked="0"/>
    </xf>
    <xf numFmtId="174" fontId="28" fillId="58" borderId="159" xfId="2" applyNumberFormat="1" applyFont="1" applyFill="1" applyBorder="1" applyAlignment="1" applyProtection="1">
      <alignment vertical="center"/>
      <protection locked="0"/>
    </xf>
    <xf numFmtId="174" fontId="28" fillId="58" borderId="160" xfId="2" applyNumberFormat="1" applyFont="1" applyFill="1" applyBorder="1" applyAlignment="1" applyProtection="1">
      <alignment vertical="center"/>
      <protection locked="0"/>
    </xf>
    <xf numFmtId="174" fontId="28" fillId="58" borderId="17" xfId="2" applyNumberFormat="1" applyFont="1" applyFill="1" applyBorder="1" applyAlignment="1" applyProtection="1">
      <alignment vertical="center"/>
      <protection locked="0"/>
    </xf>
    <xf numFmtId="166" fontId="28" fillId="36" borderId="183" xfId="2" applyNumberFormat="1" applyFont="1" applyFill="1" applyBorder="1" applyAlignment="1" applyProtection="1">
      <alignment vertical="center"/>
    </xf>
    <xf numFmtId="166" fontId="28" fillId="36" borderId="190" xfId="2" applyNumberFormat="1" applyFont="1" applyFill="1" applyBorder="1" applyAlignment="1" applyProtection="1">
      <alignment vertical="center"/>
    </xf>
    <xf numFmtId="166" fontId="28" fillId="36" borderId="196" xfId="2" applyNumberFormat="1" applyFont="1" applyFill="1" applyBorder="1" applyAlignment="1" applyProtection="1">
      <alignment vertical="center"/>
    </xf>
    <xf numFmtId="0" fontId="0" fillId="6" borderId="230" xfId="0" applyFill="1" applyBorder="1" applyAlignment="1" applyProtection="1">
      <alignment horizontal="center" vertical="center"/>
      <protection locked="0"/>
    </xf>
    <xf numFmtId="166" fontId="28" fillId="6" borderId="230" xfId="2" applyNumberFormat="1" applyFont="1" applyFill="1" applyBorder="1" applyAlignment="1" applyProtection="1">
      <alignment vertical="center"/>
      <protection locked="0"/>
    </xf>
    <xf numFmtId="166" fontId="28" fillId="6" borderId="231" xfId="2" applyNumberFormat="1" applyFont="1" applyFill="1" applyBorder="1" applyAlignment="1" applyProtection="1">
      <alignment vertical="center"/>
      <protection locked="0"/>
    </xf>
    <xf numFmtId="6" fontId="0" fillId="6" borderId="65" xfId="0" applyNumberFormat="1" applyFill="1" applyBorder="1" applyAlignment="1" applyProtection="1">
      <alignment horizontal="center" vertical="center"/>
      <protection locked="0"/>
    </xf>
    <xf numFmtId="42" fontId="28" fillId="6" borderId="188" xfId="3" applyFont="1" applyFill="1" applyBorder="1" applyAlignment="1" applyProtection="1">
      <alignment horizontal="center" vertical="center"/>
      <protection locked="0"/>
    </xf>
    <xf numFmtId="0" fontId="2" fillId="14" borderId="0" xfId="0" applyFont="1" applyFill="1" applyAlignment="1">
      <alignment horizontal="center"/>
    </xf>
    <xf numFmtId="166" fontId="2" fillId="14" borderId="0" xfId="0" applyNumberFormat="1" applyFont="1" applyFill="1"/>
    <xf numFmtId="0" fontId="0" fillId="14" borderId="0" xfId="0" applyFill="1" applyAlignment="1">
      <alignment horizontal="left"/>
    </xf>
    <xf numFmtId="0" fontId="0" fillId="14" borderId="0" xfId="0" applyFill="1" applyAlignment="1">
      <alignment horizontal="center"/>
    </xf>
    <xf numFmtId="0" fontId="0" fillId="6" borderId="215" xfId="0" applyFill="1" applyBorder="1" applyProtection="1">
      <protection locked="0"/>
    </xf>
    <xf numFmtId="0" fontId="0" fillId="6" borderId="234" xfId="0" applyFill="1" applyBorder="1" applyAlignment="1" applyProtection="1">
      <alignment horizontal="left" vertical="center"/>
      <protection locked="0"/>
    </xf>
    <xf numFmtId="0" fontId="0" fillId="6" borderId="233" xfId="0" applyFill="1" applyBorder="1" applyAlignment="1" applyProtection="1">
      <alignment horizontal="left" vertical="center"/>
      <protection locked="0"/>
    </xf>
    <xf numFmtId="174" fontId="0" fillId="68" borderId="0" xfId="22" applyNumberFormat="1" applyFont="1" applyFill="1" applyBorder="1" applyAlignment="1" applyProtection="1">
      <protection locked="0"/>
    </xf>
    <xf numFmtId="174" fontId="1" fillId="14" borderId="0" xfId="22" applyNumberFormat="1" applyFill="1" applyBorder="1"/>
    <xf numFmtId="0" fontId="34" fillId="0" borderId="57" xfId="0" applyFont="1" applyBorder="1" applyAlignment="1">
      <alignment vertical="center"/>
    </xf>
    <xf numFmtId="42" fontId="5" fillId="0" borderId="57" xfId="3" applyFont="1" applyBorder="1" applyAlignment="1">
      <alignment vertical="center"/>
    </xf>
    <xf numFmtId="165" fontId="25" fillId="0" borderId="56" xfId="0" applyNumberFormat="1" applyFont="1" applyBorder="1" applyAlignment="1">
      <alignment horizontal="center" vertical="center"/>
    </xf>
    <xf numFmtId="0" fontId="34" fillId="0" borderId="58" xfId="0" applyFont="1" applyBorder="1" applyAlignment="1">
      <alignment vertical="center"/>
    </xf>
    <xf numFmtId="165" fontId="2" fillId="0" borderId="58" xfId="0" applyNumberFormat="1" applyFont="1" applyBorder="1" applyAlignment="1">
      <alignment vertical="center"/>
    </xf>
    <xf numFmtId="165" fontId="37" fillId="0" borderId="217" xfId="0" applyNumberFormat="1" applyFont="1" applyBorder="1" applyAlignment="1">
      <alignment vertical="center"/>
    </xf>
    <xf numFmtId="9" fontId="1" fillId="0" borderId="179" xfId="4" applyFill="1" applyBorder="1" applyAlignment="1" applyProtection="1">
      <alignment horizontal="center"/>
    </xf>
    <xf numFmtId="0" fontId="5" fillId="0" borderId="0" xfId="39" applyFont="1" applyAlignment="1">
      <alignment vertical="center"/>
    </xf>
    <xf numFmtId="0" fontId="6" fillId="0" borderId="0" xfId="39" applyAlignment="1">
      <alignment vertical="center"/>
    </xf>
    <xf numFmtId="0" fontId="6" fillId="41" borderId="0" xfId="39" applyFill="1"/>
    <xf numFmtId="0" fontId="6" fillId="41" borderId="0" xfId="39" applyFill="1" applyAlignment="1">
      <alignment horizontal="left" vertical="center"/>
    </xf>
    <xf numFmtId="173" fontId="5" fillId="41" borderId="0" xfId="39" applyNumberFormat="1" applyFont="1" applyFill="1" applyAlignment="1">
      <alignment horizontal="right" vertical="center"/>
    </xf>
    <xf numFmtId="0" fontId="6" fillId="41" borderId="238" xfId="39" applyFill="1" applyBorder="1"/>
    <xf numFmtId="0" fontId="6" fillId="41" borderId="5" xfId="39" applyFill="1" applyBorder="1"/>
    <xf numFmtId="0" fontId="6" fillId="41" borderId="178" xfId="39" applyFill="1" applyBorder="1"/>
    <xf numFmtId="0" fontId="6" fillId="41" borderId="25" xfId="39" applyFill="1" applyBorder="1"/>
    <xf numFmtId="0" fontId="6" fillId="41" borderId="26" xfId="39" applyFill="1" applyBorder="1"/>
    <xf numFmtId="0" fontId="17" fillId="0" borderId="0" xfId="39" applyFont="1" applyAlignment="1">
      <alignment vertical="center"/>
    </xf>
    <xf numFmtId="0" fontId="17" fillId="0" borderId="25" xfId="39" applyFont="1" applyBorder="1" applyAlignment="1">
      <alignment vertical="center"/>
    </xf>
    <xf numFmtId="0" fontId="5" fillId="7" borderId="160" xfId="39" applyFont="1" applyFill="1" applyBorder="1" applyAlignment="1">
      <alignment horizontal="center" vertical="center" wrapText="1"/>
    </xf>
    <xf numFmtId="0" fontId="5" fillId="7" borderId="175" xfId="39" applyFont="1" applyFill="1" applyBorder="1" applyAlignment="1">
      <alignment horizontal="center" vertical="center" wrapText="1"/>
    </xf>
    <xf numFmtId="0" fontId="5" fillId="7" borderId="17" xfId="39" applyFont="1" applyFill="1" applyBorder="1" applyAlignment="1">
      <alignment horizontal="center" vertical="center" wrapText="1"/>
    </xf>
    <xf numFmtId="0" fontId="20" fillId="43" borderId="243" xfId="39" applyFont="1" applyFill="1" applyBorder="1" applyAlignment="1">
      <alignment horizontal="center" vertical="center"/>
    </xf>
    <xf numFmtId="0" fontId="20" fillId="43" borderId="175" xfId="39" applyFont="1" applyFill="1" applyBorder="1" applyAlignment="1">
      <alignment horizontal="center" vertical="center"/>
    </xf>
    <xf numFmtId="0" fontId="20" fillId="44" borderId="243" xfId="39" applyFont="1" applyFill="1" applyBorder="1" applyAlignment="1">
      <alignment horizontal="center" vertical="center"/>
    </xf>
    <xf numFmtId="0" fontId="20" fillId="44" borderId="17" xfId="39" applyFont="1" applyFill="1" applyBorder="1" applyAlignment="1">
      <alignment horizontal="center" vertical="center"/>
    </xf>
    <xf numFmtId="0" fontId="20" fillId="42" borderId="92" xfId="39" applyFont="1" applyFill="1" applyBorder="1" applyAlignment="1">
      <alignment horizontal="center" vertical="center"/>
    </xf>
    <xf numFmtId="0" fontId="20" fillId="42" borderId="175" xfId="39" applyFont="1" applyFill="1" applyBorder="1" applyAlignment="1">
      <alignment horizontal="center" vertical="center"/>
    </xf>
    <xf numFmtId="0" fontId="20" fillId="43" borderId="40" xfId="39" applyFont="1" applyFill="1" applyBorder="1" applyAlignment="1">
      <alignment horizontal="center" vertical="center"/>
    </xf>
    <xf numFmtId="0" fontId="20" fillId="44" borderId="40" xfId="39" applyFont="1" applyFill="1" applyBorder="1" applyAlignment="1">
      <alignment horizontal="center" vertical="center"/>
    </xf>
    <xf numFmtId="0" fontId="20" fillId="42" borderId="169" xfId="39" applyFont="1" applyFill="1" applyBorder="1" applyAlignment="1">
      <alignment horizontal="center" vertical="center"/>
    </xf>
    <xf numFmtId="0" fontId="20" fillId="42" borderId="17" xfId="39" applyFont="1" applyFill="1" applyBorder="1" applyAlignment="1">
      <alignment horizontal="center" vertical="center"/>
    </xf>
    <xf numFmtId="0" fontId="20" fillId="43" borderId="244" xfId="39" applyFont="1" applyFill="1" applyBorder="1" applyAlignment="1">
      <alignment horizontal="center" vertical="center"/>
    </xf>
    <xf numFmtId="0" fontId="20" fillId="44" borderId="244" xfId="39" applyFont="1" applyFill="1" applyBorder="1" applyAlignment="1">
      <alignment horizontal="center" vertical="center"/>
    </xf>
    <xf numFmtId="0" fontId="20" fillId="42" borderId="243" xfId="39" applyFont="1" applyFill="1" applyBorder="1" applyAlignment="1">
      <alignment horizontal="center" vertical="center"/>
    </xf>
    <xf numFmtId="0" fontId="20" fillId="42" borderId="244" xfId="39" applyFont="1" applyFill="1" applyBorder="1" applyAlignment="1">
      <alignment horizontal="center" vertical="center"/>
    </xf>
    <xf numFmtId="0" fontId="6" fillId="6" borderId="226" xfId="39" applyFill="1" applyBorder="1" applyAlignment="1" applyProtection="1">
      <alignment horizontal="left" vertical="center"/>
      <protection locked="0"/>
    </xf>
    <xf numFmtId="0" fontId="6" fillId="6" borderId="228" xfId="39" applyFill="1" applyBorder="1" applyAlignment="1" applyProtection="1">
      <alignment horizontal="left" vertical="center"/>
      <protection locked="0"/>
    </xf>
    <xf numFmtId="0" fontId="6" fillId="6" borderId="228" xfId="39" applyFill="1" applyBorder="1" applyProtection="1">
      <protection locked="0"/>
    </xf>
    <xf numFmtId="0" fontId="6" fillId="6" borderId="227" xfId="39" applyFill="1" applyBorder="1" applyProtection="1">
      <protection locked="0"/>
    </xf>
    <xf numFmtId="173" fontId="6" fillId="0" borderId="8" xfId="39" applyNumberFormat="1" applyBorder="1" applyAlignment="1">
      <alignment horizontal="right" vertical="center"/>
    </xf>
    <xf numFmtId="9" fontId="6" fillId="6" borderId="8" xfId="39" applyNumberFormat="1" applyFill="1" applyBorder="1" applyAlignment="1" applyProtection="1">
      <alignment horizontal="center" vertical="center"/>
      <protection locked="0"/>
    </xf>
    <xf numFmtId="173" fontId="6" fillId="0" borderId="183" xfId="39" applyNumberFormat="1" applyBorder="1" applyAlignment="1">
      <alignment horizontal="right" vertical="center"/>
    </xf>
    <xf numFmtId="183" fontId="0" fillId="6" borderId="8" xfId="40" applyFont="1" applyFill="1" applyBorder="1" applyAlignment="1" applyProtection="1">
      <alignment horizontal="center" vertical="center"/>
      <protection locked="0"/>
    </xf>
    <xf numFmtId="9" fontId="6" fillId="24" borderId="217" xfId="39" applyNumberFormat="1" applyFill="1" applyBorder="1" applyAlignment="1">
      <alignment horizontal="center" vertical="center"/>
    </xf>
    <xf numFmtId="0" fontId="5" fillId="29" borderId="215" xfId="39" applyFont="1" applyFill="1" applyBorder="1" applyAlignment="1">
      <alignment horizontal="center" vertical="center"/>
    </xf>
    <xf numFmtId="0" fontId="14" fillId="30" borderId="215" xfId="39" applyFont="1" applyFill="1" applyBorder="1" applyAlignment="1">
      <alignment horizontal="left" vertical="center"/>
    </xf>
    <xf numFmtId="165" fontId="14" fillId="30" borderId="215" xfId="11" applyNumberFormat="1" applyFont="1" applyFill="1" applyBorder="1" applyAlignment="1">
      <alignment horizontal="center" vertical="center"/>
    </xf>
    <xf numFmtId="183" fontId="21" fillId="0" borderId="189" xfId="40" applyFont="1" applyBorder="1" applyAlignment="1">
      <alignment horizontal="center" vertical="center"/>
    </xf>
    <xf numFmtId="173" fontId="6" fillId="23" borderId="99" xfId="39" applyNumberFormat="1" applyFill="1" applyBorder="1" applyAlignment="1">
      <alignment horizontal="right" vertical="center"/>
    </xf>
    <xf numFmtId="173" fontId="6" fillId="23" borderId="43" xfId="39" applyNumberFormat="1" applyFill="1" applyBorder="1" applyAlignment="1">
      <alignment horizontal="right" vertical="center"/>
    </xf>
    <xf numFmtId="183" fontId="21" fillId="0" borderId="101" xfId="40" applyFont="1" applyBorder="1" applyAlignment="1">
      <alignment horizontal="center" vertical="center"/>
    </xf>
    <xf numFmtId="9" fontId="6" fillId="14" borderId="233" xfId="39" applyNumberFormat="1" applyFill="1" applyBorder="1" applyAlignment="1">
      <alignment horizontal="center" vertical="center"/>
    </xf>
    <xf numFmtId="173" fontId="6" fillId="24" borderId="234" xfId="39" applyNumberFormat="1" applyFill="1" applyBorder="1" applyAlignment="1">
      <alignment horizontal="right" vertical="center"/>
    </xf>
    <xf numFmtId="9" fontId="6" fillId="14" borderId="234" xfId="39" applyNumberFormat="1" applyFill="1" applyBorder="1" applyAlignment="1">
      <alignment horizontal="center" vertical="center"/>
    </xf>
    <xf numFmtId="183" fontId="0" fillId="14" borderId="234" xfId="40" applyFont="1" applyFill="1" applyBorder="1" applyAlignment="1">
      <alignment horizontal="center" vertical="center"/>
    </xf>
    <xf numFmtId="173" fontId="6" fillId="24" borderId="235" xfId="39" applyNumberFormat="1" applyFill="1" applyBorder="1" applyAlignment="1">
      <alignment horizontal="right" vertical="center"/>
    </xf>
    <xf numFmtId="0" fontId="6" fillId="6" borderId="131" xfId="39" applyFill="1" applyBorder="1" applyAlignment="1" applyProtection="1">
      <alignment horizontal="left" vertical="center"/>
      <protection locked="0"/>
    </xf>
    <xf numFmtId="0" fontId="6" fillId="6" borderId="215" xfId="39" applyFill="1" applyBorder="1" applyAlignment="1" applyProtection="1">
      <alignment horizontal="left" vertical="center"/>
      <protection locked="0"/>
    </xf>
    <xf numFmtId="0" fontId="6" fillId="6" borderId="215" xfId="39" applyFill="1" applyBorder="1" applyProtection="1">
      <protection locked="0"/>
    </xf>
    <xf numFmtId="0" fontId="6" fillId="6" borderId="216" xfId="39" applyFill="1" applyBorder="1" applyProtection="1">
      <protection locked="0"/>
    </xf>
    <xf numFmtId="166" fontId="0" fillId="6" borderId="215" xfId="11" applyNumberFormat="1" applyFont="1" applyFill="1" applyBorder="1" applyAlignment="1" applyProtection="1">
      <alignment vertical="center"/>
      <protection locked="0"/>
    </xf>
    <xf numFmtId="166" fontId="0" fillId="6" borderId="216" xfId="11" applyNumberFormat="1" applyFont="1" applyFill="1" applyBorder="1" applyAlignment="1" applyProtection="1">
      <alignment vertical="center"/>
      <protection locked="0"/>
    </xf>
    <xf numFmtId="173" fontId="6" fillId="36" borderId="217" xfId="39" applyNumberFormat="1" applyFill="1" applyBorder="1" applyAlignment="1">
      <alignment horizontal="right" vertical="center"/>
    </xf>
    <xf numFmtId="173" fontId="6" fillId="0" borderId="217" xfId="39" applyNumberFormat="1" applyBorder="1" applyAlignment="1">
      <alignment horizontal="right" vertical="center"/>
    </xf>
    <xf numFmtId="9" fontId="6" fillId="6" borderId="217" xfId="39" applyNumberFormat="1" applyFill="1" applyBorder="1" applyAlignment="1" applyProtection="1">
      <alignment horizontal="center" vertical="center"/>
      <protection locked="0"/>
    </xf>
    <xf numFmtId="173" fontId="6" fillId="0" borderId="245" xfId="39" applyNumberFormat="1" applyBorder="1" applyAlignment="1">
      <alignment horizontal="right" vertical="center"/>
    </xf>
    <xf numFmtId="183" fontId="0" fillId="6" borderId="217" xfId="40" applyFont="1" applyFill="1" applyBorder="1" applyAlignment="1" applyProtection="1">
      <alignment horizontal="center" vertical="center"/>
      <protection locked="0"/>
    </xf>
    <xf numFmtId="0" fontId="5" fillId="33" borderId="215" xfId="39" applyFont="1" applyFill="1" applyBorder="1" applyAlignment="1">
      <alignment horizontal="center" vertical="center" wrapText="1"/>
    </xf>
    <xf numFmtId="0" fontId="14" fillId="33" borderId="215" xfId="39" applyFont="1" applyFill="1" applyBorder="1" applyAlignment="1">
      <alignment horizontal="left" vertical="center"/>
    </xf>
    <xf numFmtId="165" fontId="14" fillId="33" borderId="215" xfId="11" applyNumberFormat="1" applyFont="1" applyFill="1" applyBorder="1" applyAlignment="1">
      <alignment horizontal="center" vertical="center"/>
    </xf>
    <xf numFmtId="1" fontId="6" fillId="0" borderId="215" xfId="39" applyNumberFormat="1" applyBorder="1" applyAlignment="1">
      <alignment horizontal="center" vertical="center" wrapText="1"/>
    </xf>
    <xf numFmtId="170" fontId="15" fillId="0" borderId="215" xfId="39" applyNumberFormat="1" applyFont="1" applyBorder="1" applyAlignment="1">
      <alignment horizontal="left"/>
    </xf>
    <xf numFmtId="165" fontId="0" fillId="6" borderId="215" xfId="11" applyNumberFormat="1" applyFont="1" applyFill="1" applyBorder="1" applyAlignment="1" applyProtection="1">
      <alignment vertical="center"/>
      <protection locked="0"/>
    </xf>
    <xf numFmtId="0" fontId="6" fillId="41" borderId="57" xfId="39" applyFill="1" applyBorder="1"/>
    <xf numFmtId="0" fontId="6" fillId="41" borderId="59" xfId="39" applyFill="1" applyBorder="1"/>
    <xf numFmtId="0" fontId="6" fillId="41" borderId="60" xfId="39" applyFill="1" applyBorder="1"/>
    <xf numFmtId="165" fontId="14" fillId="33" borderId="215" xfId="11" applyNumberFormat="1" applyFont="1" applyFill="1" applyBorder="1" applyAlignment="1" applyProtection="1">
      <alignment horizontal="center" vertical="center"/>
      <protection locked="0"/>
    </xf>
    <xf numFmtId="0" fontId="6" fillId="6" borderId="169" xfId="39" applyFill="1" applyBorder="1" applyAlignment="1" applyProtection="1">
      <alignment horizontal="left" vertical="center"/>
      <protection locked="0"/>
    </xf>
    <xf numFmtId="0" fontId="6" fillId="6" borderId="160" xfId="39" applyFill="1" applyBorder="1" applyAlignment="1" applyProtection="1">
      <alignment horizontal="left" vertical="center"/>
      <protection locked="0"/>
    </xf>
    <xf numFmtId="0" fontId="6" fillId="6" borderId="160" xfId="39" applyFill="1" applyBorder="1" applyProtection="1">
      <protection locked="0"/>
    </xf>
    <xf numFmtId="0" fontId="6" fillId="6" borderId="175" xfId="39" applyFill="1" applyBorder="1" applyProtection="1">
      <protection locked="0"/>
    </xf>
    <xf numFmtId="166" fontId="0" fillId="6" borderId="160" xfId="11" applyNumberFormat="1" applyFont="1" applyFill="1" applyBorder="1" applyAlignment="1" applyProtection="1">
      <alignment vertical="center"/>
      <protection locked="0"/>
    </xf>
    <xf numFmtId="166" fontId="0" fillId="6" borderId="175" xfId="11" applyNumberFormat="1" applyFont="1" applyFill="1" applyBorder="1" applyAlignment="1" applyProtection="1">
      <alignment vertical="center"/>
      <protection locked="0"/>
    </xf>
    <xf numFmtId="173" fontId="6" fillId="36" borderId="18" xfId="39" applyNumberFormat="1" applyFill="1" applyBorder="1" applyAlignment="1">
      <alignment horizontal="right" vertical="center"/>
    </xf>
    <xf numFmtId="173" fontId="6" fillId="0" borderId="18" xfId="39" applyNumberFormat="1" applyBorder="1" applyAlignment="1">
      <alignment horizontal="right" vertical="center"/>
    </xf>
    <xf numFmtId="9" fontId="6" fillId="6" borderId="18" xfId="39" applyNumberFormat="1" applyFill="1" applyBorder="1" applyAlignment="1" applyProtection="1">
      <alignment horizontal="center" vertical="center"/>
      <protection locked="0"/>
    </xf>
    <xf numFmtId="173" fontId="6" fillId="0" borderId="196" xfId="39" applyNumberFormat="1" applyBorder="1" applyAlignment="1">
      <alignment horizontal="right" vertical="center"/>
    </xf>
    <xf numFmtId="183" fontId="0" fillId="6" borderId="18" xfId="40" applyFont="1" applyFill="1" applyBorder="1" applyAlignment="1" applyProtection="1">
      <alignment horizontal="center" vertical="center"/>
      <protection locked="0"/>
    </xf>
    <xf numFmtId="9" fontId="6" fillId="24" borderId="18" xfId="39" applyNumberFormat="1" applyFill="1" applyBorder="1" applyAlignment="1">
      <alignment horizontal="center" vertical="center"/>
    </xf>
    <xf numFmtId="0" fontId="6" fillId="6" borderId="193" xfId="39" applyFill="1" applyBorder="1" applyAlignment="1" applyProtection="1">
      <alignment horizontal="left" vertical="center"/>
      <protection locked="0"/>
    </xf>
    <xf numFmtId="0" fontId="6" fillId="6" borderId="234" xfId="39" applyFill="1" applyBorder="1" applyAlignment="1" applyProtection="1">
      <alignment horizontal="left" vertical="center"/>
      <protection locked="0"/>
    </xf>
    <xf numFmtId="0" fontId="6" fillId="6" borderId="234" xfId="39" applyFill="1" applyBorder="1" applyProtection="1">
      <protection locked="0"/>
    </xf>
    <xf numFmtId="0" fontId="6" fillId="6" borderId="153" xfId="39" applyFill="1" applyBorder="1" applyProtection="1">
      <protection locked="0"/>
    </xf>
    <xf numFmtId="166" fontId="0" fillId="6" borderId="234" xfId="11" applyNumberFormat="1" applyFont="1" applyFill="1" applyBorder="1" applyAlignment="1" applyProtection="1">
      <alignment vertical="center"/>
      <protection locked="0"/>
    </xf>
    <xf numFmtId="173" fontId="6" fillId="36" borderId="8" xfId="39" applyNumberFormat="1" applyFill="1" applyBorder="1" applyAlignment="1">
      <alignment horizontal="right" vertical="center"/>
    </xf>
    <xf numFmtId="9" fontId="6" fillId="6" borderId="37" xfId="39" applyNumberFormat="1" applyFill="1" applyBorder="1" applyAlignment="1" applyProtection="1">
      <alignment horizontal="center" vertical="center"/>
      <protection locked="0"/>
    </xf>
    <xf numFmtId="173" fontId="6" fillId="0" borderId="153" xfId="39" applyNumberFormat="1" applyBorder="1" applyAlignment="1">
      <alignment horizontal="right" vertical="center"/>
    </xf>
    <xf numFmtId="173" fontId="6" fillId="0" borderId="235" xfId="39" applyNumberFormat="1" applyBorder="1" applyAlignment="1">
      <alignment horizontal="right" vertical="center"/>
    </xf>
    <xf numFmtId="183" fontId="0" fillId="6" borderId="226" xfId="40" applyFont="1" applyFill="1" applyBorder="1" applyAlignment="1" applyProtection="1">
      <alignment horizontal="center" vertical="center"/>
      <protection locked="0"/>
    </xf>
    <xf numFmtId="9" fontId="6" fillId="24" borderId="8" xfId="39" applyNumberFormat="1" applyFill="1" applyBorder="1" applyAlignment="1">
      <alignment horizontal="center" vertical="center"/>
    </xf>
    <xf numFmtId="9" fontId="6" fillId="6" borderId="156" xfId="39" applyNumberFormat="1" applyFill="1" applyBorder="1" applyAlignment="1" applyProtection="1">
      <alignment horizontal="center" vertical="center"/>
      <protection locked="0"/>
    </xf>
    <xf numFmtId="173" fontId="6" fillId="0" borderId="216" xfId="39" applyNumberFormat="1" applyBorder="1" applyAlignment="1">
      <alignment horizontal="right" vertical="center"/>
    </xf>
    <xf numFmtId="173" fontId="6" fillId="0" borderId="159" xfId="39" applyNumberFormat="1" applyBorder="1" applyAlignment="1">
      <alignment horizontal="right" vertical="center"/>
    </xf>
    <xf numFmtId="183" fontId="0" fillId="6" borderId="131" xfId="40" applyFont="1" applyFill="1" applyBorder="1" applyAlignment="1" applyProtection="1">
      <alignment horizontal="center" vertical="center"/>
      <protection locked="0"/>
    </xf>
    <xf numFmtId="9" fontId="6" fillId="6" borderId="40" xfId="39" applyNumberFormat="1" applyFill="1" applyBorder="1" applyAlignment="1" applyProtection="1">
      <alignment horizontal="center" vertical="center"/>
      <protection locked="0"/>
    </xf>
    <xf numFmtId="173" fontId="6" fillId="0" borderId="175" xfId="39" applyNumberFormat="1" applyBorder="1" applyAlignment="1">
      <alignment horizontal="right" vertical="center"/>
    </xf>
    <xf numFmtId="173" fontId="6" fillId="0" borderId="17" xfId="39" applyNumberFormat="1" applyBorder="1" applyAlignment="1">
      <alignment horizontal="right" vertical="center"/>
    </xf>
    <xf numFmtId="183" fontId="0" fillId="6" borderId="169" xfId="40" applyFont="1" applyFill="1" applyBorder="1" applyAlignment="1" applyProtection="1">
      <alignment horizontal="center" vertical="center"/>
      <protection locked="0"/>
    </xf>
    <xf numFmtId="166" fontId="0" fillId="6" borderId="153" xfId="11" applyNumberFormat="1" applyFont="1" applyFill="1" applyBorder="1" applyAlignment="1" applyProtection="1">
      <alignment vertical="center"/>
      <protection locked="0"/>
    </xf>
    <xf numFmtId="9" fontId="6" fillId="6" borderId="233" xfId="39" applyNumberFormat="1" applyFill="1" applyBorder="1" applyAlignment="1" applyProtection="1">
      <alignment horizontal="center" vertical="center"/>
      <protection locked="0"/>
    </xf>
    <xf numFmtId="183" fontId="0" fillId="6" borderId="193" xfId="40" applyFont="1" applyFill="1" applyBorder="1" applyAlignment="1" applyProtection="1">
      <alignment horizontal="center" vertical="center"/>
      <protection locked="0"/>
    </xf>
    <xf numFmtId="0" fontId="6" fillId="6" borderId="92" xfId="39" applyFill="1" applyBorder="1" applyAlignment="1" applyProtection="1">
      <alignment horizontal="left" vertical="center"/>
      <protection locked="0"/>
    </xf>
    <xf numFmtId="0" fontId="6" fillId="6" borderId="242" xfId="39" applyFill="1" applyBorder="1" applyAlignment="1" applyProtection="1">
      <alignment horizontal="left" vertical="center"/>
      <protection locked="0"/>
    </xf>
    <xf numFmtId="0" fontId="6" fillId="6" borderId="242" xfId="39" applyFill="1" applyBorder="1" applyProtection="1">
      <protection locked="0"/>
    </xf>
    <xf numFmtId="0" fontId="6" fillId="6" borderId="127" xfId="39" applyFill="1" applyBorder="1" applyProtection="1">
      <protection locked="0"/>
    </xf>
    <xf numFmtId="0" fontId="6" fillId="6" borderId="233" xfId="39" applyFill="1" applyBorder="1" applyAlignment="1" applyProtection="1">
      <alignment horizontal="left" vertical="center"/>
      <protection locked="0"/>
    </xf>
    <xf numFmtId="0" fontId="6" fillId="6" borderId="156" xfId="39" applyFill="1" applyBorder="1" applyAlignment="1" applyProtection="1">
      <alignment horizontal="left" vertical="center"/>
      <protection locked="0"/>
    </xf>
    <xf numFmtId="0" fontId="6" fillId="6" borderId="40" xfId="39" applyFill="1" applyBorder="1" applyAlignment="1" applyProtection="1">
      <alignment horizontal="left" vertical="center"/>
      <protection locked="0"/>
    </xf>
    <xf numFmtId="9" fontId="6" fillId="6" borderId="243" xfId="39" applyNumberFormat="1" applyFill="1" applyBorder="1" applyAlignment="1" applyProtection="1">
      <alignment horizontal="center" vertical="center"/>
      <protection locked="0"/>
    </xf>
    <xf numFmtId="173" fontId="6" fillId="0" borderId="127" xfId="39" applyNumberFormat="1" applyBorder="1" applyAlignment="1">
      <alignment horizontal="right" vertical="center"/>
    </xf>
    <xf numFmtId="173" fontId="6" fillId="0" borderId="244" xfId="39" applyNumberFormat="1" applyBorder="1" applyAlignment="1">
      <alignment horizontal="right" vertical="center"/>
    </xf>
    <xf numFmtId="183" fontId="0" fillId="6" borderId="92" xfId="40" applyFont="1" applyFill="1" applyBorder="1" applyAlignment="1" applyProtection="1">
      <alignment horizontal="center" vertical="center"/>
      <protection locked="0"/>
    </xf>
    <xf numFmtId="183" fontId="18" fillId="9" borderId="96" xfId="40" applyFont="1" applyFill="1" applyBorder="1" applyAlignment="1">
      <alignment horizontal="center" vertical="center"/>
    </xf>
    <xf numFmtId="173" fontId="8" fillId="24" borderId="97" xfId="39" applyNumberFormat="1" applyFont="1" applyFill="1" applyBorder="1" applyAlignment="1">
      <alignment horizontal="right" vertical="center"/>
    </xf>
    <xf numFmtId="183" fontId="18" fillId="9" borderId="90" xfId="40" applyFont="1" applyFill="1" applyBorder="1" applyAlignment="1">
      <alignment horizontal="center" vertical="center"/>
    </xf>
    <xf numFmtId="173" fontId="6" fillId="41" borderId="0" xfId="39" applyNumberFormat="1" applyFill="1"/>
    <xf numFmtId="173" fontId="8" fillId="24" borderId="228" xfId="39" applyNumberFormat="1" applyFont="1" applyFill="1" applyBorder="1" applyAlignment="1">
      <alignment horizontal="right" vertical="center"/>
    </xf>
    <xf numFmtId="0" fontId="6" fillId="41" borderId="0" xfId="39" applyFill="1" applyAlignment="1">
      <alignment horizontal="center" vertical="center"/>
    </xf>
    <xf numFmtId="166" fontId="6" fillId="6" borderId="234" xfId="2" applyNumberFormat="1" applyFont="1" applyFill="1" applyBorder="1" applyAlignment="1" applyProtection="1">
      <alignment vertical="center"/>
      <protection locked="0"/>
    </xf>
    <xf numFmtId="173" fontId="0" fillId="36" borderId="237" xfId="0" applyNumberFormat="1" applyFill="1" applyBorder="1" applyAlignment="1">
      <alignment horizontal="right" vertical="center"/>
    </xf>
    <xf numFmtId="0" fontId="0" fillId="6" borderId="227" xfId="0" applyFill="1" applyBorder="1" applyProtection="1">
      <protection locked="0"/>
    </xf>
    <xf numFmtId="166" fontId="6" fillId="6" borderId="215" xfId="2" applyNumberFormat="1" applyFont="1" applyFill="1" applyBorder="1" applyAlignment="1" applyProtection="1">
      <alignment vertical="center"/>
      <protection locked="0"/>
    </xf>
    <xf numFmtId="173" fontId="0" fillId="0" borderId="217" xfId="0" applyNumberFormat="1" applyBorder="1" applyAlignment="1">
      <alignment horizontal="right" vertical="center"/>
    </xf>
    <xf numFmtId="0" fontId="0" fillId="6" borderId="228" xfId="0" applyFill="1" applyBorder="1" applyProtection="1">
      <protection locked="0"/>
    </xf>
    <xf numFmtId="166" fontId="6" fillId="6" borderId="216" xfId="2" applyNumberFormat="1" applyFont="1" applyFill="1" applyBorder="1" applyAlignment="1" applyProtection="1">
      <alignment vertical="center"/>
      <protection locked="0"/>
    </xf>
    <xf numFmtId="0" fontId="0" fillId="6" borderId="216" xfId="0" applyFill="1" applyBorder="1" applyProtection="1">
      <protection locked="0"/>
    </xf>
    <xf numFmtId="0" fontId="0" fillId="6" borderId="160" xfId="0" applyFill="1" applyBorder="1" applyProtection="1">
      <protection locked="0"/>
    </xf>
    <xf numFmtId="0" fontId="0" fillId="6" borderId="175" xfId="0" applyFill="1" applyBorder="1" applyProtection="1">
      <protection locked="0"/>
    </xf>
    <xf numFmtId="166" fontId="6" fillId="6" borderId="160" xfId="2" applyNumberFormat="1" applyFont="1" applyFill="1" applyBorder="1" applyAlignment="1" applyProtection="1">
      <alignment vertical="center"/>
      <protection locked="0"/>
    </xf>
    <xf numFmtId="166" fontId="6" fillId="6" borderId="175" xfId="2" applyNumberFormat="1" applyFont="1" applyFill="1" applyBorder="1" applyAlignment="1" applyProtection="1">
      <alignment vertical="center"/>
      <protection locked="0"/>
    </xf>
    <xf numFmtId="0" fontId="5" fillId="38" borderId="215" xfId="39" applyFont="1" applyFill="1" applyBorder="1" applyAlignment="1">
      <alignment horizontal="center" vertical="center" wrapText="1"/>
    </xf>
    <xf numFmtId="0" fontId="5" fillId="39" borderId="215" xfId="39" applyFont="1" applyFill="1" applyBorder="1" applyAlignment="1">
      <alignment horizontal="left" vertical="center"/>
    </xf>
    <xf numFmtId="165" fontId="5" fillId="38" borderId="215" xfId="39" applyNumberFormat="1" applyFont="1" applyFill="1" applyBorder="1" applyAlignment="1">
      <alignment horizontal="center" vertical="center" wrapText="1"/>
    </xf>
    <xf numFmtId="175" fontId="6" fillId="41" borderId="0" xfId="39" applyNumberFormat="1" applyFill="1"/>
    <xf numFmtId="174" fontId="1" fillId="0" borderId="0" xfId="11" applyNumberFormat="1"/>
    <xf numFmtId="174" fontId="6" fillId="41" borderId="0" xfId="39" applyNumberFormat="1" applyFill="1"/>
    <xf numFmtId="42" fontId="0" fillId="14" borderId="0" xfId="3" applyFont="1" applyFill="1"/>
    <xf numFmtId="165" fontId="5" fillId="2" borderId="248" xfId="0" applyNumberFormat="1" applyFont="1" applyFill="1" applyBorder="1" applyAlignment="1">
      <alignment horizontal="center" vertical="center" wrapText="1"/>
    </xf>
    <xf numFmtId="165" fontId="5" fillId="2" borderId="249" xfId="0" applyNumberFormat="1" applyFont="1" applyFill="1" applyBorder="1" applyAlignment="1">
      <alignment horizontal="center" vertical="center" wrapText="1"/>
    </xf>
    <xf numFmtId="165" fontId="5" fillId="2" borderId="250" xfId="0" applyNumberFormat="1" applyFont="1" applyFill="1" applyBorder="1" applyAlignment="1">
      <alignment horizontal="center" vertical="center" wrapText="1"/>
    </xf>
    <xf numFmtId="166" fontId="6" fillId="0" borderId="233" xfId="2" applyNumberFormat="1" applyFont="1" applyFill="1" applyBorder="1" applyAlignment="1" applyProtection="1">
      <alignment vertical="center"/>
    </xf>
    <xf numFmtId="166" fontId="6" fillId="0" borderId="234" xfId="2" applyNumberFormat="1" applyFont="1" applyFill="1" applyBorder="1" applyAlignment="1" applyProtection="1">
      <alignment vertical="center"/>
    </xf>
    <xf numFmtId="166" fontId="6" fillId="0" borderId="235" xfId="2" applyNumberFormat="1" applyFont="1" applyFill="1" applyBorder="1" applyAlignment="1" applyProtection="1">
      <alignment vertical="center"/>
    </xf>
    <xf numFmtId="166" fontId="6" fillId="1" borderId="251" xfId="2" applyNumberFormat="1" applyFont="1" applyFill="1" applyBorder="1" applyAlignment="1" applyProtection="1">
      <alignment vertical="center"/>
    </xf>
    <xf numFmtId="166" fontId="6" fillId="1" borderId="252" xfId="2" applyNumberFormat="1" applyFont="1" applyFill="1" applyBorder="1" applyAlignment="1" applyProtection="1">
      <alignment vertical="center"/>
    </xf>
    <xf numFmtId="166" fontId="6" fillId="1" borderId="253" xfId="2" applyNumberFormat="1" applyFont="1" applyFill="1" applyBorder="1" applyAlignment="1" applyProtection="1">
      <alignment vertical="center"/>
    </xf>
    <xf numFmtId="166" fontId="6" fillId="0" borderId="252" xfId="2" applyNumberFormat="1" applyFont="1" applyFill="1" applyBorder="1" applyAlignment="1" applyProtection="1">
      <alignment vertical="center"/>
    </xf>
    <xf numFmtId="166" fontId="6" fillId="0" borderId="253" xfId="2" applyNumberFormat="1" applyFont="1" applyFill="1" applyBorder="1" applyAlignment="1" applyProtection="1">
      <alignment vertical="center"/>
    </xf>
    <xf numFmtId="166" fontId="6" fillId="0" borderId="251" xfId="2" applyNumberFormat="1" applyFont="1" applyFill="1" applyBorder="1" applyAlignment="1" applyProtection="1">
      <alignment vertical="center"/>
    </xf>
    <xf numFmtId="166" fontId="6" fillId="1" borderId="233" xfId="2" applyNumberFormat="1" applyFont="1" applyFill="1" applyBorder="1" applyAlignment="1" applyProtection="1">
      <alignment vertical="center"/>
    </xf>
    <xf numFmtId="166" fontId="6" fillId="14" borderId="234" xfId="2" applyNumberFormat="1" applyFont="1" applyFill="1" applyBorder="1" applyAlignment="1" applyProtection="1">
      <alignment vertical="center"/>
    </xf>
    <xf numFmtId="166" fontId="6" fillId="14" borderId="235" xfId="2" applyNumberFormat="1" applyFont="1" applyFill="1" applyBorder="1" applyAlignment="1" applyProtection="1">
      <alignment vertical="center"/>
    </xf>
    <xf numFmtId="166" fontId="6" fillId="14" borderId="160" xfId="2" applyNumberFormat="1" applyFont="1" applyFill="1" applyBorder="1" applyAlignment="1" applyProtection="1">
      <alignment vertical="center"/>
    </xf>
    <xf numFmtId="166" fontId="6" fillId="14" borderId="17" xfId="2" applyNumberFormat="1" applyFont="1" applyFill="1" applyBorder="1" applyAlignment="1" applyProtection="1">
      <alignment vertical="center"/>
    </xf>
    <xf numFmtId="166" fontId="6" fillId="0" borderId="228" xfId="2" applyNumberFormat="1" applyFont="1" applyFill="1" applyBorder="1" applyAlignment="1" applyProtection="1">
      <alignment vertical="center"/>
    </xf>
    <xf numFmtId="166" fontId="6" fillId="0" borderId="254" xfId="2" applyNumberFormat="1" applyFont="1" applyFill="1" applyBorder="1" applyAlignment="1" applyProtection="1">
      <alignment vertical="center"/>
    </xf>
    <xf numFmtId="166" fontId="6" fillId="1" borderId="255" xfId="2" applyNumberFormat="1" applyFont="1" applyFill="1" applyBorder="1" applyAlignment="1" applyProtection="1">
      <alignment vertical="center"/>
    </xf>
    <xf numFmtId="166" fontId="6" fillId="0" borderId="256" xfId="2" applyNumberFormat="1" applyFont="1" applyFill="1" applyBorder="1" applyAlignment="1" applyProtection="1">
      <alignment vertical="center"/>
    </xf>
    <xf numFmtId="166" fontId="6" fillId="0" borderId="257" xfId="2" applyNumberFormat="1" applyFont="1" applyFill="1" applyBorder="1" applyAlignment="1" applyProtection="1">
      <alignment vertical="center"/>
    </xf>
    <xf numFmtId="166" fontId="6" fillId="17" borderId="233" xfId="2" applyNumberFormat="1" applyFont="1" applyFill="1" applyBorder="1" applyAlignment="1" applyProtection="1">
      <alignment vertical="center"/>
    </xf>
    <xf numFmtId="166" fontId="6" fillId="17" borderId="234" xfId="2" applyNumberFormat="1" applyFont="1" applyFill="1" applyBorder="1" applyAlignment="1" applyProtection="1">
      <alignment vertical="center"/>
    </xf>
    <xf numFmtId="166" fontId="6" fillId="17" borderId="235" xfId="2" applyNumberFormat="1" applyFont="1" applyFill="1" applyBorder="1" applyAlignment="1" applyProtection="1">
      <alignment vertical="center"/>
    </xf>
    <xf numFmtId="166" fontId="6" fillId="17" borderId="251" xfId="2" applyNumberFormat="1" applyFont="1" applyFill="1" applyBorder="1" applyAlignment="1" applyProtection="1">
      <alignment vertical="center"/>
    </xf>
    <xf numFmtId="166" fontId="6" fillId="17" borderId="252" xfId="2" applyNumberFormat="1" applyFont="1" applyFill="1" applyBorder="1" applyAlignment="1" applyProtection="1">
      <alignment vertical="center"/>
    </xf>
    <xf numFmtId="166" fontId="6" fillId="17" borderId="253" xfId="2" applyNumberFormat="1" applyFont="1" applyFill="1" applyBorder="1" applyAlignment="1" applyProtection="1">
      <alignment vertical="center"/>
    </xf>
    <xf numFmtId="166" fontId="6" fillId="65" borderId="251" xfId="2" applyNumberFormat="1" applyFont="1" applyFill="1" applyBorder="1" applyAlignment="1" applyProtection="1">
      <alignment vertical="center"/>
    </xf>
    <xf numFmtId="166" fontId="6" fillId="65" borderId="252" xfId="2" applyNumberFormat="1" applyFont="1" applyFill="1" applyBorder="1" applyAlignment="1" applyProtection="1">
      <alignment vertical="center"/>
    </xf>
    <xf numFmtId="166" fontId="6" fillId="65" borderId="253" xfId="2" applyNumberFormat="1" applyFont="1" applyFill="1" applyBorder="1" applyAlignment="1" applyProtection="1">
      <alignment vertical="center"/>
    </xf>
    <xf numFmtId="166" fontId="6" fillId="65" borderId="40" xfId="2" applyNumberFormat="1" applyFont="1" applyFill="1" applyBorder="1" applyAlignment="1" applyProtection="1">
      <alignment vertical="center"/>
    </xf>
    <xf numFmtId="166" fontId="6" fillId="17" borderId="160" xfId="2" applyNumberFormat="1" applyFont="1" applyFill="1" applyBorder="1" applyAlignment="1" applyProtection="1">
      <alignment vertical="center"/>
    </xf>
    <xf numFmtId="166" fontId="6" fillId="17" borderId="17" xfId="2" applyNumberFormat="1" applyFont="1" applyFill="1" applyBorder="1" applyAlignment="1" applyProtection="1">
      <alignment vertical="center"/>
    </xf>
    <xf numFmtId="166" fontId="6" fillId="24" borderId="233" xfId="2" applyNumberFormat="1" applyFont="1" applyFill="1" applyBorder="1" applyAlignment="1" applyProtection="1">
      <alignment vertical="center"/>
    </xf>
    <xf numFmtId="166" fontId="6" fillId="24" borderId="234" xfId="2" applyNumberFormat="1" applyFont="1" applyFill="1" applyBorder="1" applyAlignment="1" applyProtection="1">
      <alignment vertical="center"/>
    </xf>
    <xf numFmtId="166" fontId="6" fillId="24" borderId="235" xfId="2" applyNumberFormat="1" applyFont="1" applyFill="1" applyBorder="1" applyAlignment="1" applyProtection="1">
      <alignment vertical="center"/>
    </xf>
    <xf numFmtId="166" fontId="6" fillId="24" borderId="251" xfId="2" applyNumberFormat="1" applyFont="1" applyFill="1" applyBorder="1" applyAlignment="1" applyProtection="1">
      <alignment vertical="center"/>
    </xf>
    <xf numFmtId="166" fontId="6" fillId="24" borderId="252" xfId="2" applyNumberFormat="1" applyFont="1" applyFill="1" applyBorder="1" applyAlignment="1" applyProtection="1">
      <alignment vertical="center"/>
    </xf>
    <xf numFmtId="166" fontId="6" fillId="24" borderId="253" xfId="2" applyNumberFormat="1" applyFont="1" applyFill="1" applyBorder="1" applyAlignment="1" applyProtection="1">
      <alignment vertical="center"/>
    </xf>
    <xf numFmtId="166" fontId="6" fillId="67" borderId="251" xfId="2" applyNumberFormat="1" applyFont="1" applyFill="1" applyBorder="1" applyAlignment="1" applyProtection="1">
      <alignment vertical="center"/>
    </xf>
    <xf numFmtId="166" fontId="6" fillId="67" borderId="252" xfId="2" applyNumberFormat="1" applyFont="1" applyFill="1" applyBorder="1" applyAlignment="1" applyProtection="1">
      <alignment vertical="center"/>
    </xf>
    <xf numFmtId="166" fontId="6" fillId="67" borderId="253" xfId="2" applyNumberFormat="1" applyFont="1" applyFill="1" applyBorder="1" applyAlignment="1" applyProtection="1">
      <alignment vertical="center"/>
    </xf>
    <xf numFmtId="9" fontId="6" fillId="0" borderId="234" xfId="4" applyFont="1" applyFill="1" applyBorder="1" applyAlignment="1" applyProtection="1">
      <alignment horizontal="center" vertical="center"/>
    </xf>
    <xf numFmtId="9" fontId="6" fillId="0" borderId="235" xfId="4" applyFont="1" applyFill="1" applyBorder="1" applyAlignment="1" applyProtection="1">
      <alignment horizontal="center" vertical="center"/>
    </xf>
    <xf numFmtId="9" fontId="6" fillId="1" borderId="252" xfId="4" applyFont="1" applyFill="1" applyBorder="1" applyAlignment="1" applyProtection="1">
      <alignment horizontal="center" vertical="center"/>
    </xf>
    <xf numFmtId="9" fontId="6" fillId="1" borderId="253" xfId="4" applyFont="1" applyFill="1" applyBorder="1" applyAlignment="1" applyProtection="1">
      <alignment horizontal="center" vertical="center"/>
    </xf>
    <xf numFmtId="9" fontId="6" fillId="0" borderId="252" xfId="4" applyFont="1" applyFill="1" applyBorder="1" applyAlignment="1" applyProtection="1">
      <alignment horizontal="center" vertical="center"/>
    </xf>
    <xf numFmtId="9" fontId="6" fillId="0" borderId="253" xfId="4" applyFont="1" applyFill="1" applyBorder="1" applyAlignment="1" applyProtection="1">
      <alignment horizontal="center" vertical="center"/>
    </xf>
    <xf numFmtId="9" fontId="6" fillId="0" borderId="160" xfId="4" applyFont="1" applyFill="1" applyBorder="1" applyAlignment="1" applyProtection="1">
      <alignment horizontal="center" vertical="center"/>
    </xf>
    <xf numFmtId="9" fontId="6" fillId="0" borderId="17" xfId="4" applyFont="1" applyFill="1" applyBorder="1" applyAlignment="1" applyProtection="1">
      <alignment horizontal="center" vertical="center"/>
    </xf>
    <xf numFmtId="9" fontId="6" fillId="0" borderId="257" xfId="4" applyFont="1" applyFill="1" applyBorder="1" applyAlignment="1" applyProtection="1">
      <alignment horizontal="center" vertical="center"/>
    </xf>
    <xf numFmtId="9" fontId="6" fillId="17" borderId="234" xfId="4" applyFont="1" applyFill="1" applyBorder="1" applyAlignment="1" applyProtection="1">
      <alignment horizontal="center" vertical="center"/>
    </xf>
    <xf numFmtId="9" fontId="6" fillId="17" borderId="235" xfId="4" applyFont="1" applyFill="1" applyBorder="1" applyAlignment="1" applyProtection="1">
      <alignment horizontal="center" vertical="center"/>
    </xf>
    <xf numFmtId="9" fontId="6" fillId="17" borderId="252" xfId="4" applyFont="1" applyFill="1" applyBorder="1" applyAlignment="1" applyProtection="1">
      <alignment horizontal="center" vertical="center"/>
    </xf>
    <xf numFmtId="9" fontId="6" fillId="17" borderId="253" xfId="4" applyFont="1" applyFill="1" applyBorder="1" applyAlignment="1" applyProtection="1">
      <alignment horizontal="center" vertical="center"/>
    </xf>
    <xf numFmtId="9" fontId="6" fillId="65" borderId="252" xfId="4" applyFont="1" applyFill="1" applyBorder="1" applyAlignment="1" applyProtection="1">
      <alignment horizontal="center" vertical="center"/>
    </xf>
    <xf numFmtId="9" fontId="6" fillId="65" borderId="253" xfId="4" applyFont="1" applyFill="1" applyBorder="1" applyAlignment="1" applyProtection="1">
      <alignment horizontal="center" vertical="center"/>
    </xf>
    <xf numFmtId="0" fontId="0" fillId="69" borderId="0" xfId="0" applyFill="1"/>
    <xf numFmtId="166" fontId="6" fillId="17" borderId="242" xfId="2" applyNumberFormat="1" applyFont="1" applyFill="1" applyBorder="1" applyAlignment="1" applyProtection="1">
      <alignment vertical="center"/>
    </xf>
    <xf numFmtId="166" fontId="6" fillId="17" borderId="257" xfId="2" applyNumberFormat="1" applyFont="1" applyFill="1" applyBorder="1" applyAlignment="1" applyProtection="1">
      <alignment vertical="center"/>
    </xf>
    <xf numFmtId="42" fontId="0" fillId="41" borderId="0" xfId="3" applyFont="1" applyFill="1"/>
    <xf numFmtId="0" fontId="0" fillId="0" borderId="0" xfId="0" applyAlignment="1">
      <alignment horizontal="left" vertical="top"/>
    </xf>
    <xf numFmtId="0" fontId="0" fillId="0" borderId="0" xfId="0" applyAlignment="1">
      <alignment vertical="top"/>
    </xf>
    <xf numFmtId="0" fontId="25" fillId="0" borderId="0" xfId="0" applyFont="1" applyAlignment="1">
      <alignment vertical="center"/>
    </xf>
    <xf numFmtId="0" fontId="25" fillId="0" borderId="0" xfId="0" applyFont="1" applyAlignment="1">
      <alignment horizontal="center" vertical="center"/>
    </xf>
    <xf numFmtId="9" fontId="39" fillId="0" borderId="0" xfId="4" applyFont="1" applyBorder="1" applyAlignment="1" applyProtection="1">
      <alignment vertical="center"/>
    </xf>
    <xf numFmtId="0" fontId="25" fillId="0" borderId="0" xfId="0" applyFont="1" applyAlignment="1">
      <alignment horizontal="right" vertical="center"/>
    </xf>
    <xf numFmtId="165" fontId="38" fillId="70" borderId="258" xfId="0" applyNumberFormat="1" applyFont="1" applyFill="1" applyBorder="1" applyAlignment="1">
      <alignment horizontal="center" vertical="center" wrapText="1"/>
    </xf>
    <xf numFmtId="165" fontId="38" fillId="70" borderId="259" xfId="0" applyNumberFormat="1" applyFont="1" applyFill="1" applyBorder="1" applyAlignment="1">
      <alignment horizontal="center" vertical="center" wrapText="1"/>
    </xf>
    <xf numFmtId="165" fontId="38" fillId="70" borderId="260" xfId="0" applyNumberFormat="1" applyFont="1" applyFill="1" applyBorder="1" applyAlignment="1">
      <alignment horizontal="center" vertical="center" wrapText="1"/>
    </xf>
    <xf numFmtId="165" fontId="25" fillId="2" borderId="258" xfId="0" applyNumberFormat="1" applyFont="1" applyFill="1" applyBorder="1" applyAlignment="1">
      <alignment horizontal="center" vertical="center" wrapText="1"/>
    </xf>
    <xf numFmtId="165" fontId="25" fillId="2" borderId="259" xfId="0" applyNumberFormat="1" applyFont="1" applyFill="1" applyBorder="1" applyAlignment="1">
      <alignment horizontal="center" vertical="center" wrapText="1"/>
    </xf>
    <xf numFmtId="165" fontId="25" fillId="2" borderId="260" xfId="0" applyNumberFormat="1" applyFont="1" applyFill="1" applyBorder="1" applyAlignment="1">
      <alignment horizontal="center" vertical="center" wrapText="1"/>
    </xf>
    <xf numFmtId="165" fontId="25" fillId="13" borderId="22" xfId="0" applyNumberFormat="1" applyFont="1" applyFill="1" applyBorder="1" applyAlignment="1">
      <alignment horizontal="center" vertical="center" wrapText="1"/>
    </xf>
    <xf numFmtId="165" fontId="25" fillId="13" borderId="23" xfId="0" applyNumberFormat="1" applyFont="1" applyFill="1" applyBorder="1" applyAlignment="1">
      <alignment horizontal="center" vertical="center" wrapText="1"/>
    </xf>
    <xf numFmtId="165" fontId="25" fillId="13" borderId="24" xfId="0" applyNumberFormat="1" applyFont="1" applyFill="1" applyBorder="1" applyAlignment="1">
      <alignment horizontal="center" vertical="center" wrapText="1"/>
    </xf>
    <xf numFmtId="166" fontId="28" fillId="0" borderId="28" xfId="2" applyNumberFormat="1" applyFont="1" applyFill="1" applyBorder="1" applyAlignment="1" applyProtection="1">
      <alignment vertical="center"/>
    </xf>
    <xf numFmtId="166" fontId="28" fillId="0" borderId="29" xfId="2" applyNumberFormat="1" applyFont="1" applyFill="1" applyBorder="1" applyAlignment="1" applyProtection="1">
      <alignment vertical="center"/>
    </xf>
    <xf numFmtId="166" fontId="28" fillId="0" borderId="30" xfId="2" applyNumberFormat="1" applyFont="1" applyFill="1" applyBorder="1" applyAlignment="1" applyProtection="1">
      <alignment vertical="center"/>
    </xf>
    <xf numFmtId="166" fontId="28" fillId="0" borderId="67" xfId="2" applyNumberFormat="1" applyFont="1" applyFill="1" applyBorder="1" applyAlignment="1" applyProtection="1">
      <alignment vertical="center"/>
    </xf>
    <xf numFmtId="166" fontId="28" fillId="0" borderId="65" xfId="2" applyNumberFormat="1" applyFont="1" applyFill="1" applyBorder="1" applyAlignment="1" applyProtection="1">
      <alignment vertical="center"/>
    </xf>
    <xf numFmtId="166" fontId="28" fillId="0" borderId="66" xfId="2" applyNumberFormat="1" applyFont="1" applyFill="1" applyBorder="1" applyAlignment="1" applyProtection="1">
      <alignment vertical="center"/>
    </xf>
    <xf numFmtId="168" fontId="28" fillId="6" borderId="28" xfId="2" applyNumberFormat="1" applyFont="1" applyFill="1" applyBorder="1" applyAlignment="1" applyProtection="1">
      <alignment horizontal="center" vertical="center"/>
      <protection locked="0"/>
    </xf>
    <xf numFmtId="168" fontId="28" fillId="6" borderId="29" xfId="2" applyNumberFormat="1" applyFont="1" applyFill="1" applyBorder="1" applyAlignment="1" applyProtection="1">
      <alignment horizontal="center" vertical="center"/>
      <protection locked="0"/>
    </xf>
    <xf numFmtId="168" fontId="28" fillId="6" borderId="31" xfId="2" applyNumberFormat="1" applyFont="1" applyFill="1" applyBorder="1" applyAlignment="1" applyProtection="1">
      <alignment horizontal="center" vertical="center"/>
      <protection locked="0"/>
    </xf>
    <xf numFmtId="168" fontId="25" fillId="17" borderId="68" xfId="0" applyNumberFormat="1" applyFont="1" applyFill="1" applyBorder="1" applyAlignment="1">
      <alignment horizontal="center" vertical="center"/>
    </xf>
    <xf numFmtId="166" fontId="28" fillId="1" borderId="32" xfId="2" applyNumberFormat="1" applyFont="1" applyFill="1" applyBorder="1" applyAlignment="1" applyProtection="1">
      <alignment vertical="center"/>
    </xf>
    <xf numFmtId="166" fontId="28" fillId="1" borderId="9" xfId="2" applyNumberFormat="1" applyFont="1" applyFill="1" applyBorder="1" applyAlignment="1" applyProtection="1">
      <alignment vertical="center"/>
    </xf>
    <xf numFmtId="166" fontId="28" fillId="1" borderId="10" xfId="2" applyNumberFormat="1" applyFont="1" applyFill="1" applyBorder="1" applyAlignment="1" applyProtection="1">
      <alignment vertical="center"/>
    </xf>
    <xf numFmtId="9" fontId="28" fillId="1" borderId="32" xfId="2" applyNumberFormat="1" applyFont="1" applyFill="1" applyBorder="1" applyAlignment="1" applyProtection="1">
      <alignment horizontal="center" vertical="center"/>
    </xf>
    <xf numFmtId="9" fontId="28" fillId="1" borderId="9" xfId="2" applyNumberFormat="1" applyFont="1" applyFill="1" applyBorder="1" applyAlignment="1" applyProtection="1">
      <alignment horizontal="center" vertical="center"/>
    </xf>
    <xf numFmtId="9" fontId="28" fillId="1" borderId="12" xfId="2" applyNumberFormat="1" applyFont="1" applyFill="1" applyBorder="1" applyAlignment="1" applyProtection="1">
      <alignment horizontal="center" vertical="center"/>
    </xf>
    <xf numFmtId="166" fontId="28" fillId="1" borderId="11" xfId="2" applyNumberFormat="1" applyFont="1" applyFill="1" applyBorder="1" applyAlignment="1" applyProtection="1">
      <alignment vertical="center"/>
    </xf>
    <xf numFmtId="166" fontId="28" fillId="1" borderId="12" xfId="2" applyNumberFormat="1" applyFont="1" applyFill="1" applyBorder="1" applyAlignment="1" applyProtection="1">
      <alignment vertical="center"/>
    </xf>
    <xf numFmtId="168" fontId="28" fillId="16" borderId="32" xfId="2" applyNumberFormat="1" applyFont="1" applyFill="1" applyBorder="1" applyAlignment="1" applyProtection="1">
      <alignment horizontal="center" vertical="center"/>
      <protection locked="0"/>
    </xf>
    <xf numFmtId="168" fontId="28" fillId="16" borderId="9" xfId="2" applyNumberFormat="1" applyFont="1" applyFill="1" applyBorder="1" applyAlignment="1" applyProtection="1">
      <alignment horizontal="center" vertical="center"/>
      <protection locked="0"/>
    </xf>
    <xf numFmtId="168" fontId="28" fillId="16" borderId="12" xfId="2" applyNumberFormat="1" applyFont="1" applyFill="1" applyBorder="1" applyAlignment="1" applyProtection="1">
      <alignment horizontal="center" vertical="center"/>
      <protection locked="0"/>
    </xf>
    <xf numFmtId="168" fontId="25" fillId="16" borderId="33" xfId="0" applyNumberFormat="1" applyFont="1" applyFill="1" applyBorder="1" applyAlignment="1">
      <alignment horizontal="center" vertical="center"/>
    </xf>
    <xf numFmtId="166" fontId="28" fillId="0" borderId="9" xfId="2" applyNumberFormat="1" applyFont="1" applyFill="1" applyBorder="1" applyAlignment="1" applyProtection="1">
      <alignment vertical="center"/>
    </xf>
    <xf numFmtId="166" fontId="28" fillId="0" borderId="10" xfId="2" applyNumberFormat="1" applyFont="1" applyFill="1" applyBorder="1" applyAlignment="1" applyProtection="1">
      <alignment vertical="center"/>
    </xf>
    <xf numFmtId="166" fontId="28" fillId="0" borderId="12" xfId="2" applyNumberFormat="1" applyFont="1" applyFill="1" applyBorder="1" applyAlignment="1" applyProtection="1">
      <alignment vertical="center"/>
    </xf>
    <xf numFmtId="168" fontId="28" fillId="6" borderId="9" xfId="2" applyNumberFormat="1" applyFont="1" applyFill="1" applyBorder="1" applyAlignment="1" applyProtection="1">
      <alignment horizontal="center" vertical="center"/>
      <protection locked="0"/>
    </xf>
    <xf numFmtId="168" fontId="25" fillId="17" borderId="33" xfId="0" applyNumberFormat="1" applyFont="1" applyFill="1" applyBorder="1" applyAlignment="1">
      <alignment horizontal="center" vertical="center"/>
    </xf>
    <xf numFmtId="166" fontId="28" fillId="0" borderId="32" xfId="2" applyNumberFormat="1" applyFont="1" applyFill="1" applyBorder="1" applyAlignment="1" applyProtection="1">
      <alignment vertical="center"/>
    </xf>
    <xf numFmtId="166" fontId="28" fillId="0" borderId="11" xfId="2" applyNumberFormat="1" applyFont="1" applyFill="1" applyBorder="1" applyAlignment="1" applyProtection="1">
      <alignment vertical="center"/>
    </xf>
    <xf numFmtId="168" fontId="28" fillId="6" borderId="32" xfId="2" applyNumberFormat="1" applyFont="1" applyFill="1" applyBorder="1" applyAlignment="1" applyProtection="1">
      <alignment horizontal="center" vertical="center"/>
      <protection locked="0"/>
    </xf>
    <xf numFmtId="166" fontId="28" fillId="1" borderId="40" xfId="2" applyNumberFormat="1" applyFont="1" applyFill="1" applyBorder="1" applyAlignment="1" applyProtection="1">
      <alignment vertical="center"/>
    </xf>
    <xf numFmtId="166" fontId="28" fillId="0" borderId="14" xfId="2" applyNumberFormat="1" applyFont="1" applyFill="1" applyBorder="1" applyAlignment="1" applyProtection="1">
      <alignment vertical="center"/>
    </xf>
    <xf numFmtId="166" fontId="28" fillId="0" borderId="15" xfId="2" applyNumberFormat="1" applyFont="1" applyFill="1" applyBorder="1" applyAlignment="1" applyProtection="1">
      <alignment vertical="center"/>
    </xf>
    <xf numFmtId="166" fontId="28" fillId="1" borderId="110" xfId="2" applyNumberFormat="1" applyFont="1" applyFill="1" applyBorder="1" applyAlignment="1" applyProtection="1">
      <alignment vertical="center"/>
    </xf>
    <xf numFmtId="166" fontId="28" fillId="0" borderId="93" xfId="2" applyNumberFormat="1" applyFont="1" applyFill="1" applyBorder="1" applyAlignment="1" applyProtection="1">
      <alignment vertical="center"/>
    </xf>
    <xf numFmtId="166" fontId="28" fillId="0" borderId="88" xfId="2" applyNumberFormat="1" applyFont="1" applyFill="1" applyBorder="1" applyAlignment="1" applyProtection="1">
      <alignment vertical="center"/>
    </xf>
    <xf numFmtId="168" fontId="28" fillId="16" borderId="34" xfId="2" applyNumberFormat="1" applyFont="1" applyFill="1" applyBorder="1" applyAlignment="1" applyProtection="1">
      <alignment horizontal="center" vertical="center"/>
      <protection locked="0"/>
    </xf>
    <xf numFmtId="168" fontId="28" fillId="6" borderId="35" xfId="2" applyNumberFormat="1" applyFont="1" applyFill="1" applyBorder="1" applyAlignment="1" applyProtection="1">
      <alignment horizontal="center" vertical="center"/>
      <protection locked="0"/>
    </xf>
    <xf numFmtId="168" fontId="28" fillId="6" borderId="36" xfId="2" applyNumberFormat="1" applyFont="1" applyFill="1" applyBorder="1" applyAlignment="1" applyProtection="1">
      <alignment horizontal="center" vertical="center"/>
      <protection locked="0"/>
    </xf>
    <xf numFmtId="168" fontId="25" fillId="17" borderId="50" xfId="0" applyNumberFormat="1" applyFont="1" applyFill="1" applyBorder="1" applyAlignment="1">
      <alignment horizontal="center" vertical="center"/>
    </xf>
    <xf numFmtId="166" fontId="28" fillId="1" borderId="72" xfId="2" applyNumberFormat="1" applyFont="1" applyFill="1" applyBorder="1" applyAlignment="1" applyProtection="1">
      <alignment vertical="center"/>
    </xf>
    <xf numFmtId="166" fontId="28" fillId="14" borderId="73" xfId="2" applyNumberFormat="1" applyFont="1" applyFill="1" applyBorder="1" applyAlignment="1" applyProtection="1">
      <alignment vertical="center"/>
    </xf>
    <xf numFmtId="166" fontId="28" fillId="14" borderId="74" xfId="2" applyNumberFormat="1" applyFont="1" applyFill="1" applyBorder="1" applyAlignment="1" applyProtection="1">
      <alignment vertical="center"/>
    </xf>
    <xf numFmtId="166" fontId="28" fillId="0" borderId="73" xfId="2" applyNumberFormat="1" applyFont="1" applyFill="1" applyBorder="1" applyAlignment="1" applyProtection="1">
      <alignment vertical="center"/>
    </xf>
    <xf numFmtId="166" fontId="28" fillId="0" borderId="75" xfId="2" applyNumberFormat="1" applyFont="1" applyFill="1" applyBorder="1" applyAlignment="1" applyProtection="1">
      <alignment vertical="center"/>
    </xf>
    <xf numFmtId="168" fontId="28" fillId="16" borderId="72" xfId="2" applyNumberFormat="1" applyFont="1" applyFill="1" applyBorder="1" applyAlignment="1" applyProtection="1">
      <alignment horizontal="center" vertical="center"/>
      <protection locked="0"/>
    </xf>
    <xf numFmtId="168" fontId="28" fillId="6" borderId="73" xfId="2" applyNumberFormat="1" applyFont="1" applyFill="1" applyBorder="1" applyAlignment="1" applyProtection="1">
      <alignment horizontal="center" vertical="center"/>
      <protection locked="0"/>
    </xf>
    <xf numFmtId="168" fontId="28" fillId="6" borderId="75" xfId="2" applyNumberFormat="1" applyFont="1" applyFill="1" applyBorder="1" applyAlignment="1" applyProtection="1">
      <alignment horizontal="center" vertical="center"/>
      <protection locked="0"/>
    </xf>
    <xf numFmtId="168" fontId="25" fillId="17" borderId="76" xfId="0" applyNumberFormat="1" applyFont="1" applyFill="1" applyBorder="1" applyAlignment="1">
      <alignment horizontal="center" vertical="center"/>
    </xf>
    <xf numFmtId="166" fontId="28" fillId="14" borderId="14" xfId="2" applyNumberFormat="1" applyFont="1" applyFill="1" applyBorder="1" applyAlignment="1" applyProtection="1">
      <alignment vertical="center"/>
    </xf>
    <xf numFmtId="166" fontId="28" fillId="14" borderId="15" xfId="2" applyNumberFormat="1" applyFont="1" applyFill="1" applyBorder="1" applyAlignment="1" applyProtection="1">
      <alignment vertical="center"/>
    </xf>
    <xf numFmtId="166" fontId="28" fillId="0" borderId="160" xfId="2" applyNumberFormat="1" applyFont="1" applyFill="1" applyBorder="1" applyAlignment="1" applyProtection="1">
      <alignment vertical="center"/>
    </xf>
    <xf numFmtId="166" fontId="28" fillId="0" borderId="17" xfId="2" applyNumberFormat="1" applyFont="1" applyFill="1" applyBorder="1" applyAlignment="1" applyProtection="1">
      <alignment vertical="center"/>
    </xf>
    <xf numFmtId="168" fontId="28" fillId="16" borderId="40" xfId="2" applyNumberFormat="1" applyFont="1" applyFill="1" applyBorder="1" applyAlignment="1" applyProtection="1">
      <alignment horizontal="center" vertical="center"/>
      <protection locked="0"/>
    </xf>
    <xf numFmtId="168" fontId="28" fillId="6" borderId="14" xfId="2" applyNumberFormat="1" applyFont="1" applyFill="1" applyBorder="1" applyAlignment="1" applyProtection="1">
      <alignment horizontal="center" vertical="center"/>
      <protection locked="0"/>
    </xf>
    <xf numFmtId="168" fontId="28" fillId="6" borderId="17" xfId="2" applyNumberFormat="1" applyFont="1" applyFill="1" applyBorder="1" applyAlignment="1" applyProtection="1">
      <alignment horizontal="center" vertical="center"/>
      <protection locked="0"/>
    </xf>
    <xf numFmtId="168" fontId="25" fillId="17" borderId="41" xfId="0" applyNumberFormat="1" applyFont="1" applyFill="1" applyBorder="1" applyAlignment="1">
      <alignment horizontal="center" vertical="center"/>
    </xf>
    <xf numFmtId="166" fontId="28" fillId="0" borderId="72" xfId="2" applyNumberFormat="1" applyFont="1" applyFill="1" applyBorder="1" applyAlignment="1" applyProtection="1">
      <alignment vertical="center"/>
    </xf>
    <xf numFmtId="166" fontId="28" fillId="0" borderId="37" xfId="2" applyNumberFormat="1" applyFont="1" applyFill="1" applyBorder="1" applyAlignment="1" applyProtection="1">
      <alignment vertical="center"/>
    </xf>
    <xf numFmtId="166" fontId="28" fillId="0" borderId="161" xfId="2" applyNumberFormat="1" applyFont="1" applyFill="1" applyBorder="1" applyAlignment="1" applyProtection="1">
      <alignment vertical="center"/>
    </xf>
    <xf numFmtId="166" fontId="28" fillId="0" borderId="39" xfId="2" applyNumberFormat="1" applyFont="1" applyFill="1" applyBorder="1" applyAlignment="1" applyProtection="1">
      <alignment vertical="center"/>
    </xf>
    <xf numFmtId="168" fontId="28" fillId="6" borderId="72" xfId="2" applyNumberFormat="1" applyFont="1" applyFill="1" applyBorder="1" applyAlignment="1" applyProtection="1">
      <alignment horizontal="center" vertical="center"/>
      <protection locked="0"/>
    </xf>
    <xf numFmtId="9" fontId="28" fillId="1" borderId="98" xfId="2" applyNumberFormat="1" applyFont="1" applyFill="1" applyBorder="1" applyAlignment="1" applyProtection="1">
      <alignment horizontal="center" vertical="center"/>
    </xf>
    <xf numFmtId="9" fontId="28" fillId="1" borderId="93" xfId="2" applyNumberFormat="1" applyFont="1" applyFill="1" applyBorder="1" applyAlignment="1" applyProtection="1">
      <alignment horizontal="center" vertical="center"/>
    </xf>
    <xf numFmtId="9" fontId="28" fillId="1" borderId="88" xfId="2" applyNumberFormat="1" applyFont="1" applyFill="1" applyBorder="1" applyAlignment="1" applyProtection="1">
      <alignment horizontal="center" vertical="center"/>
    </xf>
    <xf numFmtId="166" fontId="28" fillId="1" borderId="98" xfId="2" applyNumberFormat="1" applyFont="1" applyFill="1" applyBorder="1" applyAlignment="1" applyProtection="1">
      <alignment vertical="center"/>
    </xf>
    <xf numFmtId="166" fontId="28" fillId="0" borderId="64" xfId="2" applyNumberFormat="1" applyFont="1" applyFill="1" applyBorder="1" applyAlignment="1" applyProtection="1">
      <alignment vertical="center"/>
    </xf>
    <xf numFmtId="168" fontId="28" fillId="18" borderId="37" xfId="2" applyNumberFormat="1" applyFont="1" applyFill="1" applyBorder="1" applyAlignment="1" applyProtection="1">
      <alignment horizontal="center" vertical="center"/>
      <protection locked="0"/>
    </xf>
    <xf numFmtId="168" fontId="28" fillId="18" borderId="38" xfId="2" applyNumberFormat="1" applyFont="1" applyFill="1" applyBorder="1" applyAlignment="1" applyProtection="1">
      <alignment horizontal="center" vertical="center"/>
      <protection locked="0"/>
    </xf>
    <xf numFmtId="168" fontId="28" fillId="18" borderId="39" xfId="2" applyNumberFormat="1" applyFont="1" applyFill="1" applyBorder="1" applyAlignment="1" applyProtection="1">
      <alignment horizontal="center" vertical="center"/>
      <protection locked="0"/>
    </xf>
    <xf numFmtId="168" fontId="25" fillId="17" borderId="79" xfId="0" applyNumberFormat="1" applyFont="1" applyFill="1" applyBorder="1" applyAlignment="1">
      <alignment horizontal="center" vertical="center"/>
    </xf>
    <xf numFmtId="166" fontId="28" fillId="0" borderId="156" xfId="2" applyNumberFormat="1" applyFont="1" applyFill="1" applyBorder="1" applyAlignment="1" applyProtection="1">
      <alignment vertical="center"/>
    </xf>
    <xf numFmtId="166" fontId="28" fillId="0" borderId="157" xfId="2" applyNumberFormat="1" applyFont="1" applyFill="1" applyBorder="1" applyAlignment="1" applyProtection="1">
      <alignment vertical="center"/>
    </xf>
    <xf numFmtId="166" fontId="28" fillId="0" borderId="159" xfId="2" applyNumberFormat="1" applyFont="1" applyFill="1" applyBorder="1" applyAlignment="1" applyProtection="1">
      <alignment vertical="center"/>
    </xf>
    <xf numFmtId="168" fontId="28" fillId="18" borderId="32" xfId="2" applyNumberFormat="1" applyFont="1" applyFill="1" applyBorder="1" applyAlignment="1" applyProtection="1">
      <alignment horizontal="center" vertical="center"/>
      <protection locked="0"/>
    </xf>
    <xf numFmtId="168" fontId="28" fillId="18" borderId="9" xfId="2" applyNumberFormat="1" applyFont="1" applyFill="1" applyBorder="1" applyAlignment="1" applyProtection="1">
      <alignment horizontal="center" vertical="center"/>
      <protection locked="0"/>
    </xf>
    <xf numFmtId="168" fontId="28" fillId="18" borderId="12" xfId="2" applyNumberFormat="1" applyFont="1" applyFill="1" applyBorder="1" applyAlignment="1" applyProtection="1">
      <alignment horizontal="center" vertical="center"/>
      <protection locked="0"/>
    </xf>
    <xf numFmtId="166" fontId="28" fillId="1" borderId="156" xfId="2" applyNumberFormat="1" applyFont="1" applyFill="1" applyBorder="1" applyAlignment="1" applyProtection="1">
      <alignment vertical="center"/>
    </xf>
    <xf numFmtId="168" fontId="28" fillId="18" borderId="34" xfId="2" applyNumberFormat="1" applyFont="1" applyFill="1" applyBorder="1" applyAlignment="1" applyProtection="1">
      <alignment horizontal="center" vertical="center"/>
      <protection locked="0"/>
    </xf>
    <xf numFmtId="168" fontId="28" fillId="18" borderId="35" xfId="2" applyNumberFormat="1" applyFont="1" applyFill="1" applyBorder="1" applyAlignment="1" applyProtection="1">
      <alignment horizontal="center" vertical="center"/>
      <protection locked="0"/>
    </xf>
    <xf numFmtId="168" fontId="28" fillId="18" borderId="36" xfId="2" applyNumberFormat="1" applyFont="1" applyFill="1" applyBorder="1" applyAlignment="1" applyProtection="1">
      <alignment horizontal="center" vertical="center"/>
      <protection locked="0"/>
    </xf>
    <xf numFmtId="166" fontId="28" fillId="0" borderId="40" xfId="2" applyNumberFormat="1" applyFont="1" applyFill="1" applyBorder="1" applyAlignment="1" applyProtection="1">
      <alignment vertical="center"/>
    </xf>
    <xf numFmtId="166" fontId="28" fillId="0" borderId="74" xfId="2" applyNumberFormat="1" applyFont="1" applyFill="1" applyBorder="1" applyAlignment="1" applyProtection="1">
      <alignment vertical="center"/>
    </xf>
    <xf numFmtId="166" fontId="28" fillId="1" borderId="64" xfId="2" applyNumberFormat="1" applyFont="1" applyFill="1" applyBorder="1" applyAlignment="1" applyProtection="1">
      <alignment vertical="center"/>
    </xf>
    <xf numFmtId="168" fontId="28" fillId="18" borderId="73" xfId="2" applyNumberFormat="1" applyFont="1" applyFill="1" applyBorder="1" applyAlignment="1" applyProtection="1">
      <alignment horizontal="center" vertical="center"/>
      <protection locked="0"/>
    </xf>
    <xf numFmtId="168" fontId="28" fillId="18" borderId="75" xfId="2" applyNumberFormat="1" applyFont="1" applyFill="1" applyBorder="1" applyAlignment="1" applyProtection="1">
      <alignment horizontal="center" vertical="center"/>
      <protection locked="0"/>
    </xf>
    <xf numFmtId="166" fontId="28" fillId="0" borderId="175" xfId="2" applyNumberFormat="1" applyFont="1" applyFill="1" applyBorder="1" applyAlignment="1" applyProtection="1">
      <alignment vertical="center"/>
    </xf>
    <xf numFmtId="166" fontId="28" fillId="1" borderId="180" xfId="2" applyNumberFormat="1" applyFont="1" applyFill="1" applyBorder="1" applyAlignment="1" applyProtection="1">
      <alignment vertical="center"/>
    </xf>
    <xf numFmtId="166" fontId="28" fillId="0" borderId="184" xfId="2" applyNumberFormat="1" applyFont="1" applyFill="1" applyBorder="1" applyAlignment="1" applyProtection="1">
      <alignment vertical="center"/>
    </xf>
    <xf numFmtId="166" fontId="28" fillId="0" borderId="182" xfId="2" applyNumberFormat="1" applyFont="1" applyFill="1" applyBorder="1" applyAlignment="1" applyProtection="1">
      <alignment vertical="center"/>
    </xf>
    <xf numFmtId="168" fontId="28" fillId="18" borderId="14" xfId="2" applyNumberFormat="1" applyFont="1" applyFill="1" applyBorder="1" applyAlignment="1" applyProtection="1">
      <alignment horizontal="center" vertical="center"/>
      <protection locked="0"/>
    </xf>
    <xf numFmtId="168" fontId="28" fillId="18" borderId="17" xfId="2" applyNumberFormat="1" applyFont="1" applyFill="1" applyBorder="1" applyAlignment="1" applyProtection="1">
      <alignment horizontal="center" vertical="center"/>
      <protection locked="0"/>
    </xf>
    <xf numFmtId="166" fontId="28" fillId="1" borderId="37" xfId="2" applyNumberFormat="1" applyFont="1" applyFill="1" applyBorder="1" applyAlignment="1" applyProtection="1">
      <alignment vertical="center"/>
    </xf>
    <xf numFmtId="166" fontId="28" fillId="0" borderId="162" xfId="2" applyNumberFormat="1" applyFont="1" applyFill="1" applyBorder="1" applyAlignment="1" applyProtection="1">
      <alignment vertical="center"/>
    </xf>
    <xf numFmtId="168" fontId="28" fillId="16" borderId="37" xfId="2" applyNumberFormat="1" applyFont="1" applyFill="1" applyBorder="1" applyAlignment="1" applyProtection="1">
      <alignment horizontal="center" vertical="center"/>
      <protection locked="0"/>
    </xf>
    <xf numFmtId="166" fontId="28" fillId="1" borderId="34" xfId="2" applyNumberFormat="1" applyFont="1" applyFill="1" applyBorder="1" applyAlignment="1" applyProtection="1">
      <alignment vertical="center"/>
    </xf>
    <xf numFmtId="166" fontId="28" fillId="0" borderId="158" xfId="2" applyNumberFormat="1" applyFont="1" applyFill="1" applyBorder="1" applyAlignment="1" applyProtection="1">
      <alignment vertical="center"/>
    </xf>
    <xf numFmtId="166" fontId="28" fillId="0" borderId="163" xfId="2" applyNumberFormat="1" applyFont="1" applyFill="1" applyBorder="1" applyAlignment="1" applyProtection="1">
      <alignment vertical="center"/>
    </xf>
    <xf numFmtId="166" fontId="28" fillId="0" borderId="35" xfId="2" applyNumberFormat="1" applyFont="1" applyFill="1" applyBorder="1" applyAlignment="1" applyProtection="1">
      <alignment vertical="center"/>
    </xf>
    <xf numFmtId="166" fontId="28" fillId="0" borderId="48" xfId="2" applyNumberFormat="1" applyFont="1" applyFill="1" applyBorder="1" applyAlignment="1" applyProtection="1">
      <alignment vertical="center"/>
    </xf>
    <xf numFmtId="9" fontId="28" fillId="1" borderId="34" xfId="2" applyNumberFormat="1" applyFont="1" applyFill="1" applyBorder="1" applyAlignment="1" applyProtection="1">
      <alignment horizontal="center" vertical="center"/>
    </xf>
    <xf numFmtId="9" fontId="28" fillId="1" borderId="35" xfId="2" applyNumberFormat="1" applyFont="1" applyFill="1" applyBorder="1" applyAlignment="1" applyProtection="1">
      <alignment horizontal="center" vertical="center"/>
    </xf>
    <xf numFmtId="9" fontId="28" fillId="1" borderId="36" xfId="2" applyNumberFormat="1" applyFont="1" applyFill="1" applyBorder="1" applyAlignment="1" applyProtection="1">
      <alignment horizontal="center" vertical="center"/>
    </xf>
    <xf numFmtId="166" fontId="28" fillId="1" borderId="27" xfId="2" applyNumberFormat="1" applyFont="1" applyFill="1" applyBorder="1" applyAlignment="1" applyProtection="1">
      <alignment vertical="center"/>
    </xf>
    <xf numFmtId="166" fontId="28" fillId="0" borderId="36" xfId="2" applyNumberFormat="1" applyFont="1" applyFill="1" applyBorder="1" applyAlignment="1" applyProtection="1">
      <alignment vertical="center"/>
    </xf>
    <xf numFmtId="166" fontId="28" fillId="14" borderId="173" xfId="2" applyNumberFormat="1" applyFont="1" applyFill="1" applyBorder="1" applyAlignment="1" applyProtection="1">
      <alignment vertical="center"/>
    </xf>
    <xf numFmtId="166" fontId="28" fillId="14" borderId="72" xfId="2" applyNumberFormat="1" applyFont="1" applyFill="1" applyBorder="1" applyAlignment="1" applyProtection="1">
      <alignment vertical="center"/>
    </xf>
    <xf numFmtId="166" fontId="28" fillId="14" borderId="75" xfId="2" applyNumberFormat="1" applyFont="1" applyFill="1" applyBorder="1" applyAlignment="1" applyProtection="1">
      <alignment vertical="center"/>
    </xf>
    <xf numFmtId="168" fontId="28" fillId="58" borderId="173" xfId="2" applyNumberFormat="1" applyFont="1" applyFill="1" applyBorder="1" applyAlignment="1" applyProtection="1">
      <alignment horizontal="center" vertical="center"/>
      <protection locked="0"/>
    </xf>
    <xf numFmtId="168" fontId="28" fillId="58" borderId="150" xfId="2" applyNumberFormat="1" applyFont="1" applyFill="1" applyBorder="1" applyAlignment="1" applyProtection="1">
      <alignment horizontal="center" vertical="center"/>
      <protection locked="0"/>
    </xf>
    <xf numFmtId="168" fontId="28" fillId="58" borderId="151" xfId="2" applyNumberFormat="1" applyFont="1" applyFill="1" applyBorder="1" applyAlignment="1" applyProtection="1">
      <alignment horizontal="center" vertical="center"/>
      <protection locked="0"/>
    </xf>
    <xf numFmtId="166" fontId="28" fillId="14" borderId="168" xfId="2" applyNumberFormat="1" applyFont="1" applyFill="1" applyBorder="1" applyAlignment="1" applyProtection="1">
      <alignment vertical="center"/>
    </xf>
    <xf numFmtId="166" fontId="28" fillId="14" borderId="9" xfId="2" applyNumberFormat="1" applyFont="1" applyFill="1" applyBorder="1" applyAlignment="1" applyProtection="1">
      <alignment vertical="center"/>
    </xf>
    <xf numFmtId="166" fontId="28" fillId="14" borderId="10" xfId="2" applyNumberFormat="1" applyFont="1" applyFill="1" applyBorder="1" applyAlignment="1" applyProtection="1">
      <alignment vertical="center"/>
    </xf>
    <xf numFmtId="166" fontId="28" fillId="14" borderId="156" xfId="2" applyNumberFormat="1" applyFont="1" applyFill="1" applyBorder="1" applyAlignment="1" applyProtection="1">
      <alignment vertical="center"/>
    </xf>
    <xf numFmtId="166" fontId="28" fillId="14" borderId="157" xfId="2" applyNumberFormat="1" applyFont="1" applyFill="1" applyBorder="1" applyAlignment="1" applyProtection="1">
      <alignment vertical="center"/>
    </xf>
    <xf numFmtId="166" fontId="28" fillId="14" borderId="159" xfId="2" applyNumberFormat="1" applyFont="1" applyFill="1" applyBorder="1" applyAlignment="1" applyProtection="1">
      <alignment vertical="center"/>
    </xf>
    <xf numFmtId="168" fontId="28" fillId="58" borderId="168" xfId="2" applyNumberFormat="1" applyFont="1" applyFill="1" applyBorder="1" applyAlignment="1" applyProtection="1">
      <alignment horizontal="center" vertical="center"/>
      <protection locked="0"/>
    </xf>
    <xf numFmtId="168" fontId="28" fillId="58" borderId="157" xfId="2" applyNumberFormat="1" applyFont="1" applyFill="1" applyBorder="1" applyAlignment="1" applyProtection="1">
      <alignment horizontal="center" vertical="center"/>
      <protection locked="0"/>
    </xf>
    <xf numFmtId="168" fontId="28" fillId="58" borderId="159" xfId="2" applyNumberFormat="1" applyFont="1" applyFill="1" applyBorder="1" applyAlignment="1" applyProtection="1">
      <alignment horizontal="center" vertical="center"/>
      <protection locked="0"/>
    </xf>
    <xf numFmtId="168" fontId="28" fillId="6" borderId="168" xfId="2" applyNumberFormat="1" applyFont="1" applyFill="1" applyBorder="1" applyAlignment="1" applyProtection="1">
      <alignment horizontal="center" vertical="center"/>
      <protection locked="0"/>
    </xf>
    <xf numFmtId="168" fontId="28" fillId="6" borderId="12" xfId="2" applyNumberFormat="1" applyFont="1" applyFill="1" applyBorder="1" applyAlignment="1" applyProtection="1">
      <alignment horizontal="center" vertical="center"/>
      <protection locked="0"/>
    </xf>
    <xf numFmtId="166" fontId="28" fillId="16" borderId="168" xfId="2" applyNumberFormat="1" applyFont="1" applyFill="1" applyBorder="1" applyAlignment="1" applyProtection="1">
      <alignment vertical="center"/>
    </xf>
    <xf numFmtId="166" fontId="28" fillId="16" borderId="9" xfId="2" applyNumberFormat="1" applyFont="1" applyFill="1" applyBorder="1" applyAlignment="1" applyProtection="1">
      <alignment vertical="center"/>
    </xf>
    <xf numFmtId="166" fontId="28" fillId="16" borderId="10" xfId="2" applyNumberFormat="1" applyFont="1" applyFill="1" applyBorder="1" applyAlignment="1" applyProtection="1">
      <alignment vertical="center"/>
    </xf>
    <xf numFmtId="166" fontId="28" fillId="16" borderId="156" xfId="2" applyNumberFormat="1" applyFont="1" applyFill="1" applyBorder="1" applyAlignment="1" applyProtection="1">
      <alignment vertical="center"/>
    </xf>
    <xf numFmtId="166" fontId="28" fillId="16" borderId="157" xfId="2" applyNumberFormat="1" applyFont="1" applyFill="1" applyBorder="1" applyAlignment="1" applyProtection="1">
      <alignment vertical="center"/>
    </xf>
    <xf numFmtId="166" fontId="28" fillId="16" borderId="159" xfId="2" applyNumberFormat="1" applyFont="1" applyFill="1" applyBorder="1" applyAlignment="1" applyProtection="1">
      <alignment vertical="center"/>
    </xf>
    <xf numFmtId="168" fontId="28" fillId="16" borderId="168" xfId="2" applyNumberFormat="1" applyFont="1" applyFill="1" applyBorder="1" applyAlignment="1" applyProtection="1">
      <alignment horizontal="center" vertical="center"/>
      <protection locked="0"/>
    </xf>
    <xf numFmtId="9" fontId="28" fillId="1" borderId="156" xfId="2" applyNumberFormat="1" applyFont="1" applyFill="1" applyBorder="1" applyAlignment="1" applyProtection="1">
      <alignment vertical="center"/>
    </xf>
    <xf numFmtId="9" fontId="28" fillId="1" borderId="157" xfId="2" applyNumberFormat="1" applyFont="1" applyFill="1" applyBorder="1" applyAlignment="1" applyProtection="1">
      <alignment vertical="center"/>
    </xf>
    <xf numFmtId="9" fontId="28" fillId="1" borderId="158" xfId="2" applyNumberFormat="1" applyFont="1" applyFill="1" applyBorder="1" applyAlignment="1" applyProtection="1">
      <alignment vertical="center"/>
    </xf>
    <xf numFmtId="166" fontId="28" fillId="16" borderId="169" xfId="2" applyNumberFormat="1" applyFont="1" applyFill="1" applyBorder="1" applyAlignment="1" applyProtection="1">
      <alignment vertical="center"/>
    </xf>
    <xf numFmtId="9" fontId="28" fillId="1" borderId="98" xfId="2" applyNumberFormat="1" applyFont="1" applyFill="1" applyBorder="1" applyAlignment="1" applyProtection="1">
      <alignment vertical="center"/>
    </xf>
    <xf numFmtId="9" fontId="28" fillId="1" borderId="93" xfId="2" applyNumberFormat="1" applyFont="1" applyFill="1" applyBorder="1" applyAlignment="1" applyProtection="1">
      <alignment vertical="center"/>
    </xf>
    <xf numFmtId="9" fontId="28" fillId="1" borderId="95" xfId="2" applyNumberFormat="1" applyFont="1" applyFill="1" applyBorder="1" applyAlignment="1" applyProtection="1">
      <alignment vertical="center"/>
    </xf>
    <xf numFmtId="166" fontId="28" fillId="16" borderId="98" xfId="2" applyNumberFormat="1" applyFont="1" applyFill="1" applyBorder="1" applyAlignment="1" applyProtection="1">
      <alignment vertical="center"/>
    </xf>
    <xf numFmtId="166" fontId="28" fillId="14" borderId="93" xfId="2" applyNumberFormat="1" applyFont="1" applyFill="1" applyBorder="1" applyAlignment="1" applyProtection="1">
      <alignment vertical="center"/>
    </xf>
    <xf numFmtId="166" fontId="28" fillId="14" borderId="88" xfId="2" applyNumberFormat="1" applyFont="1" applyFill="1" applyBorder="1" applyAlignment="1" applyProtection="1">
      <alignment vertical="center"/>
    </xf>
    <xf numFmtId="166" fontId="28" fillId="14" borderId="262" xfId="2" applyNumberFormat="1" applyFont="1" applyFill="1" applyBorder="1" applyAlignment="1" applyProtection="1">
      <alignment vertical="center"/>
    </xf>
    <xf numFmtId="166" fontId="28" fillId="14" borderId="29" xfId="2" applyNumberFormat="1" applyFont="1" applyFill="1" applyBorder="1" applyAlignment="1" applyProtection="1">
      <alignment vertical="center"/>
    </xf>
    <xf numFmtId="166" fontId="28" fillId="14" borderId="31" xfId="2" applyNumberFormat="1" applyFont="1" applyFill="1" applyBorder="1" applyAlignment="1" applyProtection="1">
      <alignment vertical="center"/>
    </xf>
    <xf numFmtId="166" fontId="28" fillId="14" borderId="28" xfId="2" applyNumberFormat="1" applyFont="1" applyFill="1" applyBorder="1" applyAlignment="1" applyProtection="1">
      <alignment vertical="center"/>
    </xf>
    <xf numFmtId="166" fontId="28" fillId="14" borderId="264" xfId="2" applyNumberFormat="1" applyFont="1" applyFill="1" applyBorder="1" applyAlignment="1" applyProtection="1">
      <alignment vertical="center"/>
    </xf>
    <xf numFmtId="166" fontId="28" fillId="14" borderId="265" xfId="2" applyNumberFormat="1" applyFont="1" applyFill="1" applyBorder="1" applyAlignment="1" applyProtection="1">
      <alignment vertical="center"/>
    </xf>
    <xf numFmtId="166" fontId="28" fillId="14" borderId="266" xfId="2" applyNumberFormat="1" applyFont="1" applyFill="1" applyBorder="1" applyAlignment="1" applyProtection="1">
      <alignment vertical="center"/>
    </xf>
    <xf numFmtId="166" fontId="28" fillId="14" borderId="267" xfId="2" applyNumberFormat="1" applyFont="1" applyFill="1" applyBorder="1" applyAlignment="1" applyProtection="1">
      <alignment vertical="center"/>
    </xf>
    <xf numFmtId="166" fontId="28" fillId="16" borderId="264" xfId="2" applyNumberFormat="1" applyFont="1" applyFill="1" applyBorder="1" applyAlignment="1" applyProtection="1">
      <alignment vertical="center"/>
    </xf>
    <xf numFmtId="166" fontId="28" fillId="16" borderId="265" xfId="2" applyNumberFormat="1" applyFont="1" applyFill="1" applyBorder="1" applyAlignment="1" applyProtection="1">
      <alignment vertical="center"/>
    </xf>
    <xf numFmtId="166" fontId="28" fillId="16" borderId="266" xfId="2" applyNumberFormat="1" applyFont="1" applyFill="1" applyBorder="1" applyAlignment="1" applyProtection="1">
      <alignment vertical="center"/>
    </xf>
    <xf numFmtId="9" fontId="28" fillId="1" borderId="37" xfId="2" applyNumberFormat="1" applyFont="1" applyFill="1" applyBorder="1" applyAlignment="1" applyProtection="1">
      <alignment horizontal="center" vertical="center"/>
    </xf>
    <xf numFmtId="166" fontId="28" fillId="16" borderId="267" xfId="2" applyNumberFormat="1" applyFont="1" applyFill="1" applyBorder="1" applyAlignment="1" applyProtection="1">
      <alignment vertical="center"/>
    </xf>
    <xf numFmtId="9" fontId="28" fillId="1" borderId="267" xfId="2" applyNumberFormat="1" applyFont="1" applyFill="1" applyBorder="1" applyAlignment="1" applyProtection="1">
      <alignment vertical="center"/>
    </xf>
    <xf numFmtId="9" fontId="28" fillId="1" borderId="265" xfId="2" applyNumberFormat="1" applyFont="1" applyFill="1" applyBorder="1" applyAlignment="1" applyProtection="1">
      <alignment vertical="center"/>
    </xf>
    <xf numFmtId="166" fontId="28" fillId="14" borderId="160" xfId="2" applyNumberFormat="1" applyFont="1" applyFill="1" applyBorder="1" applyAlignment="1" applyProtection="1">
      <alignment vertical="center"/>
    </xf>
    <xf numFmtId="166" fontId="28" fillId="14" borderId="17" xfId="2" applyNumberFormat="1" applyFont="1" applyFill="1" applyBorder="1" applyAlignment="1" applyProtection="1">
      <alignment vertical="center"/>
    </xf>
    <xf numFmtId="166" fontId="28" fillId="16" borderId="40" xfId="2" applyNumberFormat="1" applyFont="1" applyFill="1" applyBorder="1" applyAlignment="1" applyProtection="1">
      <alignment vertical="center"/>
    </xf>
    <xf numFmtId="168" fontId="28" fillId="16" borderId="169" xfId="2" applyNumberFormat="1" applyFont="1" applyFill="1" applyBorder="1" applyAlignment="1" applyProtection="1">
      <alignment horizontal="center" vertical="center"/>
      <protection locked="0"/>
    </xf>
    <xf numFmtId="166" fontId="6" fillId="6" borderId="252" xfId="2" applyNumberFormat="1" applyFont="1" applyFill="1" applyBorder="1" applyAlignment="1" applyProtection="1">
      <alignment vertical="center"/>
    </xf>
    <xf numFmtId="0" fontId="7" fillId="14" borderId="0" xfId="0" applyFont="1" applyFill="1" applyAlignment="1">
      <alignment vertical="center"/>
    </xf>
    <xf numFmtId="0" fontId="4" fillId="14" borderId="0" xfId="0" applyFont="1" applyFill="1" applyAlignment="1">
      <alignment vertical="center"/>
    </xf>
    <xf numFmtId="9" fontId="7" fillId="14" borderId="0" xfId="4" applyFont="1" applyFill="1" applyBorder="1" applyAlignment="1" applyProtection="1">
      <alignment vertical="center"/>
    </xf>
    <xf numFmtId="9" fontId="0" fillId="14" borderId="0" xfId="4" applyFont="1" applyFill="1" applyProtection="1"/>
    <xf numFmtId="9" fontId="5" fillId="14" borderId="0" xfId="4" applyFont="1" applyFill="1" applyBorder="1" applyAlignment="1" applyProtection="1">
      <alignment horizontal="center" vertical="center"/>
    </xf>
    <xf numFmtId="165" fontId="5" fillId="14" borderId="0" xfId="0" applyNumberFormat="1" applyFont="1" applyFill="1" applyAlignment="1">
      <alignment vertical="center" wrapText="1"/>
    </xf>
    <xf numFmtId="165" fontId="5" fillId="14" borderId="0" xfId="0" applyNumberFormat="1" applyFont="1" applyFill="1" applyAlignment="1">
      <alignment horizontal="center" vertical="center" wrapText="1"/>
    </xf>
    <xf numFmtId="165" fontId="0" fillId="14" borderId="0" xfId="2" applyNumberFormat="1" applyFont="1" applyFill="1" applyBorder="1" applyAlignment="1" applyProtection="1">
      <alignment vertical="center"/>
    </xf>
    <xf numFmtId="180" fontId="0" fillId="14" borderId="0" xfId="1" applyNumberFormat="1" applyFont="1" applyFill="1" applyBorder="1" applyAlignment="1" applyProtection="1">
      <alignment vertical="center"/>
    </xf>
    <xf numFmtId="165" fontId="5" fillId="14" borderId="0" xfId="2" applyNumberFormat="1" applyFont="1" applyFill="1" applyBorder="1" applyAlignment="1" applyProtection="1">
      <alignment vertical="center"/>
    </xf>
    <xf numFmtId="165" fontId="5" fillId="14" borderId="0" xfId="2" applyNumberFormat="1" applyFont="1" applyFill="1" applyBorder="1" applyAlignment="1" applyProtection="1">
      <alignment vertical="center" wrapText="1"/>
    </xf>
    <xf numFmtId="165" fontId="5" fillId="72" borderId="0" xfId="2" applyNumberFormat="1" applyFont="1" applyFill="1" applyBorder="1" applyAlignment="1" applyProtection="1">
      <alignment vertical="center"/>
    </xf>
    <xf numFmtId="165" fontId="5" fillId="14" borderId="0" xfId="0" applyNumberFormat="1" applyFont="1" applyFill="1" applyAlignment="1">
      <alignment vertical="center"/>
    </xf>
    <xf numFmtId="9" fontId="0" fillId="14" borderId="0" xfId="4" applyFont="1" applyFill="1" applyAlignment="1">
      <alignment vertical="center"/>
    </xf>
    <xf numFmtId="9" fontId="1" fillId="14" borderId="0" xfId="4" applyFill="1"/>
    <xf numFmtId="165" fontId="5" fillId="14" borderId="0" xfId="4" applyNumberFormat="1" applyFont="1" applyFill="1" applyAlignment="1">
      <alignment vertical="center"/>
    </xf>
    <xf numFmtId="0" fontId="5" fillId="14" borderId="1" xfId="0" applyFont="1" applyFill="1" applyBorder="1" applyAlignment="1">
      <alignment horizontal="right" vertical="center"/>
    </xf>
    <xf numFmtId="0" fontId="5" fillId="14" borderId="0" xfId="0" applyFont="1" applyFill="1" applyAlignment="1" applyProtection="1">
      <alignment horizontal="center" vertical="center"/>
      <protection locked="0"/>
    </xf>
    <xf numFmtId="168" fontId="28" fillId="58" borderId="262" xfId="2" applyNumberFormat="1" applyFont="1" applyFill="1" applyBorder="1" applyAlignment="1" applyProtection="1">
      <alignment horizontal="center" vertical="center"/>
      <protection locked="0"/>
    </xf>
    <xf numFmtId="168" fontId="28" fillId="58" borderId="234" xfId="2" applyNumberFormat="1" applyFont="1" applyFill="1" applyBorder="1" applyAlignment="1" applyProtection="1">
      <alignment horizontal="center" vertical="center"/>
      <protection locked="0"/>
    </xf>
    <xf numFmtId="168" fontId="28" fillId="58" borderId="235" xfId="2" applyNumberFormat="1" applyFont="1" applyFill="1" applyBorder="1" applyAlignment="1" applyProtection="1">
      <alignment horizontal="center" vertical="center"/>
      <protection locked="0"/>
    </xf>
    <xf numFmtId="168" fontId="25" fillId="17" borderId="155" xfId="0" applyNumberFormat="1" applyFont="1" applyFill="1" applyBorder="1" applyAlignment="1">
      <alignment horizontal="center" vertical="center"/>
    </xf>
    <xf numFmtId="168" fontId="28" fillId="58" borderId="264" xfId="2" applyNumberFormat="1" applyFont="1" applyFill="1" applyBorder="1" applyAlignment="1" applyProtection="1">
      <alignment horizontal="center" vertical="center"/>
      <protection locked="0"/>
    </xf>
    <xf numFmtId="168" fontId="28" fillId="58" borderId="265" xfId="2" applyNumberFormat="1" applyFont="1" applyFill="1" applyBorder="1" applyAlignment="1" applyProtection="1">
      <alignment horizontal="center" vertical="center"/>
      <protection locked="0"/>
    </xf>
    <xf numFmtId="168" fontId="28" fillId="58" borderId="266" xfId="2" applyNumberFormat="1" applyFont="1" applyFill="1" applyBorder="1" applyAlignment="1" applyProtection="1">
      <alignment horizontal="center" vertical="center"/>
      <protection locked="0"/>
    </xf>
    <xf numFmtId="168" fontId="25" fillId="17" borderId="269" xfId="0" applyNumberFormat="1" applyFont="1" applyFill="1" applyBorder="1" applyAlignment="1">
      <alignment horizontal="center" vertical="center"/>
    </xf>
    <xf numFmtId="168" fontId="28" fillId="18" borderId="264" xfId="2" applyNumberFormat="1" applyFont="1" applyFill="1" applyBorder="1" applyAlignment="1" applyProtection="1">
      <alignment horizontal="center" vertical="center"/>
      <protection locked="0"/>
    </xf>
    <xf numFmtId="168" fontId="28" fillId="18" borderId="265" xfId="2" applyNumberFormat="1" applyFont="1" applyFill="1" applyBorder="1" applyAlignment="1" applyProtection="1">
      <alignment horizontal="center" vertical="center"/>
      <protection locked="0"/>
    </xf>
    <xf numFmtId="168" fontId="28" fillId="18" borderId="266" xfId="2" applyNumberFormat="1" applyFont="1" applyFill="1" applyBorder="1" applyAlignment="1" applyProtection="1">
      <alignment horizontal="center" vertical="center"/>
      <protection locked="0"/>
    </xf>
    <xf numFmtId="168" fontId="28" fillId="16" borderId="264" xfId="2" applyNumberFormat="1" applyFont="1" applyFill="1" applyBorder="1" applyAlignment="1" applyProtection="1">
      <alignment horizontal="center" vertical="center"/>
      <protection locked="0"/>
    </xf>
    <xf numFmtId="168" fontId="28" fillId="16" borderId="265" xfId="2" applyNumberFormat="1" applyFont="1" applyFill="1" applyBorder="1" applyAlignment="1" applyProtection="1">
      <alignment horizontal="center" vertical="center"/>
      <protection locked="0"/>
    </xf>
    <xf numFmtId="168" fontId="28" fillId="16" borderId="266" xfId="2" applyNumberFormat="1" applyFont="1" applyFill="1" applyBorder="1" applyAlignment="1" applyProtection="1">
      <alignment horizontal="center" vertical="center"/>
      <protection locked="0"/>
    </xf>
    <xf numFmtId="168" fontId="25" fillId="16" borderId="269" xfId="0" applyNumberFormat="1" applyFont="1" applyFill="1" applyBorder="1" applyAlignment="1">
      <alignment horizontal="center" vertical="center"/>
    </xf>
    <xf numFmtId="168" fontId="28" fillId="6" borderId="160" xfId="2" applyNumberFormat="1" applyFont="1" applyFill="1" applyBorder="1" applyAlignment="1" applyProtection="1">
      <alignment horizontal="center" vertical="center"/>
      <protection locked="0"/>
    </xf>
    <xf numFmtId="168" fontId="25" fillId="17" borderId="170" xfId="0" applyNumberFormat="1" applyFont="1" applyFill="1" applyBorder="1" applyAlignment="1">
      <alignment horizontal="center" vertical="center"/>
    </xf>
    <xf numFmtId="166" fontId="28" fillId="73" borderId="156" xfId="2" applyNumberFormat="1" applyFont="1" applyFill="1" applyBorder="1" applyAlignment="1" applyProtection="1">
      <alignment vertical="center"/>
    </xf>
    <xf numFmtId="9" fontId="6" fillId="23" borderId="253" xfId="4" applyFont="1" applyFill="1" applyBorder="1" applyAlignment="1" applyProtection="1">
      <alignment horizontal="center" vertical="center"/>
    </xf>
    <xf numFmtId="9" fontId="6" fillId="23" borderId="252" xfId="4" applyFont="1" applyFill="1" applyBorder="1" applyAlignment="1" applyProtection="1">
      <alignment horizontal="center" vertical="center"/>
    </xf>
    <xf numFmtId="9" fontId="6" fillId="23" borderId="234" xfId="4" applyFont="1" applyFill="1" applyBorder="1" applyAlignment="1" applyProtection="1">
      <alignment horizontal="center" vertical="center"/>
    </xf>
    <xf numFmtId="9" fontId="6" fillId="23" borderId="235" xfId="4" applyFont="1" applyFill="1" applyBorder="1" applyAlignment="1" applyProtection="1">
      <alignment horizontal="center" vertical="center"/>
    </xf>
    <xf numFmtId="9" fontId="6" fillId="23" borderId="160" xfId="4" applyFont="1" applyFill="1" applyBorder="1" applyAlignment="1" applyProtection="1">
      <alignment horizontal="center" vertical="center"/>
    </xf>
    <xf numFmtId="9" fontId="6" fillId="23" borderId="17" xfId="4" applyFont="1" applyFill="1" applyBorder="1" applyAlignment="1" applyProtection="1">
      <alignment horizontal="center" vertical="center"/>
    </xf>
    <xf numFmtId="9" fontId="6" fillId="23" borderId="254" xfId="4" applyFont="1" applyFill="1" applyBorder="1" applyAlignment="1" applyProtection="1">
      <alignment horizontal="center" vertical="center"/>
    </xf>
    <xf numFmtId="9" fontId="6" fillId="23" borderId="256" xfId="4" applyFont="1" applyFill="1" applyBorder="1" applyAlignment="1" applyProtection="1">
      <alignment horizontal="center" vertical="center"/>
    </xf>
    <xf numFmtId="9" fontId="6" fillId="74" borderId="252" xfId="4" applyFont="1" applyFill="1" applyBorder="1" applyAlignment="1" applyProtection="1">
      <alignment horizontal="center" vertical="center"/>
    </xf>
    <xf numFmtId="9" fontId="6" fillId="74" borderId="253" xfId="4" applyFont="1" applyFill="1" applyBorder="1" applyAlignment="1" applyProtection="1">
      <alignment horizontal="center" vertical="center"/>
    </xf>
    <xf numFmtId="9" fontId="6" fillId="23" borderId="228" xfId="4" applyFont="1" applyFill="1" applyBorder="1" applyAlignment="1" applyProtection="1">
      <alignment horizontal="center" vertical="center"/>
    </xf>
    <xf numFmtId="166" fontId="6" fillId="24" borderId="265" xfId="2" applyNumberFormat="1" applyFont="1" applyFill="1" applyBorder="1" applyAlignment="1" applyProtection="1">
      <alignment vertical="center"/>
    </xf>
    <xf numFmtId="0" fontId="5" fillId="14" borderId="0" xfId="39" applyFont="1" applyFill="1" applyAlignment="1">
      <alignment vertical="center"/>
    </xf>
    <xf numFmtId="0" fontId="5" fillId="14" borderId="0" xfId="39" applyFont="1" applyFill="1" applyAlignment="1">
      <alignment horizontal="center" vertical="center"/>
    </xf>
    <xf numFmtId="183" fontId="7" fillId="14" borderId="0" xfId="40" applyFont="1" applyFill="1" applyAlignment="1">
      <alignment vertical="center"/>
    </xf>
    <xf numFmtId="0" fontId="5" fillId="14" borderId="1" xfId="39" applyFont="1" applyFill="1" applyBorder="1" applyAlignment="1">
      <alignment horizontal="right" vertical="center"/>
    </xf>
    <xf numFmtId="0" fontId="8" fillId="14" borderId="240" xfId="39" applyFont="1" applyFill="1" applyBorder="1" applyAlignment="1" applyProtection="1">
      <alignment horizontal="center" vertical="center"/>
      <protection locked="0"/>
    </xf>
    <xf numFmtId="0" fontId="8" fillId="14" borderId="223" xfId="39" applyFont="1" applyFill="1" applyBorder="1" applyAlignment="1">
      <alignment horizontal="center" vertical="center"/>
    </xf>
    <xf numFmtId="0" fontId="8" fillId="14" borderId="0" xfId="39" applyFont="1" applyFill="1" applyAlignment="1">
      <alignment horizontal="center" vertical="center"/>
    </xf>
    <xf numFmtId="0" fontId="5" fillId="14" borderId="0" xfId="39" applyFont="1" applyFill="1" applyAlignment="1">
      <alignment horizontal="right" vertical="center"/>
    </xf>
    <xf numFmtId="0" fontId="6" fillId="14" borderId="0" xfId="39" applyFill="1"/>
    <xf numFmtId="0" fontId="6" fillId="14" borderId="0" xfId="39" applyFill="1" applyAlignment="1">
      <alignment horizontal="left" vertical="center"/>
    </xf>
    <xf numFmtId="173" fontId="5" fillId="14" borderId="0" xfId="39" applyNumberFormat="1" applyFont="1" applyFill="1" applyAlignment="1">
      <alignment horizontal="right" vertical="center"/>
    </xf>
    <xf numFmtId="0" fontId="17" fillId="14" borderId="0" xfId="39" applyFont="1" applyFill="1" applyAlignment="1">
      <alignment horizontal="left" vertical="center" indent="2"/>
    </xf>
    <xf numFmtId="167" fontId="5" fillId="24" borderId="215" xfId="40" applyNumberFormat="1" applyFont="1" applyFill="1" applyBorder="1" applyAlignment="1">
      <alignment horizontal="center" vertical="center"/>
    </xf>
    <xf numFmtId="183" fontId="0" fillId="14" borderId="0" xfId="40" applyFont="1" applyFill="1"/>
    <xf numFmtId="173" fontId="28" fillId="36" borderId="217" xfId="0" applyNumberFormat="1" applyFont="1" applyFill="1" applyBorder="1" applyAlignment="1">
      <alignment horizontal="right" vertical="center"/>
    </xf>
    <xf numFmtId="0" fontId="8" fillId="14" borderId="85" xfId="0" applyFont="1" applyFill="1" applyBorder="1" applyAlignment="1">
      <alignment horizontal="center" vertical="center"/>
    </xf>
    <xf numFmtId="0" fontId="8" fillId="14" borderId="0" xfId="0" applyFont="1" applyFill="1" applyAlignment="1">
      <alignment horizontal="center" vertical="center"/>
    </xf>
    <xf numFmtId="0" fontId="17" fillId="14" borderId="0" xfId="0" applyFont="1" applyFill="1" applyAlignment="1">
      <alignment horizontal="center" vertical="center"/>
    </xf>
    <xf numFmtId="0" fontId="17" fillId="14" borderId="0" xfId="0" applyFont="1" applyFill="1" applyAlignment="1">
      <alignment horizontal="left" vertical="center" indent="2"/>
    </xf>
    <xf numFmtId="0" fontId="5" fillId="14" borderId="0" xfId="0" applyFont="1" applyFill="1" applyAlignment="1">
      <alignment horizontal="center"/>
    </xf>
    <xf numFmtId="0" fontId="5" fillId="14" borderId="0" xfId="0" applyFont="1" applyFill="1" applyAlignment="1">
      <alignment horizontal="center" vertical="center" wrapText="1"/>
    </xf>
    <xf numFmtId="166" fontId="0" fillId="14" borderId="0" xfId="0" applyNumberFormat="1" applyFill="1"/>
    <xf numFmtId="182" fontId="0" fillId="14" borderId="0" xfId="0" applyNumberFormat="1" applyFill="1"/>
    <xf numFmtId="173" fontId="5" fillId="23" borderId="9" xfId="0" applyNumberFormat="1" applyFont="1" applyFill="1" applyBorder="1" applyAlignment="1">
      <alignment horizontal="center" vertical="center"/>
    </xf>
    <xf numFmtId="42" fontId="0" fillId="14" borderId="0" xfId="3" applyFont="1" applyFill="1" applyBorder="1"/>
    <xf numFmtId="42" fontId="0" fillId="14" borderId="0" xfId="0" applyNumberFormat="1" applyFill="1"/>
    <xf numFmtId="9" fontId="0" fillId="14" borderId="0" xfId="4" applyFont="1" applyFill="1" applyBorder="1"/>
    <xf numFmtId="0" fontId="0" fillId="14" borderId="0" xfId="0" applyFill="1" applyProtection="1">
      <protection locked="0"/>
    </xf>
    <xf numFmtId="0" fontId="5" fillId="14" borderId="0" xfId="0" applyFont="1" applyFill="1" applyAlignment="1" applyProtection="1">
      <alignment vertical="center"/>
      <protection locked="0"/>
    </xf>
    <xf numFmtId="0" fontId="5" fillId="14" borderId="0" xfId="0" applyFont="1" applyFill="1" applyAlignment="1" applyProtection="1">
      <alignment horizontal="left" vertical="center"/>
      <protection locked="0"/>
    </xf>
    <xf numFmtId="0" fontId="0" fillId="14" borderId="0" xfId="0" applyFill="1" applyAlignment="1" applyProtection="1">
      <alignment horizontal="left" vertical="center" wrapText="1"/>
      <protection locked="0"/>
    </xf>
    <xf numFmtId="0" fontId="26" fillId="14" borderId="0" xfId="0" applyFont="1" applyFill="1" applyProtection="1">
      <protection locked="0"/>
    </xf>
    <xf numFmtId="42" fontId="0" fillId="14" borderId="0" xfId="3" applyFont="1" applyFill="1" applyProtection="1">
      <protection locked="0"/>
    </xf>
    <xf numFmtId="0" fontId="5" fillId="14" borderId="0" xfId="0" applyFont="1" applyFill="1" applyProtection="1">
      <protection locked="0"/>
    </xf>
    <xf numFmtId="9" fontId="1" fillId="14" borderId="0" xfId="4" applyFill="1" applyAlignment="1">
      <alignment horizontal="center"/>
    </xf>
    <xf numFmtId="179" fontId="0" fillId="14" borderId="0" xfId="0" applyNumberFormat="1" applyFill="1"/>
    <xf numFmtId="9" fontId="0" fillId="14" borderId="0" xfId="0" applyNumberFormat="1" applyFill="1"/>
    <xf numFmtId="166" fontId="28" fillId="0" borderId="262" xfId="2" applyNumberFormat="1" applyFont="1" applyFill="1" applyBorder="1" applyAlignment="1" applyProtection="1">
      <alignment vertical="center"/>
    </xf>
    <xf numFmtId="166" fontId="28" fillId="0" borderId="276" xfId="2" applyNumberFormat="1" applyFont="1" applyFill="1" applyBorder="1" applyAlignment="1" applyProtection="1">
      <alignment vertical="center"/>
    </xf>
    <xf numFmtId="166" fontId="28" fillId="1" borderId="276" xfId="2" applyNumberFormat="1" applyFont="1" applyFill="1" applyBorder="1" applyAlignment="1" applyProtection="1">
      <alignment vertical="center"/>
    </xf>
    <xf numFmtId="166" fontId="28" fillId="0" borderId="277" xfId="2" applyNumberFormat="1" applyFont="1" applyFill="1" applyBorder="1" applyAlignment="1" applyProtection="1">
      <alignment vertical="center"/>
    </xf>
    <xf numFmtId="166" fontId="28" fillId="1" borderId="262" xfId="2" applyNumberFormat="1" applyFont="1" applyFill="1" applyBorder="1" applyAlignment="1" applyProtection="1">
      <alignment vertical="center"/>
    </xf>
    <xf numFmtId="166" fontId="28" fillId="1" borderId="277" xfId="2" applyNumberFormat="1" applyFont="1" applyFill="1" applyBorder="1" applyAlignment="1" applyProtection="1">
      <alignment vertical="center"/>
    </xf>
    <xf numFmtId="166" fontId="28" fillId="14" borderId="276" xfId="2" applyNumberFormat="1" applyFont="1" applyFill="1" applyBorder="1" applyAlignment="1" applyProtection="1">
      <alignment vertical="center"/>
    </xf>
    <xf numFmtId="9" fontId="28" fillId="1" borderId="188" xfId="2" applyNumberFormat="1" applyFont="1" applyFill="1" applyBorder="1" applyAlignment="1" applyProtection="1">
      <alignment horizontal="center" vertical="center"/>
    </xf>
    <xf numFmtId="9" fontId="28" fillId="1" borderId="162" xfId="2" applyNumberFormat="1" applyFont="1" applyFill="1" applyBorder="1" applyAlignment="1" applyProtection="1">
      <alignment horizontal="center" vertical="center"/>
    </xf>
    <xf numFmtId="166" fontId="28" fillId="14" borderId="153" xfId="2" applyNumberFormat="1" applyFont="1" applyFill="1" applyBorder="1" applyAlignment="1" applyProtection="1">
      <alignment vertical="center"/>
    </xf>
    <xf numFmtId="166" fontId="28" fillId="14" borderId="268" xfId="2" applyNumberFormat="1" applyFont="1" applyFill="1" applyBorder="1" applyAlignment="1" applyProtection="1">
      <alignment vertical="center"/>
    </xf>
    <xf numFmtId="166" fontId="28" fillId="16" borderId="268" xfId="2" applyNumberFormat="1" applyFont="1" applyFill="1" applyBorder="1" applyAlignment="1" applyProtection="1">
      <alignment vertical="center"/>
    </xf>
    <xf numFmtId="166" fontId="28" fillId="14" borderId="281" xfId="2" applyNumberFormat="1" applyFont="1" applyFill="1" applyBorder="1" applyAlignment="1" applyProtection="1">
      <alignment vertical="center"/>
    </xf>
    <xf numFmtId="166" fontId="28" fillId="16" borderId="276" xfId="2" applyNumberFormat="1" applyFont="1" applyFill="1" applyBorder="1" applyAlignment="1" applyProtection="1">
      <alignment vertical="center"/>
    </xf>
    <xf numFmtId="166" fontId="28" fillId="16" borderId="277" xfId="2" applyNumberFormat="1" applyFont="1" applyFill="1" applyBorder="1" applyAlignment="1" applyProtection="1">
      <alignment vertical="center"/>
    </xf>
    <xf numFmtId="9" fontId="28" fillId="1" borderId="39" xfId="2" applyNumberFormat="1" applyFont="1" applyFill="1" applyBorder="1" applyAlignment="1" applyProtection="1">
      <alignment horizontal="center" vertical="center"/>
    </xf>
    <xf numFmtId="9" fontId="28" fillId="1" borderId="266" xfId="2" applyNumberFormat="1" applyFont="1" applyFill="1" applyBorder="1" applyAlignment="1" applyProtection="1">
      <alignment vertical="center"/>
    </xf>
    <xf numFmtId="9" fontId="28" fillId="1" borderId="270" xfId="2" applyNumberFormat="1" applyFont="1" applyFill="1" applyBorder="1" applyAlignment="1" applyProtection="1">
      <alignment vertical="center"/>
    </xf>
    <xf numFmtId="9" fontId="28" fillId="1" borderId="271" xfId="2" applyNumberFormat="1" applyFont="1" applyFill="1" applyBorder="1" applyAlignment="1" applyProtection="1">
      <alignment vertical="center"/>
    </xf>
    <xf numFmtId="9" fontId="28" fillId="1" borderId="272" xfId="2" applyNumberFormat="1" applyFont="1" applyFill="1" applyBorder="1" applyAlignment="1" applyProtection="1">
      <alignment vertical="center"/>
    </xf>
    <xf numFmtId="167" fontId="28" fillId="6" borderId="233" xfId="2" applyNumberFormat="1" applyFont="1" applyFill="1" applyBorder="1" applyAlignment="1" applyProtection="1">
      <alignment horizontal="center" vertical="center"/>
    </xf>
    <xf numFmtId="165" fontId="25" fillId="7" borderId="25" xfId="0" applyNumberFormat="1" applyFont="1" applyFill="1" applyBorder="1" applyAlignment="1">
      <alignment horizontal="center" vertical="center" wrapText="1"/>
    </xf>
    <xf numFmtId="165" fontId="25" fillId="7" borderId="282" xfId="0" applyNumberFormat="1" applyFont="1" applyFill="1" applyBorder="1" applyAlignment="1">
      <alignment horizontal="center" vertical="center" wrapText="1"/>
    </xf>
    <xf numFmtId="165" fontId="25" fillId="7" borderId="26" xfId="0" applyNumberFormat="1" applyFont="1" applyFill="1" applyBorder="1" applyAlignment="1">
      <alignment horizontal="center" vertical="center" wrapText="1"/>
    </xf>
    <xf numFmtId="9" fontId="28" fillId="1" borderId="273" xfId="2" applyNumberFormat="1" applyFont="1" applyFill="1" applyBorder="1" applyAlignment="1" applyProtection="1">
      <alignment horizontal="center" vertical="center"/>
    </xf>
    <xf numFmtId="9" fontId="28" fillId="1" borderId="228" xfId="2" applyNumberFormat="1" applyFont="1" applyFill="1" applyBorder="1" applyAlignment="1" applyProtection="1">
      <alignment horizontal="center" vertical="center"/>
    </xf>
    <xf numFmtId="9" fontId="28" fillId="1" borderId="254" xfId="2" applyNumberFormat="1" applyFont="1" applyFill="1" applyBorder="1" applyAlignment="1" applyProtection="1">
      <alignment horizontal="center" vertical="center"/>
    </xf>
    <xf numFmtId="167" fontId="28" fillId="6" borderId="234" xfId="2" applyNumberFormat="1" applyFont="1" applyFill="1" applyBorder="1" applyAlignment="1" applyProtection="1">
      <alignment horizontal="center" vertical="center"/>
    </xf>
    <xf numFmtId="167" fontId="28" fillId="6" borderId="235" xfId="2" applyNumberFormat="1" applyFont="1" applyFill="1" applyBorder="1" applyAlignment="1" applyProtection="1">
      <alignment horizontal="center" vertical="center"/>
    </xf>
    <xf numFmtId="9" fontId="28" fillId="1" borderId="251" xfId="2" applyNumberFormat="1" applyFont="1" applyFill="1" applyBorder="1" applyAlignment="1" applyProtection="1">
      <alignment horizontal="center" vertical="center"/>
    </xf>
    <xf numFmtId="9" fontId="28" fillId="1" borderId="252" xfId="2" applyNumberFormat="1" applyFont="1" applyFill="1" applyBorder="1" applyAlignment="1" applyProtection="1">
      <alignment horizontal="center" vertical="center"/>
    </xf>
    <xf numFmtId="9" fontId="28" fillId="1" borderId="253" xfId="2" applyNumberFormat="1" applyFont="1" applyFill="1" applyBorder="1" applyAlignment="1" applyProtection="1">
      <alignment horizontal="center" vertical="center"/>
    </xf>
    <xf numFmtId="167" fontId="28" fillId="6" borderId="273" xfId="2" applyNumberFormat="1" applyFont="1" applyFill="1" applyBorder="1" applyAlignment="1" applyProtection="1">
      <alignment horizontal="center" vertical="center"/>
    </xf>
    <xf numFmtId="167" fontId="28" fillId="6" borderId="228" xfId="2" applyNumberFormat="1" applyFont="1" applyFill="1" applyBorder="1" applyAlignment="1" applyProtection="1">
      <alignment horizontal="center" vertical="center"/>
    </xf>
    <xf numFmtId="167" fontId="28" fillId="6" borderId="254" xfId="2" applyNumberFormat="1" applyFont="1" applyFill="1" applyBorder="1" applyAlignment="1" applyProtection="1">
      <alignment horizontal="center" vertical="center"/>
    </xf>
    <xf numFmtId="167" fontId="28" fillId="6" borderId="189" xfId="2" applyNumberFormat="1" applyFont="1" applyFill="1" applyBorder="1" applyAlignment="1" applyProtection="1">
      <alignment horizontal="center" vertical="center"/>
    </xf>
    <xf numFmtId="167" fontId="28" fillId="6" borderId="274" xfId="2" applyNumberFormat="1" applyFont="1" applyFill="1" applyBorder="1" applyAlignment="1" applyProtection="1">
      <alignment horizontal="center" vertical="center"/>
    </xf>
    <xf numFmtId="167" fontId="28" fillId="6" borderId="275" xfId="2" applyNumberFormat="1" applyFont="1" applyFill="1" applyBorder="1" applyAlignment="1" applyProtection="1">
      <alignment horizontal="center" vertical="center"/>
    </xf>
    <xf numFmtId="167" fontId="28" fillId="6" borderId="37" xfId="2" applyNumberFormat="1" applyFont="1" applyFill="1" applyBorder="1" applyAlignment="1" applyProtection="1">
      <alignment horizontal="center" vertical="center"/>
    </xf>
    <xf numFmtId="167" fontId="28" fillId="6" borderId="38" xfId="2" applyNumberFormat="1" applyFont="1" applyFill="1" applyBorder="1" applyAlignment="1" applyProtection="1">
      <alignment horizontal="center" vertical="center"/>
    </xf>
    <xf numFmtId="167" fontId="28" fillId="6" borderId="39" xfId="2" applyNumberFormat="1" applyFont="1" applyFill="1" applyBorder="1" applyAlignment="1" applyProtection="1">
      <alignment horizontal="center" vertical="center"/>
    </xf>
    <xf numFmtId="167" fontId="28" fillId="6" borderId="267" xfId="2" applyNumberFormat="1" applyFont="1" applyFill="1" applyBorder="1" applyAlignment="1" applyProtection="1">
      <alignment horizontal="center" vertical="center"/>
    </xf>
    <xf numFmtId="167" fontId="28" fillId="6" borderId="265" xfId="2" applyNumberFormat="1" applyFont="1" applyFill="1" applyBorder="1" applyAlignment="1" applyProtection="1">
      <alignment horizontal="center" vertical="center"/>
    </xf>
    <xf numFmtId="167" fontId="28" fillId="6" borderId="266" xfId="2" applyNumberFormat="1" applyFont="1" applyFill="1" applyBorder="1" applyAlignment="1" applyProtection="1">
      <alignment horizontal="center" vertical="center"/>
    </xf>
    <xf numFmtId="167" fontId="28" fillId="6" borderId="270" xfId="2" applyNumberFormat="1" applyFont="1" applyFill="1" applyBorder="1" applyAlignment="1" applyProtection="1">
      <alignment horizontal="center" vertical="center"/>
    </xf>
    <xf numFmtId="167" fontId="28" fillId="6" borderId="271" xfId="2" applyNumberFormat="1" applyFont="1" applyFill="1" applyBorder="1" applyAlignment="1" applyProtection="1">
      <alignment horizontal="center" vertical="center"/>
    </xf>
    <xf numFmtId="167" fontId="28" fillId="6" borderId="272" xfId="2" applyNumberFormat="1" applyFont="1" applyFill="1" applyBorder="1" applyAlignment="1" applyProtection="1">
      <alignment horizontal="center" vertical="center"/>
    </xf>
    <xf numFmtId="167" fontId="28" fillId="6" borderId="96" xfId="2" applyNumberFormat="1" applyFont="1" applyFill="1" applyBorder="1" applyAlignment="1" applyProtection="1">
      <alignment horizontal="center" vertical="center"/>
    </xf>
    <xf numFmtId="167" fontId="28" fillId="6" borderId="102" xfId="2" applyNumberFormat="1" applyFont="1" applyFill="1" applyBorder="1" applyAlignment="1" applyProtection="1">
      <alignment horizontal="center" vertical="center"/>
    </xf>
    <xf numFmtId="167" fontId="28" fillId="6" borderId="97" xfId="2" applyNumberFormat="1" applyFont="1" applyFill="1" applyBorder="1" applyAlignment="1" applyProtection="1">
      <alignment horizontal="center" vertical="center"/>
    </xf>
    <xf numFmtId="167" fontId="28" fillId="6" borderId="278" xfId="2" applyNumberFormat="1" applyFont="1" applyFill="1" applyBorder="1" applyAlignment="1" applyProtection="1">
      <alignment horizontal="center" vertical="center"/>
    </xf>
    <xf numFmtId="167" fontId="28" fillId="6" borderId="279" xfId="2" applyNumberFormat="1" applyFont="1" applyFill="1" applyBorder="1" applyAlignment="1" applyProtection="1">
      <alignment horizontal="center" vertical="center"/>
    </xf>
    <xf numFmtId="167" fontId="28" fillId="6" borderId="280" xfId="2" applyNumberFormat="1" applyFont="1" applyFill="1" applyBorder="1" applyAlignment="1" applyProtection="1">
      <alignment horizontal="center" vertical="center"/>
    </xf>
    <xf numFmtId="167" fontId="28" fillId="6" borderId="161" xfId="2" applyNumberFormat="1" applyFont="1" applyFill="1" applyBorder="1" applyAlignment="1" applyProtection="1">
      <alignment horizontal="center" vertical="center"/>
    </xf>
    <xf numFmtId="42" fontId="2" fillId="0" borderId="0" xfId="3" applyFont="1" applyAlignment="1">
      <alignment horizontal="center"/>
    </xf>
    <xf numFmtId="166" fontId="28" fillId="0" borderId="0" xfId="2" applyNumberFormat="1" applyFont="1" applyFill="1" applyBorder="1" applyAlignment="1" applyProtection="1">
      <alignment vertical="center"/>
    </xf>
    <xf numFmtId="42" fontId="0" fillId="0" borderId="0" xfId="3" applyFont="1" applyFill="1"/>
    <xf numFmtId="173" fontId="5" fillId="24" borderId="215" xfId="39" applyNumberFormat="1" applyFont="1" applyFill="1" applyBorder="1" applyAlignment="1">
      <alignment horizontal="center" vertical="center"/>
    </xf>
    <xf numFmtId="0" fontId="2" fillId="14" borderId="0" xfId="0" applyFont="1" applyFill="1"/>
    <xf numFmtId="49" fontId="2" fillId="14" borderId="0" xfId="0" applyNumberFormat="1" applyFont="1" applyFill="1"/>
    <xf numFmtId="167" fontId="5" fillId="14" borderId="0" xfId="4" applyNumberFormat="1" applyFont="1" applyFill="1" applyBorder="1" applyAlignment="1" applyProtection="1">
      <alignment horizontal="center" vertical="center"/>
    </xf>
    <xf numFmtId="167" fontId="2" fillId="14" borderId="0" xfId="0" applyNumberFormat="1" applyFont="1" applyFill="1" applyAlignment="1">
      <alignment horizontal="center"/>
    </xf>
    <xf numFmtId="167" fontId="5" fillId="23" borderId="252" xfId="4" applyNumberFormat="1" applyFont="1" applyFill="1" applyBorder="1" applyAlignment="1" applyProtection="1">
      <alignment horizontal="center" vertical="center"/>
    </xf>
    <xf numFmtId="0" fontId="0" fillId="14" borderId="129" xfId="0" applyFill="1" applyBorder="1"/>
    <xf numFmtId="0" fontId="0" fillId="14" borderId="194" xfId="0" applyFill="1" applyBorder="1"/>
    <xf numFmtId="0" fontId="0" fillId="14" borderId="45" xfId="0" applyFill="1" applyBorder="1"/>
    <xf numFmtId="167" fontId="28" fillId="0" borderId="159" xfId="2" applyNumberFormat="1" applyFont="1" applyFill="1" applyBorder="1" applyAlignment="1" applyProtection="1">
      <alignment horizontal="center" vertical="center"/>
    </xf>
    <xf numFmtId="167" fontId="28" fillId="0" borderId="17" xfId="2" applyNumberFormat="1" applyFont="1" applyFill="1" applyBorder="1" applyAlignment="1" applyProtection="1">
      <alignment horizontal="center" vertical="center"/>
    </xf>
    <xf numFmtId="167" fontId="28" fillId="0" borderId="75" xfId="2" applyNumberFormat="1" applyFont="1" applyFill="1" applyBorder="1" applyAlignment="1" applyProtection="1">
      <alignment horizontal="center" vertical="center"/>
    </xf>
    <xf numFmtId="167" fontId="28" fillId="0" borderId="39" xfId="2" applyNumberFormat="1" applyFont="1" applyFill="1" applyBorder="1" applyAlignment="1" applyProtection="1">
      <alignment horizontal="center" vertical="center"/>
    </xf>
    <xf numFmtId="167" fontId="28" fillId="0" borderId="176" xfId="2" applyNumberFormat="1" applyFont="1" applyFill="1" applyBorder="1" applyAlignment="1" applyProtection="1">
      <alignment horizontal="center" vertical="center"/>
    </xf>
    <xf numFmtId="167" fontId="28" fillId="0" borderId="43" xfId="2" applyNumberFormat="1" applyFont="1" applyFill="1" applyBorder="1" applyAlignment="1" applyProtection="1">
      <alignment horizontal="center" vertical="center"/>
    </xf>
    <xf numFmtId="168" fontId="28" fillId="18" borderId="14" xfId="2" quotePrefix="1" applyNumberFormat="1" applyFont="1" applyFill="1" applyBorder="1" applyAlignment="1" applyProtection="1">
      <alignment horizontal="center" vertical="center"/>
      <protection locked="0"/>
    </xf>
    <xf numFmtId="173" fontId="6" fillId="36" borderId="44" xfId="39" applyNumberFormat="1" applyFill="1" applyBorder="1" applyAlignment="1">
      <alignment horizontal="right" vertical="center"/>
    </xf>
    <xf numFmtId="173" fontId="6" fillId="36" borderId="178" xfId="39" applyNumberFormat="1" applyFill="1" applyBorder="1" applyAlignment="1">
      <alignment horizontal="right" vertical="center"/>
    </xf>
    <xf numFmtId="173" fontId="6" fillId="0" borderId="195" xfId="39" applyNumberFormat="1" applyBorder="1" applyAlignment="1">
      <alignment horizontal="right" vertical="center"/>
    </xf>
    <xf numFmtId="173" fontId="6" fillId="36" borderId="246" xfId="39" applyNumberFormat="1" applyFill="1" applyBorder="1" applyAlignment="1">
      <alignment horizontal="right" vertical="center"/>
    </xf>
    <xf numFmtId="173" fontId="6" fillId="0" borderId="247" xfId="39" applyNumberFormat="1" applyBorder="1" applyAlignment="1">
      <alignment horizontal="right" vertical="center"/>
    </xf>
    <xf numFmtId="173" fontId="6" fillId="36" borderId="170" xfId="39" applyNumberFormat="1" applyFill="1" applyBorder="1" applyAlignment="1">
      <alignment horizontal="right" vertical="center"/>
    </xf>
    <xf numFmtId="166" fontId="21" fillId="6" borderId="228" xfId="11" applyNumberFormat="1" applyFont="1" applyFill="1" applyBorder="1" applyAlignment="1" applyProtection="1">
      <alignment vertical="center"/>
      <protection locked="0"/>
    </xf>
    <xf numFmtId="166" fontId="21" fillId="6" borderId="227" xfId="11" applyNumberFormat="1" applyFont="1" applyFill="1" applyBorder="1" applyAlignment="1" applyProtection="1">
      <alignment vertical="center"/>
      <protection locked="0"/>
    </xf>
    <xf numFmtId="166" fontId="21" fillId="6" borderId="215" xfId="11" applyNumberFormat="1" applyFont="1" applyFill="1" applyBorder="1" applyAlignment="1" applyProtection="1">
      <alignment vertical="center"/>
      <protection locked="0"/>
    </xf>
    <xf numFmtId="166" fontId="21" fillId="6" borderId="216" xfId="11" applyNumberFormat="1" applyFont="1" applyFill="1" applyBorder="1" applyAlignment="1" applyProtection="1">
      <alignment vertical="center"/>
      <protection locked="0"/>
    </xf>
    <xf numFmtId="166" fontId="21" fillId="6" borderId="160" xfId="11" applyNumberFormat="1" applyFont="1" applyFill="1" applyBorder="1" applyAlignment="1" applyProtection="1">
      <alignment vertical="center"/>
      <protection locked="0"/>
    </xf>
    <xf numFmtId="166" fontId="21" fillId="6" borderId="175" xfId="11" applyNumberFormat="1" applyFont="1" applyFill="1" applyBorder="1" applyAlignment="1" applyProtection="1">
      <alignment vertical="center"/>
      <protection locked="0"/>
    </xf>
    <xf numFmtId="166" fontId="21" fillId="6" borderId="234" xfId="11" applyNumberFormat="1" applyFont="1" applyFill="1" applyBorder="1" applyAlignment="1" applyProtection="1">
      <alignment vertical="center"/>
      <protection locked="0"/>
    </xf>
    <xf numFmtId="166" fontId="21" fillId="6" borderId="153" xfId="11" applyNumberFormat="1" applyFont="1" applyFill="1" applyBorder="1" applyAlignment="1" applyProtection="1">
      <alignment vertical="center"/>
      <protection locked="0"/>
    </xf>
    <xf numFmtId="166" fontId="21" fillId="6" borderId="242" xfId="11" applyNumberFormat="1" applyFont="1" applyFill="1" applyBorder="1" applyAlignment="1" applyProtection="1">
      <alignment vertical="center"/>
      <protection locked="0"/>
    </xf>
    <xf numFmtId="166" fontId="21" fillId="6" borderId="127" xfId="11" applyNumberFormat="1" applyFont="1" applyFill="1" applyBorder="1" applyAlignment="1" applyProtection="1">
      <alignment vertical="center"/>
      <protection locked="0"/>
    </xf>
    <xf numFmtId="166" fontId="21" fillId="6" borderId="235" xfId="11" applyNumberFormat="1" applyFont="1" applyFill="1" applyBorder="1" applyAlignment="1" applyProtection="1">
      <alignment vertical="center"/>
      <protection locked="0"/>
    </xf>
    <xf numFmtId="166" fontId="21" fillId="6" borderId="159" xfId="11" applyNumberFormat="1" applyFont="1" applyFill="1" applyBorder="1" applyAlignment="1" applyProtection="1">
      <alignment vertical="center"/>
      <protection locked="0"/>
    </xf>
    <xf numFmtId="166" fontId="21" fillId="6" borderId="17" xfId="11" applyNumberFormat="1" applyFont="1" applyFill="1" applyBorder="1" applyAlignment="1" applyProtection="1">
      <alignment vertical="center"/>
      <protection locked="0"/>
    </xf>
    <xf numFmtId="173" fontId="5" fillId="24" borderId="58" xfId="39" applyNumberFormat="1" applyFont="1" applyFill="1" applyBorder="1" applyAlignment="1">
      <alignment horizontal="right" vertical="center"/>
    </xf>
    <xf numFmtId="168" fontId="0" fillId="0" borderId="0" xfId="0" applyNumberFormat="1"/>
    <xf numFmtId="165" fontId="2" fillId="14" borderId="283" xfId="0" applyNumberFormat="1" applyFont="1" applyFill="1" applyBorder="1" applyAlignment="1">
      <alignment horizontal="left" vertical="center" wrapText="1"/>
    </xf>
    <xf numFmtId="42" fontId="2" fillId="14" borderId="283" xfId="3" applyFont="1" applyFill="1" applyBorder="1" applyAlignment="1">
      <alignment horizontal="center" vertical="center"/>
    </xf>
    <xf numFmtId="42" fontId="2" fillId="14" borderId="283" xfId="3" applyFont="1" applyFill="1" applyBorder="1" applyAlignment="1">
      <alignment vertical="center"/>
    </xf>
    <xf numFmtId="0" fontId="2" fillId="14" borderId="283" xfId="0" applyFont="1" applyFill="1" applyBorder="1" applyAlignment="1">
      <alignment vertical="center"/>
    </xf>
    <xf numFmtId="42" fontId="2" fillId="14" borderId="283" xfId="0" applyNumberFormat="1" applyFont="1" applyFill="1" applyBorder="1" applyAlignment="1">
      <alignment vertical="center"/>
    </xf>
    <xf numFmtId="42" fontId="40" fillId="14" borderId="283" xfId="0" applyNumberFormat="1" applyFont="1" applyFill="1" applyBorder="1" applyAlignment="1">
      <alignment vertical="center"/>
    </xf>
    <xf numFmtId="0" fontId="3" fillId="0" borderId="0" xfId="5" applyBorder="1" applyAlignment="1" applyProtection="1">
      <alignment horizontal="left" vertical="center"/>
    </xf>
    <xf numFmtId="0" fontId="3" fillId="0" borderId="0" xfId="5" applyBorder="1" applyAlignment="1" applyProtection="1">
      <alignment horizontal="left" vertical="center" wrapText="1"/>
    </xf>
    <xf numFmtId="0" fontId="2" fillId="0" borderId="158" xfId="0" applyFont="1" applyBorder="1" applyAlignment="1">
      <alignment horizontal="center"/>
    </xf>
    <xf numFmtId="0" fontId="2" fillId="0" borderId="91" xfId="0" applyFont="1" applyBorder="1" applyAlignment="1">
      <alignment horizontal="center"/>
    </xf>
    <xf numFmtId="0" fontId="0" fillId="0" borderId="158" xfId="0" applyBorder="1" applyAlignment="1">
      <alignment horizontal="center"/>
    </xf>
    <xf numFmtId="0" fontId="0" fillId="0" borderId="91" xfId="0" applyBorder="1" applyAlignment="1">
      <alignment horizontal="center"/>
    </xf>
    <xf numFmtId="0" fontId="0" fillId="0" borderId="95" xfId="0" applyBorder="1" applyAlignment="1">
      <alignment horizontal="center"/>
    </xf>
    <xf numFmtId="0" fontId="0" fillId="0" borderId="110" xfId="0" applyBorder="1" applyAlignment="1">
      <alignment horizontal="center"/>
    </xf>
    <xf numFmtId="0" fontId="0" fillId="0" borderId="82" xfId="0" applyBorder="1" applyAlignment="1">
      <alignment horizontal="center"/>
    </xf>
    <xf numFmtId="0" fontId="0" fillId="0" borderId="129" xfId="0" applyBorder="1" applyAlignment="1">
      <alignment horizontal="center"/>
    </xf>
    <xf numFmtId="0" fontId="0" fillId="14" borderId="158" xfId="0" applyFill="1" applyBorder="1" applyAlignment="1">
      <alignment horizontal="center"/>
    </xf>
    <xf numFmtId="0" fontId="0" fillId="14" borderId="91" xfId="0" applyFill="1" applyBorder="1" applyAlignment="1">
      <alignment horizontal="center"/>
    </xf>
    <xf numFmtId="0" fontId="0" fillId="14" borderId="157" xfId="0" applyFill="1" applyBorder="1" applyAlignment="1">
      <alignment horizontal="right"/>
    </xf>
    <xf numFmtId="0" fontId="0" fillId="0" borderId="162" xfId="0" applyBorder="1" applyAlignment="1">
      <alignment horizontal="center"/>
    </xf>
    <xf numFmtId="0" fontId="0" fillId="0" borderId="163" xfId="0" applyBorder="1" applyAlignment="1">
      <alignment horizontal="center"/>
    </xf>
    <xf numFmtId="0" fontId="26" fillId="0" borderId="158" xfId="0" applyFont="1" applyBorder="1" applyAlignment="1">
      <alignment horizontal="center"/>
    </xf>
    <xf numFmtId="0" fontId="26" fillId="0" borderId="91" xfId="0" applyFont="1" applyBorder="1" applyAlignment="1">
      <alignment horizontal="center"/>
    </xf>
    <xf numFmtId="0" fontId="3" fillId="14" borderId="0" xfId="5" applyFill="1" applyBorder="1" applyAlignment="1" applyProtection="1">
      <alignment horizontal="left" vertical="center" indent="2"/>
    </xf>
    <xf numFmtId="0" fontId="5" fillId="2" borderId="137" xfId="0" applyFont="1" applyFill="1" applyBorder="1" applyAlignment="1">
      <alignment horizontal="center" vertical="center" wrapText="1"/>
    </xf>
    <xf numFmtId="0" fontId="5" fillId="2" borderId="121" xfId="0" applyFont="1" applyFill="1" applyBorder="1" applyAlignment="1">
      <alignment horizontal="center" vertical="center" wrapText="1"/>
    </xf>
    <xf numFmtId="165" fontId="5" fillId="2" borderId="94" xfId="0" applyNumberFormat="1" applyFont="1" applyFill="1" applyBorder="1" applyAlignment="1">
      <alignment horizontal="center" vertical="center"/>
    </xf>
    <xf numFmtId="165" fontId="5" fillId="2" borderId="121" xfId="0" applyNumberFormat="1" applyFont="1" applyFill="1" applyBorder="1" applyAlignment="1">
      <alignment horizontal="center" vertical="center"/>
    </xf>
    <xf numFmtId="165" fontId="11" fillId="12" borderId="137" xfId="0" applyNumberFormat="1" applyFont="1" applyFill="1" applyBorder="1" applyAlignment="1">
      <alignment horizontal="center" vertical="center" wrapText="1"/>
    </xf>
    <xf numFmtId="165" fontId="9" fillId="12" borderId="124" xfId="0" applyNumberFormat="1" applyFont="1" applyFill="1" applyBorder="1" applyAlignment="1">
      <alignment horizontal="center" vertical="center" wrapText="1"/>
    </xf>
    <xf numFmtId="165" fontId="9" fillId="12" borderId="83" xfId="0" applyNumberFormat="1" applyFont="1" applyFill="1" applyBorder="1" applyAlignment="1">
      <alignment horizontal="center" vertical="center" wrapText="1"/>
    </xf>
    <xf numFmtId="0" fontId="5" fillId="14" borderId="1" xfId="0" applyFont="1" applyFill="1" applyBorder="1" applyAlignment="1">
      <alignment horizontal="right" vertical="center"/>
    </xf>
    <xf numFmtId="0" fontId="8" fillId="14" borderId="132" xfId="0" applyFont="1" applyFill="1" applyBorder="1" applyAlignment="1">
      <alignment horizontal="center" vertical="center"/>
    </xf>
    <xf numFmtId="0" fontId="8" fillId="14" borderId="133" xfId="0" applyFont="1" applyFill="1" applyBorder="1" applyAlignment="1">
      <alignment horizontal="center" vertical="center"/>
    </xf>
    <xf numFmtId="165" fontId="5" fillId="53" borderId="0" xfId="2" applyNumberFormat="1" applyFont="1" applyFill="1" applyBorder="1" applyAlignment="1" applyProtection="1">
      <alignment horizontal="center" vertical="center" wrapText="1"/>
    </xf>
    <xf numFmtId="165" fontId="5" fillId="53" borderId="86" xfId="2" applyNumberFormat="1" applyFont="1" applyFill="1" applyBorder="1" applyAlignment="1" applyProtection="1">
      <alignment horizontal="center" vertical="center" wrapText="1"/>
    </xf>
    <xf numFmtId="165" fontId="0" fillId="1" borderId="215" xfId="0" applyNumberFormat="1" applyFill="1" applyBorder="1" applyAlignment="1">
      <alignment horizontal="center" vertical="center"/>
    </xf>
    <xf numFmtId="165" fontId="0" fillId="54" borderId="215" xfId="2" applyNumberFormat="1" applyFont="1" applyFill="1" applyBorder="1" applyAlignment="1" applyProtection="1">
      <alignment horizontal="right" vertical="center"/>
    </xf>
    <xf numFmtId="165" fontId="0" fillId="56" borderId="219" xfId="2" applyNumberFormat="1" applyFont="1" applyFill="1" applyBorder="1" applyAlignment="1" applyProtection="1">
      <alignment horizontal="right" vertical="center"/>
    </xf>
    <xf numFmtId="165" fontId="9" fillId="12" borderId="121" xfId="0" applyNumberFormat="1" applyFont="1" applyFill="1" applyBorder="1" applyAlignment="1">
      <alignment horizontal="center" vertical="center" wrapText="1"/>
    </xf>
    <xf numFmtId="0" fontId="8" fillId="0" borderId="138" xfId="0" applyFont="1" applyBorder="1" applyAlignment="1">
      <alignment horizontal="center" vertical="center" wrapText="1"/>
    </xf>
    <xf numFmtId="0" fontId="8" fillId="0" borderId="142"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145" xfId="0" applyFont="1" applyBorder="1" applyAlignment="1">
      <alignment horizontal="center" vertical="center" wrapText="1"/>
    </xf>
    <xf numFmtId="0" fontId="0" fillId="0" borderId="139" xfId="0" applyBorder="1" applyAlignment="1">
      <alignment vertical="center" wrapText="1"/>
    </xf>
    <xf numFmtId="0" fontId="0" fillId="0" borderId="83" xfId="0" applyBorder="1" applyAlignment="1">
      <alignment vertical="center" wrapText="1"/>
    </xf>
    <xf numFmtId="0" fontId="0" fillId="0" borderId="221" xfId="0" applyBorder="1" applyAlignment="1">
      <alignment vertical="center" wrapText="1"/>
    </xf>
    <xf numFmtId="165" fontId="0" fillId="54" borderId="140" xfId="2" applyNumberFormat="1" applyFont="1" applyFill="1" applyBorder="1" applyAlignment="1" applyProtection="1">
      <alignment horizontal="right" vertical="center"/>
    </xf>
    <xf numFmtId="165" fontId="0" fillId="54" borderId="121" xfId="2" applyNumberFormat="1" applyFont="1" applyFill="1" applyBorder="1" applyAlignment="1" applyProtection="1">
      <alignment horizontal="right" vertical="center"/>
    </xf>
    <xf numFmtId="165" fontId="0" fillId="53" borderId="141" xfId="2" applyNumberFormat="1" applyFont="1" applyFill="1" applyBorder="1" applyAlignment="1" applyProtection="1">
      <alignment horizontal="right" vertical="center"/>
    </xf>
    <xf numFmtId="165" fontId="0" fillId="53" borderId="123" xfId="2" applyNumberFormat="1" applyFont="1" applyFill="1" applyBorder="1" applyAlignment="1" applyProtection="1">
      <alignment horizontal="right" vertical="center"/>
    </xf>
    <xf numFmtId="0" fontId="5" fillId="0" borderId="215" xfId="0" applyFont="1" applyBorder="1" applyAlignment="1">
      <alignment horizontal="left" vertical="center" wrapText="1"/>
    </xf>
    <xf numFmtId="0" fontId="0" fillId="0" borderId="215" xfId="0" applyBorder="1" applyAlignment="1">
      <alignment horizontal="left" vertical="center" wrapText="1"/>
    </xf>
    <xf numFmtId="165" fontId="0" fillId="53" borderId="219" xfId="2" applyNumberFormat="1" applyFont="1" applyFill="1" applyBorder="1" applyAlignment="1" applyProtection="1">
      <alignment horizontal="right" vertical="center"/>
    </xf>
    <xf numFmtId="0" fontId="0" fillId="0" borderId="215" xfId="0" applyBorder="1" applyAlignment="1">
      <alignment vertical="center" wrapText="1"/>
    </xf>
    <xf numFmtId="0" fontId="0" fillId="0" borderId="215" xfId="0" applyBorder="1" applyAlignment="1">
      <alignment horizontal="right" vertical="center" wrapText="1"/>
    </xf>
    <xf numFmtId="165" fontId="0" fillId="53" borderId="220" xfId="2" applyNumberFormat="1" applyFont="1" applyFill="1" applyBorder="1" applyAlignment="1" applyProtection="1">
      <alignment horizontal="right" vertical="center"/>
    </xf>
    <xf numFmtId="0" fontId="0" fillId="0" borderId="84" xfId="0" applyBorder="1" applyAlignment="1">
      <alignment vertical="center" wrapText="1"/>
    </xf>
    <xf numFmtId="165" fontId="0" fillId="1" borderId="221" xfId="0" applyNumberFormat="1" applyFill="1" applyBorder="1" applyAlignment="1">
      <alignment horizontal="center" vertical="center"/>
    </xf>
    <xf numFmtId="165" fontId="0" fillId="1" borderId="84" xfId="0" applyNumberFormat="1" applyFill="1" applyBorder="1" applyAlignment="1">
      <alignment horizontal="center" vertical="center"/>
    </xf>
    <xf numFmtId="165" fontId="0" fillId="54" borderId="201" xfId="2" applyNumberFormat="1" applyFont="1" applyFill="1" applyBorder="1" applyAlignment="1" applyProtection="1">
      <alignment horizontal="right" vertical="center"/>
    </xf>
    <xf numFmtId="165" fontId="0" fillId="54" borderId="137" xfId="2" applyNumberFormat="1" applyFont="1" applyFill="1" applyBorder="1" applyAlignment="1" applyProtection="1">
      <alignment horizontal="right" vertical="center"/>
    </xf>
    <xf numFmtId="165" fontId="0" fillId="53" borderId="143" xfId="2" applyNumberFormat="1" applyFont="1" applyFill="1" applyBorder="1" applyAlignment="1" applyProtection="1">
      <alignment horizontal="right" vertical="center"/>
    </xf>
    <xf numFmtId="165" fontId="10" fillId="39" borderId="146" xfId="0" applyNumberFormat="1" applyFont="1" applyFill="1" applyBorder="1" applyAlignment="1">
      <alignment horizontal="center" vertical="center"/>
    </xf>
    <xf numFmtId="165" fontId="10" fillId="39" borderId="214" xfId="0" applyNumberFormat="1" applyFont="1" applyFill="1" applyBorder="1" applyAlignment="1">
      <alignment horizontal="center" vertical="center"/>
    </xf>
    <xf numFmtId="165" fontId="10" fillId="39" borderId="147" xfId="0" applyNumberFormat="1" applyFont="1" applyFill="1" applyBorder="1" applyAlignment="1">
      <alignment horizontal="center" vertical="center"/>
    </xf>
    <xf numFmtId="0" fontId="0" fillId="0" borderId="139" xfId="0" applyBorder="1" applyAlignment="1">
      <alignment horizontal="left" vertical="center" wrapText="1"/>
    </xf>
    <xf numFmtId="0" fontId="0" fillId="0" borderId="83" xfId="0" applyBorder="1" applyAlignment="1">
      <alignment horizontal="left" vertical="center" wrapText="1"/>
    </xf>
    <xf numFmtId="0" fontId="0" fillId="0" borderId="84" xfId="0" applyBorder="1" applyAlignment="1">
      <alignment horizontal="left" vertical="center" wrapText="1"/>
    </xf>
    <xf numFmtId="0" fontId="5" fillId="0" borderId="121" xfId="0" applyFont="1" applyBorder="1" applyAlignment="1">
      <alignment horizontal="left" vertical="center" wrapText="1"/>
    </xf>
    <xf numFmtId="0" fontId="5" fillId="0" borderId="83" xfId="0" applyFont="1" applyBorder="1" applyAlignment="1">
      <alignment horizontal="left" vertical="center" wrapText="1"/>
    </xf>
    <xf numFmtId="0" fontId="5" fillId="0" borderId="84" xfId="0" applyFont="1" applyBorder="1" applyAlignment="1">
      <alignment horizontal="left" vertical="center" wrapText="1"/>
    </xf>
    <xf numFmtId="165" fontId="0" fillId="1" borderId="121" xfId="0" applyNumberFormat="1" applyFill="1" applyBorder="1" applyAlignment="1">
      <alignment horizontal="center" vertical="center"/>
    </xf>
    <xf numFmtId="0" fontId="0" fillId="0" borderId="222" xfId="0" applyBorder="1" applyAlignment="1">
      <alignment vertical="center" wrapText="1"/>
    </xf>
    <xf numFmtId="0" fontId="0" fillId="0" borderId="223" xfId="0" applyBorder="1" applyAlignment="1">
      <alignment vertical="center" wrapText="1"/>
    </xf>
    <xf numFmtId="0" fontId="0" fillId="0" borderId="203" xfId="0" applyBorder="1" applyAlignment="1">
      <alignment vertical="center" wrapText="1"/>
    </xf>
    <xf numFmtId="0" fontId="0" fillId="0" borderId="213" xfId="0" applyBorder="1" applyAlignment="1">
      <alignment vertical="center" wrapText="1"/>
    </xf>
    <xf numFmtId="0" fontId="0" fillId="0" borderId="213" xfId="0" applyBorder="1" applyAlignment="1">
      <alignment horizontal="right" vertical="center" wrapText="1"/>
    </xf>
    <xf numFmtId="0" fontId="0" fillId="0" borderId="223" xfId="0" applyBorder="1" applyAlignment="1">
      <alignment horizontal="right" vertical="center" wrapText="1"/>
    </xf>
    <xf numFmtId="0" fontId="0" fillId="0" borderId="84" xfId="0" applyBorder="1" applyAlignment="1">
      <alignment horizontal="right" vertical="center" wrapText="1"/>
    </xf>
    <xf numFmtId="165" fontId="0" fillId="56" borderId="143" xfId="2" applyNumberFormat="1" applyFont="1" applyFill="1" applyBorder="1" applyAlignment="1" applyProtection="1">
      <alignment horizontal="right" vertical="center"/>
    </xf>
    <xf numFmtId="0" fontId="0" fillId="0" borderId="213" xfId="0" applyBorder="1" applyAlignment="1">
      <alignment horizontal="left" vertical="center" wrapText="1"/>
    </xf>
    <xf numFmtId="0" fontId="0" fillId="0" borderId="223" xfId="0" applyBorder="1" applyAlignment="1">
      <alignment horizontal="left" vertical="center" wrapText="1"/>
    </xf>
    <xf numFmtId="0" fontId="0" fillId="0" borderId="203" xfId="0" applyBorder="1" applyAlignment="1">
      <alignment horizontal="left" vertical="center" wrapText="1"/>
    </xf>
    <xf numFmtId="165" fontId="0" fillId="54" borderId="84" xfId="2" applyNumberFormat="1" applyFont="1" applyFill="1" applyBorder="1" applyAlignment="1" applyProtection="1">
      <alignment horizontal="right" vertical="center"/>
    </xf>
    <xf numFmtId="165" fontId="0" fillId="53" borderId="144" xfId="2" applyNumberFormat="1" applyFont="1" applyFill="1" applyBorder="1" applyAlignment="1" applyProtection="1">
      <alignment horizontal="right" vertical="center"/>
    </xf>
    <xf numFmtId="0" fontId="0" fillId="0" borderId="121" xfId="0" applyBorder="1" applyAlignment="1">
      <alignment horizontal="left" vertical="center" wrapText="1"/>
    </xf>
    <xf numFmtId="165" fontId="10" fillId="39" borderId="225" xfId="0" applyNumberFormat="1" applyFont="1" applyFill="1" applyBorder="1" applyAlignment="1">
      <alignment horizontal="center" vertical="center"/>
    </xf>
    <xf numFmtId="165" fontId="0" fillId="1" borderId="83" xfId="0" applyNumberFormat="1" applyFill="1" applyBorder="1" applyAlignment="1">
      <alignment horizontal="center" vertical="center"/>
    </xf>
    <xf numFmtId="0" fontId="5" fillId="0" borderId="203" xfId="0" applyFont="1" applyBorder="1" applyAlignment="1">
      <alignment horizontal="left" vertical="center" wrapText="1"/>
    </xf>
    <xf numFmtId="0" fontId="0" fillId="0" borderId="121" xfId="0" applyBorder="1" applyAlignment="1">
      <alignment horizontal="right" vertical="center" wrapText="1"/>
    </xf>
    <xf numFmtId="0" fontId="0" fillId="0" borderId="83" xfId="0" applyBorder="1" applyAlignment="1">
      <alignment horizontal="right" vertical="center" wrapText="1"/>
    </xf>
    <xf numFmtId="165" fontId="0" fillId="56" borderId="137" xfId="2" applyNumberFormat="1" applyFont="1" applyFill="1" applyBorder="1" applyAlignment="1" applyProtection="1">
      <alignment horizontal="right" vertical="center"/>
    </xf>
    <xf numFmtId="0" fontId="0" fillId="0" borderId="203" xfId="0" applyBorder="1" applyAlignment="1">
      <alignment horizontal="right" vertical="center" wrapText="1"/>
    </xf>
    <xf numFmtId="165" fontId="0" fillId="1" borderId="202" xfId="0" applyNumberFormat="1" applyFill="1" applyBorder="1" applyAlignment="1">
      <alignment horizontal="center" vertical="center"/>
    </xf>
    <xf numFmtId="0" fontId="5" fillId="0" borderId="121" xfId="0" applyFont="1" applyBorder="1" applyAlignment="1">
      <alignment vertical="center" wrapText="1"/>
    </xf>
    <xf numFmtId="0" fontId="5" fillId="0" borderId="83" xfId="0" applyFont="1" applyBorder="1" applyAlignment="1">
      <alignment vertical="center" wrapText="1"/>
    </xf>
    <xf numFmtId="0" fontId="5" fillId="0" borderId="84" xfId="0" applyFont="1" applyBorder="1" applyAlignment="1">
      <alignment vertical="center" wrapText="1"/>
    </xf>
    <xf numFmtId="165" fontId="0" fillId="1" borderId="214" xfId="0" applyNumberFormat="1" applyFill="1" applyBorder="1" applyAlignment="1">
      <alignment horizontal="center" vertical="center"/>
    </xf>
    <xf numFmtId="0" fontId="5" fillId="0" borderId="213" xfId="0" applyFont="1" applyBorder="1" applyAlignment="1">
      <alignment horizontal="left" vertical="center" wrapText="1"/>
    </xf>
    <xf numFmtId="0" fontId="5" fillId="0" borderId="223" xfId="0" applyFont="1" applyBorder="1" applyAlignment="1">
      <alignment horizontal="left" vertical="center" wrapText="1"/>
    </xf>
    <xf numFmtId="0" fontId="5" fillId="19" borderId="0" xfId="0" applyFont="1" applyFill="1" applyAlignment="1">
      <alignment horizontal="center"/>
    </xf>
    <xf numFmtId="0" fontId="5" fillId="17" borderId="0" xfId="0" applyFont="1" applyFill="1" applyAlignment="1">
      <alignment horizontal="center"/>
    </xf>
    <xf numFmtId="0" fontId="5" fillId="23" borderId="0" xfId="0" applyFont="1" applyFill="1" applyAlignment="1">
      <alignment horizontal="center"/>
    </xf>
    <xf numFmtId="0" fontId="5" fillId="25" borderId="0" xfId="0" applyFont="1" applyFill="1" applyAlignment="1">
      <alignment horizontal="center"/>
    </xf>
    <xf numFmtId="0" fontId="25" fillId="0" borderId="0" xfId="0" applyFont="1" applyAlignment="1">
      <alignment horizontal="right" vertical="center"/>
    </xf>
    <xf numFmtId="0" fontId="25" fillId="0" borderId="54" xfId="0" applyFont="1" applyBorder="1" applyAlignment="1">
      <alignment horizontal="right" vertical="center"/>
    </xf>
    <xf numFmtId="0" fontId="25" fillId="10" borderId="52" xfId="0" applyFont="1" applyFill="1" applyBorder="1" applyAlignment="1" applyProtection="1">
      <alignment horizontal="center" vertical="center"/>
      <protection locked="0"/>
    </xf>
    <xf numFmtId="0" fontId="25" fillId="10" borderId="53" xfId="0" applyFont="1" applyFill="1" applyBorder="1" applyAlignment="1" applyProtection="1">
      <alignment horizontal="center" vertical="center"/>
      <protection locked="0"/>
    </xf>
    <xf numFmtId="0" fontId="25" fillId="2" borderId="19" xfId="0" applyFont="1" applyFill="1" applyBorder="1" applyAlignment="1">
      <alignment horizontal="center" vertical="center" wrapText="1"/>
    </xf>
    <xf numFmtId="0" fontId="25" fillId="2" borderId="57" xfId="0" applyFont="1" applyFill="1" applyBorder="1" applyAlignment="1">
      <alignment horizontal="center" vertical="center" wrapText="1"/>
    </xf>
    <xf numFmtId="165" fontId="25" fillId="7" borderId="238" xfId="0" applyNumberFormat="1" applyFont="1" applyFill="1" applyBorder="1" applyAlignment="1">
      <alignment horizontal="center" vertical="center" wrapText="1"/>
    </xf>
    <xf numFmtId="165" fontId="25" fillId="7" borderId="5" xfId="0" applyNumberFormat="1" applyFont="1" applyFill="1" applyBorder="1" applyAlignment="1">
      <alignment horizontal="center" vertical="center" wrapText="1"/>
    </xf>
    <xf numFmtId="165" fontId="25" fillId="7" borderId="178" xfId="0" applyNumberFormat="1" applyFont="1" applyFill="1" applyBorder="1" applyAlignment="1">
      <alignment horizontal="center" vertical="center" wrapText="1"/>
    </xf>
    <xf numFmtId="165" fontId="38" fillId="70" borderId="61" xfId="0" applyNumberFormat="1" applyFont="1" applyFill="1" applyBorder="1" applyAlignment="1">
      <alignment horizontal="center" vertical="center" wrapText="1"/>
    </xf>
    <xf numFmtId="165" fontId="38" fillId="70" borderId="62" xfId="0" applyNumberFormat="1" applyFont="1" applyFill="1" applyBorder="1" applyAlignment="1">
      <alignment horizontal="center" vertical="center" wrapText="1"/>
    </xf>
    <xf numFmtId="165" fontId="38" fillId="70" borderId="63" xfId="0" applyNumberFormat="1" applyFont="1" applyFill="1" applyBorder="1" applyAlignment="1">
      <alignment horizontal="center" vertical="center" wrapText="1"/>
    </xf>
    <xf numFmtId="0" fontId="25" fillId="14" borderId="44" xfId="0" applyFont="1" applyFill="1" applyBorder="1" applyAlignment="1">
      <alignment horizontal="center" vertical="center" wrapText="1"/>
    </xf>
    <xf numFmtId="0" fontId="25" fillId="14" borderId="21" xfId="0" applyFont="1" applyFill="1" applyBorder="1" applyAlignment="1">
      <alignment horizontal="center" vertical="center" wrapText="1"/>
    </xf>
    <xf numFmtId="0" fontId="25" fillId="14" borderId="8" xfId="0" applyFont="1" applyFill="1" applyBorder="1" applyAlignment="1">
      <alignment horizontal="center" vertical="center" wrapText="1"/>
    </xf>
    <xf numFmtId="0" fontId="25" fillId="14" borderId="13" xfId="0" applyFont="1" applyFill="1" applyBorder="1" applyAlignment="1">
      <alignment horizontal="center" vertical="center" wrapText="1"/>
    </xf>
    <xf numFmtId="0" fontId="25" fillId="14" borderId="100" xfId="0" applyFont="1" applyFill="1" applyBorder="1" applyAlignment="1">
      <alignment horizontal="center" vertical="center" wrapText="1"/>
    </xf>
    <xf numFmtId="0" fontId="25" fillId="14" borderId="174" xfId="0" applyFont="1" applyFill="1" applyBorder="1" applyAlignment="1">
      <alignment horizontal="center" vertical="center" wrapText="1"/>
    </xf>
    <xf numFmtId="0" fontId="25" fillId="14" borderId="103" xfId="0" applyFont="1" applyFill="1" applyBorder="1" applyAlignment="1">
      <alignment horizontal="center" vertical="center" wrapText="1"/>
    </xf>
    <xf numFmtId="0" fontId="0" fillId="15" borderId="25" xfId="0" applyFill="1" applyBorder="1" applyAlignment="1" applyProtection="1">
      <alignment horizontal="center" vertical="top"/>
      <protection locked="0"/>
    </xf>
    <xf numFmtId="0" fontId="0" fillId="15" borderId="0" xfId="0" applyFill="1" applyAlignment="1" applyProtection="1">
      <alignment horizontal="center" vertical="top"/>
      <protection locked="0"/>
    </xf>
    <xf numFmtId="0" fontId="0" fillId="15" borderId="26" xfId="0" applyFill="1" applyBorder="1" applyAlignment="1" applyProtection="1">
      <alignment horizontal="center" vertical="top"/>
      <protection locked="0"/>
    </xf>
    <xf numFmtId="0" fontId="0" fillId="15" borderId="57" xfId="0" applyFill="1" applyBorder="1" applyAlignment="1" applyProtection="1">
      <alignment horizontal="center" vertical="top"/>
      <protection locked="0"/>
    </xf>
    <xf numFmtId="0" fontId="0" fillId="15" borderId="59" xfId="0" applyFill="1" applyBorder="1" applyAlignment="1" applyProtection="1">
      <alignment horizontal="center" vertical="top"/>
      <protection locked="0"/>
    </xf>
    <xf numFmtId="0" fontId="0" fillId="15" borderId="60" xfId="0" applyFill="1" applyBorder="1" applyAlignment="1" applyProtection="1">
      <alignment horizontal="center" vertical="top"/>
      <protection locked="0"/>
    </xf>
    <xf numFmtId="0" fontId="0" fillId="15" borderId="19" xfId="0" applyFill="1" applyBorder="1" applyAlignment="1" applyProtection="1">
      <alignment horizontal="center" vertical="top"/>
      <protection locked="0"/>
    </xf>
    <xf numFmtId="0" fontId="0" fillId="15" borderId="5" xfId="0" applyFill="1" applyBorder="1" applyAlignment="1" applyProtection="1">
      <alignment horizontal="center" vertical="top"/>
      <protection locked="0"/>
    </xf>
    <xf numFmtId="0" fontId="0" fillId="15" borderId="20" xfId="0" applyFill="1" applyBorder="1" applyAlignment="1" applyProtection="1">
      <alignment horizontal="center" vertical="top"/>
      <protection locked="0"/>
    </xf>
    <xf numFmtId="0" fontId="25" fillId="14" borderId="261" xfId="0" applyFont="1" applyFill="1" applyBorder="1" applyAlignment="1">
      <alignment horizontal="center" vertical="center" wrapText="1"/>
    </xf>
    <xf numFmtId="0" fontId="25" fillId="14" borderId="263" xfId="0" applyFont="1" applyFill="1" applyBorder="1" applyAlignment="1">
      <alignment horizontal="center" vertical="center" wrapText="1"/>
    </xf>
    <xf numFmtId="0" fontId="25" fillId="15" borderId="25" xfId="0" applyFont="1" applyFill="1" applyBorder="1" applyAlignment="1" applyProtection="1">
      <alignment horizontal="center" vertical="top"/>
      <protection locked="0"/>
    </xf>
    <xf numFmtId="0" fontId="25" fillId="15" borderId="0" xfId="0" applyFont="1" applyFill="1" applyAlignment="1" applyProtection="1">
      <alignment horizontal="center" vertical="top"/>
      <protection locked="0"/>
    </xf>
    <xf numFmtId="0" fontId="25" fillId="15" borderId="26" xfId="0" applyFont="1" applyFill="1" applyBorder="1" applyAlignment="1" applyProtection="1">
      <alignment horizontal="center" vertical="top"/>
      <protection locked="0"/>
    </xf>
    <xf numFmtId="0" fontId="25" fillId="7" borderId="19" xfId="0" applyFont="1" applyFill="1" applyBorder="1" applyAlignment="1">
      <alignment horizontal="center" vertical="center" wrapText="1"/>
    </xf>
    <xf numFmtId="0" fontId="25" fillId="7" borderId="5" xfId="0" applyFont="1" applyFill="1" applyBorder="1" applyAlignment="1">
      <alignment horizontal="center" vertical="center" wrapText="1"/>
    </xf>
    <xf numFmtId="0" fontId="25" fillId="7" borderId="20" xfId="0" applyFont="1" applyFill="1" applyBorder="1" applyAlignment="1">
      <alignment horizontal="center" vertical="center" wrapText="1"/>
    </xf>
    <xf numFmtId="0" fontId="25" fillId="7" borderId="57" xfId="0" applyFont="1" applyFill="1" applyBorder="1" applyAlignment="1">
      <alignment horizontal="center" vertical="center" wrapText="1"/>
    </xf>
    <xf numFmtId="0" fontId="25" fillId="7" borderId="59" xfId="0" applyFont="1" applyFill="1" applyBorder="1" applyAlignment="1">
      <alignment horizontal="center" vertical="center" wrapText="1"/>
    </xf>
    <xf numFmtId="0" fontId="25" fillId="7" borderId="60" xfId="0" applyFont="1" applyFill="1" applyBorder="1" applyAlignment="1">
      <alignment horizontal="center" vertical="center" wrapText="1"/>
    </xf>
    <xf numFmtId="0" fontId="0" fillId="15" borderId="25" xfId="0" applyFill="1" applyBorder="1" applyAlignment="1" applyProtection="1">
      <alignment horizontal="left" vertical="top"/>
      <protection locked="0"/>
    </xf>
    <xf numFmtId="0" fontId="0" fillId="15" borderId="0" xfId="0" applyFill="1" applyAlignment="1" applyProtection="1">
      <alignment horizontal="left" vertical="top"/>
      <protection locked="0"/>
    </xf>
    <xf numFmtId="0" fontId="0" fillId="15" borderId="26" xfId="0" applyFill="1" applyBorder="1" applyAlignment="1" applyProtection="1">
      <alignment horizontal="left" vertical="top"/>
      <protection locked="0"/>
    </xf>
    <xf numFmtId="0" fontId="25" fillId="14" borderId="18" xfId="0" applyFont="1" applyFill="1" applyBorder="1" applyAlignment="1">
      <alignment horizontal="center" vertical="center" wrapText="1"/>
    </xf>
    <xf numFmtId="0" fontId="0" fillId="14" borderId="57" xfId="0" applyFill="1" applyBorder="1" applyAlignment="1" applyProtection="1">
      <alignment horizontal="center" vertical="top"/>
      <protection locked="0"/>
    </xf>
    <xf numFmtId="0" fontId="0" fillId="14" borderId="59" xfId="0" applyFill="1" applyBorder="1" applyAlignment="1" applyProtection="1">
      <alignment horizontal="center" vertical="top"/>
      <protection locked="0"/>
    </xf>
    <xf numFmtId="0" fontId="0" fillId="14" borderId="60" xfId="0" applyFill="1" applyBorder="1" applyAlignment="1" applyProtection="1">
      <alignment horizontal="center" vertical="top"/>
      <protection locked="0"/>
    </xf>
    <xf numFmtId="0" fontId="0" fillId="0" borderId="25" xfId="0" applyBorder="1" applyAlignment="1" applyProtection="1">
      <alignment horizontal="center" vertical="top"/>
      <protection locked="0"/>
    </xf>
    <xf numFmtId="0" fontId="0" fillId="0" borderId="0" xfId="0" applyAlignment="1" applyProtection="1">
      <alignment horizontal="center" vertical="top"/>
      <protection locked="0"/>
    </xf>
    <xf numFmtId="0" fontId="0" fillId="0" borderId="26" xfId="0" applyBorder="1" applyAlignment="1" applyProtection="1">
      <alignment horizontal="center" vertical="top"/>
      <protection locked="0"/>
    </xf>
    <xf numFmtId="165" fontId="38" fillId="12" borderId="69" xfId="0" applyNumberFormat="1" applyFont="1" applyFill="1" applyBorder="1" applyAlignment="1">
      <alignment horizontal="center" vertical="center" wrapText="1"/>
    </xf>
    <xf numFmtId="165" fontId="38" fillId="12" borderId="70" xfId="0" applyNumberFormat="1" applyFont="1" applyFill="1" applyBorder="1" applyAlignment="1">
      <alignment horizontal="center" vertical="center" wrapText="1"/>
    </xf>
    <xf numFmtId="165" fontId="38" fillId="12" borderId="71" xfId="0" applyNumberFormat="1" applyFont="1" applyFill="1" applyBorder="1" applyAlignment="1">
      <alignment horizontal="center" vertical="center" wrapText="1"/>
    </xf>
    <xf numFmtId="0" fontId="25" fillId="7" borderId="26" xfId="0" applyFont="1" applyFill="1" applyBorder="1" applyAlignment="1">
      <alignment horizontal="center" vertical="center" wrapText="1"/>
    </xf>
    <xf numFmtId="0" fontId="0" fillId="14" borderId="19" xfId="0" applyFill="1" applyBorder="1" applyAlignment="1" applyProtection="1">
      <alignment horizontal="center" vertical="top"/>
      <protection locked="0"/>
    </xf>
    <xf numFmtId="0" fontId="0" fillId="14" borderId="5" xfId="0" applyFill="1" applyBorder="1" applyAlignment="1" applyProtection="1">
      <alignment horizontal="center" vertical="top"/>
      <protection locked="0"/>
    </xf>
    <xf numFmtId="0" fontId="0" fillId="14" borderId="20" xfId="0" applyFill="1" applyBorder="1" applyAlignment="1" applyProtection="1">
      <alignment horizontal="center" vertical="top"/>
      <protection locked="0"/>
    </xf>
    <xf numFmtId="0" fontId="25" fillId="14" borderId="25" xfId="0" applyFont="1" applyFill="1" applyBorder="1" applyAlignment="1" applyProtection="1">
      <alignment horizontal="center" vertical="top"/>
      <protection locked="0"/>
    </xf>
    <xf numFmtId="0" fontId="25" fillId="14" borderId="0" xfId="0" applyFont="1" applyFill="1" applyAlignment="1" applyProtection="1">
      <alignment horizontal="center" vertical="top"/>
      <protection locked="0"/>
    </xf>
    <xf numFmtId="0" fontId="25" fillId="14" borderId="26" xfId="0" applyFont="1" applyFill="1" applyBorder="1" applyAlignment="1" applyProtection="1">
      <alignment horizontal="center" vertical="top"/>
      <protection locked="0"/>
    </xf>
    <xf numFmtId="0" fontId="0" fillId="15" borderId="25" xfId="0" applyFill="1" applyBorder="1" applyAlignment="1" applyProtection="1">
      <alignment horizontal="center" vertical="center"/>
      <protection locked="0"/>
    </xf>
    <xf numFmtId="0" fontId="0" fillId="15" borderId="0" xfId="0" applyFill="1" applyAlignment="1" applyProtection="1">
      <alignment horizontal="center" vertical="center"/>
      <protection locked="0"/>
    </xf>
    <xf numFmtId="0" fontId="0" fillId="15" borderId="26" xfId="0" applyFill="1" applyBorder="1" applyAlignment="1" applyProtection="1">
      <alignment horizontal="center" vertical="center"/>
      <protection locked="0"/>
    </xf>
    <xf numFmtId="0" fontId="0" fillId="15" borderId="25" xfId="0" applyFill="1" applyBorder="1" applyAlignment="1" applyProtection="1">
      <alignment horizontal="left" vertical="center" indent="1"/>
      <protection locked="0"/>
    </xf>
    <xf numFmtId="0" fontId="0" fillId="15" borderId="0" xfId="0" applyFill="1" applyAlignment="1" applyProtection="1">
      <alignment horizontal="left" vertical="center" indent="1"/>
      <protection locked="0"/>
    </xf>
    <xf numFmtId="0" fontId="0" fillId="15" borderId="26" xfId="0" applyFill="1" applyBorder="1" applyAlignment="1" applyProtection="1">
      <alignment horizontal="left" vertical="center" indent="1"/>
      <protection locked="0"/>
    </xf>
    <xf numFmtId="0" fontId="0" fillId="15" borderId="57" xfId="0" applyFill="1" applyBorder="1" applyAlignment="1" applyProtection="1">
      <alignment horizontal="center" vertical="center"/>
      <protection locked="0"/>
    </xf>
    <xf numFmtId="0" fontId="0" fillId="15" borderId="59" xfId="0" applyFill="1" applyBorder="1" applyAlignment="1" applyProtection="1">
      <alignment horizontal="center" vertical="center"/>
      <protection locked="0"/>
    </xf>
    <xf numFmtId="0" fontId="0" fillId="15" borderId="60" xfId="0" applyFill="1" applyBorder="1" applyAlignment="1" applyProtection="1">
      <alignment horizontal="center" vertical="center"/>
      <protection locked="0"/>
    </xf>
    <xf numFmtId="0" fontId="0" fillId="15" borderId="19" xfId="0" applyFill="1" applyBorder="1" applyAlignment="1" applyProtection="1">
      <alignment horizontal="center" vertical="center"/>
      <protection locked="0"/>
    </xf>
    <xf numFmtId="0" fontId="0" fillId="15" borderId="5" xfId="0" applyFill="1" applyBorder="1" applyAlignment="1" applyProtection="1">
      <alignment horizontal="center" vertical="center"/>
      <protection locked="0"/>
    </xf>
    <xf numFmtId="0" fontId="0" fillId="15" borderId="20" xfId="0" applyFill="1" applyBorder="1" applyAlignment="1" applyProtection="1">
      <alignment horizontal="center" vertical="center"/>
      <protection locked="0"/>
    </xf>
    <xf numFmtId="0" fontId="25" fillId="15" borderId="25" xfId="0" applyFont="1" applyFill="1" applyBorder="1" applyAlignment="1" applyProtection="1">
      <alignment horizontal="center" vertical="center"/>
      <protection locked="0"/>
    </xf>
    <xf numFmtId="0" fontId="25" fillId="15" borderId="0" xfId="0" applyFont="1" applyFill="1" applyAlignment="1" applyProtection="1">
      <alignment horizontal="center" vertical="center"/>
      <protection locked="0"/>
    </xf>
    <xf numFmtId="0" fontId="25" fillId="15" borderId="26" xfId="0" applyFont="1" applyFill="1" applyBorder="1" applyAlignment="1" applyProtection="1">
      <alignment horizontal="center" vertical="center"/>
      <protection locked="0"/>
    </xf>
    <xf numFmtId="0" fontId="0" fillId="14" borderId="19" xfId="0" applyFill="1" applyBorder="1" applyAlignment="1" applyProtection="1">
      <alignment horizontal="center" vertical="center"/>
      <protection locked="0"/>
    </xf>
    <xf numFmtId="0" fontId="0" fillId="14" borderId="5" xfId="0" applyFill="1" applyBorder="1" applyAlignment="1" applyProtection="1">
      <alignment horizontal="center" vertical="center"/>
      <protection locked="0"/>
    </xf>
    <xf numFmtId="0" fontId="0" fillId="14" borderId="20" xfId="0" applyFill="1" applyBorder="1" applyAlignment="1" applyProtection="1">
      <alignment horizontal="center" vertical="center"/>
      <protection locked="0"/>
    </xf>
    <xf numFmtId="0" fontId="25" fillId="14" borderId="25" xfId="0" applyFont="1" applyFill="1" applyBorder="1" applyAlignment="1" applyProtection="1">
      <alignment horizontal="center" vertical="center"/>
      <protection locked="0"/>
    </xf>
    <xf numFmtId="0" fontId="25" fillId="14" borderId="0" xfId="0" applyFont="1" applyFill="1" applyAlignment="1" applyProtection="1">
      <alignment horizontal="center" vertical="center"/>
      <protection locked="0"/>
    </xf>
    <xf numFmtId="0" fontId="25" fillId="14" borderId="26" xfId="0" applyFont="1" applyFill="1" applyBorder="1" applyAlignment="1" applyProtection="1">
      <alignment horizontal="center" vertical="center"/>
      <protection locked="0"/>
    </xf>
    <xf numFmtId="165" fontId="38" fillId="71" borderId="61" xfId="0" applyNumberFormat="1" applyFont="1" applyFill="1" applyBorder="1" applyAlignment="1">
      <alignment horizontal="center" vertical="center" wrapText="1"/>
    </xf>
    <xf numFmtId="165" fontId="38" fillId="71" borderId="62" xfId="0" applyNumberFormat="1" applyFont="1" applyFill="1" applyBorder="1" applyAlignment="1">
      <alignment horizontal="center" vertical="center" wrapText="1"/>
    </xf>
    <xf numFmtId="165" fontId="38" fillId="71" borderId="63" xfId="0" applyNumberFormat="1" applyFont="1" applyFill="1" applyBorder="1" applyAlignment="1">
      <alignment horizontal="center" vertical="center" wrapText="1"/>
    </xf>
    <xf numFmtId="0" fontId="25" fillId="14" borderId="195" xfId="0" applyFont="1" applyFill="1" applyBorder="1" applyAlignment="1">
      <alignment horizontal="center" vertical="center"/>
    </xf>
    <xf numFmtId="0" fontId="25" fillId="14" borderId="56" xfId="0" applyFont="1" applyFill="1" applyBorder="1" applyAlignment="1">
      <alignment horizontal="center" vertical="center"/>
    </xf>
    <xf numFmtId="0" fontId="0" fillId="15" borderId="238" xfId="0" applyFill="1" applyBorder="1" applyAlignment="1" applyProtection="1">
      <alignment horizontal="center" vertical="top"/>
      <protection locked="0"/>
    </xf>
    <xf numFmtId="0" fontId="0" fillId="15" borderId="178" xfId="0" applyFill="1" applyBorder="1" applyAlignment="1" applyProtection="1">
      <alignment horizontal="center" vertical="top"/>
      <protection locked="0"/>
    </xf>
    <xf numFmtId="0" fontId="2" fillId="15" borderId="25" xfId="0" applyFont="1" applyFill="1" applyBorder="1" applyAlignment="1" applyProtection="1">
      <alignment horizontal="center" vertical="top"/>
      <protection locked="0"/>
    </xf>
    <xf numFmtId="0" fontId="0" fillId="14" borderId="25" xfId="0" applyFill="1" applyBorder="1" applyAlignment="1" applyProtection="1">
      <alignment horizontal="center" vertical="top"/>
      <protection locked="0"/>
    </xf>
    <xf numFmtId="0" fontId="0" fillId="14" borderId="0" xfId="0" applyFill="1" applyAlignment="1" applyProtection="1">
      <alignment horizontal="center" vertical="top"/>
      <protection locked="0"/>
    </xf>
    <xf numFmtId="0" fontId="0" fillId="14" borderId="26" xfId="0" applyFill="1" applyBorder="1" applyAlignment="1" applyProtection="1">
      <alignment horizontal="center" vertical="top"/>
      <protection locked="0"/>
    </xf>
    <xf numFmtId="0" fontId="2" fillId="15" borderId="25" xfId="0" applyFont="1" applyFill="1" applyBorder="1" applyAlignment="1" applyProtection="1">
      <alignment horizontal="center" vertical="center"/>
      <protection locked="0"/>
    </xf>
    <xf numFmtId="0" fontId="0" fillId="14" borderId="57" xfId="0" applyFill="1" applyBorder="1" applyAlignment="1" applyProtection="1">
      <alignment horizontal="center" vertical="center"/>
      <protection locked="0"/>
    </xf>
    <xf numFmtId="0" fontId="0" fillId="14" borderId="59" xfId="0" applyFill="1" applyBorder="1" applyAlignment="1" applyProtection="1">
      <alignment horizontal="center" vertical="center"/>
      <protection locked="0"/>
    </xf>
    <xf numFmtId="0" fontId="0" fillId="14" borderId="60" xfId="0" applyFill="1" applyBorder="1" applyAlignment="1" applyProtection="1">
      <alignment horizontal="center" vertical="center"/>
      <protection locked="0"/>
    </xf>
    <xf numFmtId="0" fontId="0" fillId="14" borderId="25" xfId="0" applyFill="1" applyBorder="1" applyAlignment="1" applyProtection="1">
      <alignment horizontal="center" vertical="center"/>
      <protection locked="0"/>
    </xf>
    <xf numFmtId="0" fontId="0" fillId="14" borderId="0" xfId="0" applyFill="1" applyAlignment="1" applyProtection="1">
      <alignment horizontal="center" vertical="center"/>
      <protection locked="0"/>
    </xf>
    <xf numFmtId="0" fontId="0" fillId="14" borderId="26" xfId="0" applyFill="1" applyBorder="1" applyAlignment="1" applyProtection="1">
      <alignment horizontal="center" vertical="center"/>
      <protection locked="0"/>
    </xf>
    <xf numFmtId="0" fontId="0" fillId="15" borderId="238" xfId="0" applyFill="1" applyBorder="1" applyAlignment="1" applyProtection="1">
      <alignment horizontal="center" vertical="center"/>
      <protection locked="0"/>
    </xf>
    <xf numFmtId="0" fontId="0" fillId="15" borderId="178" xfId="0" applyFill="1" applyBorder="1" applyAlignment="1" applyProtection="1">
      <alignment horizontal="center" vertical="center"/>
      <protection locked="0"/>
    </xf>
    <xf numFmtId="0" fontId="25" fillId="14" borderId="229" xfId="0" applyFont="1" applyFill="1" applyBorder="1" applyAlignment="1">
      <alignment horizontal="center" vertical="center" wrapText="1"/>
    </xf>
    <xf numFmtId="0" fontId="14" fillId="11" borderId="215" xfId="0" applyFont="1" applyFill="1" applyBorder="1" applyAlignment="1">
      <alignment horizontal="center" vertical="center"/>
    </xf>
    <xf numFmtId="44" fontId="5" fillId="28" borderId="215" xfId="2" applyFont="1" applyFill="1" applyBorder="1" applyAlignment="1" applyProtection="1">
      <alignment horizontal="center" vertical="center" wrapText="1"/>
    </xf>
    <xf numFmtId="0" fontId="8" fillId="0" borderId="215" xfId="0" applyFont="1" applyBorder="1" applyAlignment="1">
      <alignment horizontal="center" vertical="center" wrapText="1"/>
    </xf>
    <xf numFmtId="0" fontId="14" fillId="7" borderId="215" xfId="0" applyFont="1" applyFill="1" applyBorder="1" applyAlignment="1">
      <alignment horizontal="center" vertical="center"/>
    </xf>
    <xf numFmtId="0" fontId="5" fillId="11" borderId="215" xfId="0" applyFont="1" applyFill="1" applyBorder="1" applyAlignment="1">
      <alignment horizontal="center" vertical="center"/>
    </xf>
    <xf numFmtId="0" fontId="14" fillId="2" borderId="215" xfId="0" applyFont="1" applyFill="1" applyBorder="1" applyAlignment="1">
      <alignment horizontal="center" vertical="center"/>
    </xf>
    <xf numFmtId="0" fontId="14" fillId="7" borderId="215" xfId="0" applyFont="1" applyFill="1" applyBorder="1" applyAlignment="1">
      <alignment horizontal="center" vertical="center" wrapText="1"/>
    </xf>
    <xf numFmtId="0" fontId="14" fillId="11" borderId="215" xfId="0" applyFont="1" applyFill="1" applyBorder="1" applyAlignment="1" applyProtection="1">
      <alignment horizontal="center" vertical="center"/>
      <protection locked="0"/>
    </xf>
    <xf numFmtId="0" fontId="8" fillId="6" borderId="2" xfId="0" applyFont="1" applyFill="1" applyBorder="1" applyAlignment="1" applyProtection="1">
      <alignment horizontal="center" vertical="center"/>
      <protection locked="0"/>
    </xf>
    <xf numFmtId="0" fontId="8" fillId="6" borderId="3" xfId="0" applyFont="1" applyFill="1" applyBorder="1" applyAlignment="1" applyProtection="1">
      <alignment horizontal="center" vertical="center"/>
      <protection locked="0"/>
    </xf>
    <xf numFmtId="0" fontId="17" fillId="0" borderId="0" xfId="39" applyFont="1" applyAlignment="1">
      <alignment horizontal="center" vertical="center" wrapText="1"/>
    </xf>
    <xf numFmtId="0" fontId="9" fillId="43" borderId="237" xfId="39" applyFont="1" applyFill="1" applyBorder="1" applyAlignment="1">
      <alignment horizontal="center" vertical="center"/>
    </xf>
    <xf numFmtId="0" fontId="9" fillId="43" borderId="155" xfId="39" applyFont="1" applyFill="1" applyBorder="1" applyAlignment="1">
      <alignment horizontal="center" vertical="center"/>
    </xf>
    <xf numFmtId="0" fontId="9" fillId="44" borderId="237" xfId="39" applyFont="1" applyFill="1" applyBorder="1" applyAlignment="1">
      <alignment horizontal="center" vertical="center"/>
    </xf>
    <xf numFmtId="0" fontId="9" fillId="44" borderId="155" xfId="39" applyFont="1" applyFill="1" applyBorder="1" applyAlignment="1">
      <alignment horizontal="center" vertical="center"/>
    </xf>
    <xf numFmtId="0" fontId="9" fillId="42" borderId="237" xfId="39" applyFont="1" applyFill="1" applyBorder="1" applyAlignment="1">
      <alignment horizontal="center" vertical="center"/>
    </xf>
    <xf numFmtId="0" fontId="9" fillId="42" borderId="155" xfId="39" applyFont="1" applyFill="1" applyBorder="1" applyAlignment="1">
      <alignment horizontal="center" vertical="center"/>
    </xf>
    <xf numFmtId="0" fontId="5" fillId="7" borderId="236" xfId="39" applyFont="1" applyFill="1" applyBorder="1" applyAlignment="1">
      <alignment horizontal="center" vertical="center" wrapText="1"/>
    </xf>
    <xf numFmtId="0" fontId="5" fillId="7" borderId="42" xfId="39" applyFont="1" applyFill="1" applyBorder="1" applyAlignment="1">
      <alignment horizontal="center" vertical="center" wrapText="1"/>
    </xf>
    <xf numFmtId="0" fontId="5" fillId="7" borderId="195" xfId="39" applyFont="1" applyFill="1" applyBorder="1" applyAlignment="1">
      <alignment horizontal="center" vertical="center" wrapText="1"/>
    </xf>
    <xf numFmtId="0" fontId="5" fillId="7" borderId="56" xfId="39" applyFont="1" applyFill="1" applyBorder="1" applyAlignment="1">
      <alignment horizontal="center" vertical="center" wrapText="1"/>
    </xf>
    <xf numFmtId="0" fontId="5" fillId="11" borderId="242" xfId="39" applyFont="1" applyFill="1" applyBorder="1" applyAlignment="1">
      <alignment horizontal="center" vertical="center" wrapText="1"/>
    </xf>
    <xf numFmtId="0" fontId="5" fillId="11" borderId="228" xfId="39" applyFont="1" applyFill="1" applyBorder="1" applyAlignment="1">
      <alignment horizontal="center" vertical="center" wrapText="1"/>
    </xf>
    <xf numFmtId="0" fontId="14" fillId="2" borderId="242" xfId="39" applyFont="1" applyFill="1" applyBorder="1" applyAlignment="1">
      <alignment horizontal="center" vertical="center" wrapText="1"/>
    </xf>
    <xf numFmtId="0" fontId="14" fillId="2" borderId="228" xfId="39" applyFont="1" applyFill="1" applyBorder="1" applyAlignment="1">
      <alignment horizontal="center" vertical="center" wrapText="1"/>
    </xf>
    <xf numFmtId="0" fontId="14" fillId="7" borderId="215" xfId="39" applyFont="1" applyFill="1" applyBorder="1" applyAlignment="1">
      <alignment horizontal="center" vertical="center" wrapText="1"/>
    </xf>
    <xf numFmtId="0" fontId="5" fillId="24" borderId="195" xfId="39" applyFont="1" applyFill="1" applyBorder="1" applyAlignment="1">
      <alignment horizontal="center" vertical="center" wrapText="1"/>
    </xf>
    <xf numFmtId="0" fontId="5" fillId="24" borderId="89" xfId="39" applyFont="1" applyFill="1" applyBorder="1" applyAlignment="1">
      <alignment horizontal="center" vertical="center" wrapText="1"/>
    </xf>
    <xf numFmtId="0" fontId="9" fillId="42" borderId="193" xfId="39" applyFont="1" applyFill="1" applyBorder="1" applyAlignment="1">
      <alignment horizontal="center" vertical="center"/>
    </xf>
    <xf numFmtId="0" fontId="9" fillId="42" borderId="235" xfId="39" applyFont="1" applyFill="1" applyBorder="1" applyAlignment="1">
      <alignment horizontal="center" vertical="center"/>
    </xf>
    <xf numFmtId="0" fontId="20" fillId="43" borderId="103" xfId="39" applyFont="1" applyFill="1" applyBorder="1" applyAlignment="1">
      <alignment horizontal="center" vertical="center"/>
    </xf>
    <xf numFmtId="0" fontId="20" fillId="43" borderId="170" xfId="39" applyFont="1" applyFill="1" applyBorder="1" applyAlignment="1">
      <alignment horizontal="center" vertical="center"/>
    </xf>
    <xf numFmtId="0" fontId="20" fillId="44" borderId="103" xfId="39" applyFont="1" applyFill="1" applyBorder="1" applyAlignment="1">
      <alignment horizontal="center" vertical="center"/>
    </xf>
    <xf numFmtId="0" fontId="20" fillId="44" borderId="170" xfId="39" applyFont="1" applyFill="1" applyBorder="1" applyAlignment="1">
      <alignment horizontal="center" vertical="center"/>
    </xf>
    <xf numFmtId="0" fontId="20" fillId="42" borderId="103" xfId="39" applyFont="1" applyFill="1" applyBorder="1" applyAlignment="1">
      <alignment horizontal="center" vertical="center"/>
    </xf>
    <xf numFmtId="0" fontId="20" fillId="42" borderId="170" xfId="39" applyFont="1" applyFill="1" applyBorder="1" applyAlignment="1">
      <alignment horizontal="center" vertical="center"/>
    </xf>
    <xf numFmtId="173" fontId="6" fillId="24" borderId="237" xfId="39" applyNumberFormat="1" applyFill="1" applyBorder="1" applyAlignment="1">
      <alignment horizontal="center" vertical="center"/>
    </xf>
    <xf numFmtId="173" fontId="6" fillId="24" borderId="155" xfId="39" applyNumberFormat="1" applyFill="1" applyBorder="1" applyAlignment="1">
      <alignment horizontal="center" vertical="center"/>
    </xf>
    <xf numFmtId="173" fontId="6" fillId="24" borderId="193" xfId="39" applyNumberFormat="1" applyFill="1" applyBorder="1" applyAlignment="1">
      <alignment horizontal="center" vertical="center"/>
    </xf>
    <xf numFmtId="0" fontId="5" fillId="7" borderId="236" xfId="39" applyFont="1" applyFill="1" applyBorder="1" applyAlignment="1">
      <alignment horizontal="center" vertical="center"/>
    </xf>
    <xf numFmtId="0" fontId="5" fillId="7" borderId="42" xfId="39" applyFont="1" applyFill="1" applyBorder="1" applyAlignment="1">
      <alignment horizontal="center" vertical="center"/>
    </xf>
    <xf numFmtId="0" fontId="9" fillId="43" borderId="233" xfId="39" applyFont="1" applyFill="1" applyBorder="1" applyAlignment="1">
      <alignment horizontal="center" vertical="center"/>
    </xf>
    <xf numFmtId="0" fontId="9" fillId="43" borderId="153" xfId="39" applyFont="1" applyFill="1" applyBorder="1" applyAlignment="1">
      <alignment horizontal="center" vertical="center"/>
    </xf>
    <xf numFmtId="0" fontId="9" fillId="44" borderId="233" xfId="39" applyFont="1" applyFill="1" applyBorder="1" applyAlignment="1">
      <alignment horizontal="center" vertical="center"/>
    </xf>
    <xf numFmtId="0" fontId="9" fillId="44" borderId="235" xfId="39" applyFont="1" applyFill="1" applyBorder="1" applyAlignment="1">
      <alignment horizontal="center" vertical="center"/>
    </xf>
    <xf numFmtId="0" fontId="17" fillId="14" borderId="0" xfId="39" applyFont="1" applyFill="1" applyAlignment="1">
      <alignment horizontal="center" vertical="center"/>
    </xf>
    <xf numFmtId="0" fontId="5" fillId="0" borderId="0" xfId="39" applyFont="1" applyAlignment="1">
      <alignment horizontal="center" vertical="center"/>
    </xf>
    <xf numFmtId="0" fontId="5" fillId="7" borderId="238" xfId="39" applyFont="1" applyFill="1" applyBorder="1" applyAlignment="1">
      <alignment horizontal="center" vertical="center" wrapText="1"/>
    </xf>
    <xf numFmtId="0" fontId="5" fillId="7" borderId="241" xfId="39" applyFont="1" applyFill="1" applyBorder="1" applyAlignment="1">
      <alignment horizontal="center" vertical="center" wrapText="1"/>
    </xf>
    <xf numFmtId="0" fontId="5" fillId="7" borderId="57" xfId="39" applyFont="1" applyFill="1" applyBorder="1" applyAlignment="1">
      <alignment horizontal="center" vertical="center" wrapText="1"/>
    </xf>
    <xf numFmtId="0" fontId="5" fillId="7" borderId="101" xfId="39" applyFont="1" applyFill="1" applyBorder="1" applyAlignment="1">
      <alignment horizontal="center" vertical="center" wrapText="1"/>
    </xf>
    <xf numFmtId="0" fontId="10" fillId="7" borderId="239" xfId="39" applyFont="1" applyFill="1" applyBorder="1" applyAlignment="1">
      <alignment horizontal="center" vertical="center" wrapText="1"/>
    </xf>
    <xf numFmtId="0" fontId="10" fillId="7" borderId="5" xfId="39" applyFont="1" applyFill="1" applyBorder="1" applyAlignment="1">
      <alignment horizontal="center" vertical="center" wrapText="1"/>
    </xf>
    <xf numFmtId="0" fontId="10" fillId="7" borderId="178" xfId="39" applyFont="1" applyFill="1" applyBorder="1" applyAlignment="1">
      <alignment horizontal="center" vertical="center" wrapText="1"/>
    </xf>
    <xf numFmtId="0" fontId="9" fillId="43" borderId="183" xfId="39" applyFont="1" applyFill="1" applyBorder="1" applyAlignment="1">
      <alignment horizontal="center" vertical="center"/>
    </xf>
    <xf numFmtId="0" fontId="8" fillId="42" borderId="195" xfId="39" applyFont="1" applyFill="1" applyBorder="1" applyAlignment="1">
      <alignment horizontal="center" vertical="center" textRotation="90" wrapText="1"/>
    </xf>
    <xf numFmtId="0" fontId="8" fillId="42" borderId="89" xfId="39" applyFont="1" applyFill="1" applyBorder="1" applyAlignment="1">
      <alignment horizontal="center" vertical="center" textRotation="90" wrapText="1"/>
    </xf>
    <xf numFmtId="0" fontId="8" fillId="42" borderId="56" xfId="39" applyFont="1" applyFill="1" applyBorder="1" applyAlignment="1">
      <alignment horizontal="center" vertical="center" textRotation="90" wrapText="1"/>
    </xf>
    <xf numFmtId="0" fontId="8" fillId="42" borderId="195" xfId="39" applyFont="1" applyFill="1" applyBorder="1" applyAlignment="1">
      <alignment horizontal="left" vertical="center" wrapText="1"/>
    </xf>
    <xf numFmtId="0" fontId="8" fillId="42" borderId="89" xfId="39" applyFont="1" applyFill="1" applyBorder="1" applyAlignment="1">
      <alignment horizontal="left" vertical="center" wrapText="1"/>
    </xf>
    <xf numFmtId="0" fontId="8" fillId="42" borderId="56" xfId="39" applyFont="1" applyFill="1" applyBorder="1" applyAlignment="1">
      <alignment horizontal="left" vertical="center" wrapText="1"/>
    </xf>
    <xf numFmtId="0" fontId="9" fillId="42" borderId="183" xfId="39" applyFont="1" applyFill="1" applyBorder="1" applyAlignment="1">
      <alignment horizontal="center" vertical="center"/>
    </xf>
    <xf numFmtId="0" fontId="8" fillId="42" borderId="195" xfId="0" applyFont="1" applyFill="1" applyBorder="1" applyAlignment="1">
      <alignment horizontal="center" vertical="center" textRotation="90" wrapText="1"/>
    </xf>
    <xf numFmtId="0" fontId="8" fillId="42" borderId="89" xfId="0" applyFont="1" applyFill="1" applyBorder="1" applyAlignment="1">
      <alignment horizontal="center" vertical="center" textRotation="90" wrapText="1"/>
    </xf>
    <xf numFmtId="0" fontId="8" fillId="42" borderId="56" xfId="0" applyFont="1" applyFill="1" applyBorder="1" applyAlignment="1">
      <alignment horizontal="center" vertical="center" textRotation="90" wrapText="1"/>
    </xf>
    <xf numFmtId="0" fontId="8" fillId="42" borderId="195" xfId="0" applyFont="1" applyFill="1" applyBorder="1" applyAlignment="1">
      <alignment horizontal="left" vertical="center" wrapText="1"/>
    </xf>
    <xf numFmtId="0" fontId="8" fillId="42" borderId="89" xfId="0" applyFont="1" applyFill="1" applyBorder="1" applyAlignment="1">
      <alignment horizontal="left" vertical="center" wrapText="1"/>
    </xf>
    <xf numFmtId="0" fontId="8" fillId="42" borderId="56" xfId="0" applyFont="1" applyFill="1" applyBorder="1" applyAlignment="1">
      <alignment horizontal="left" vertical="center" wrapText="1"/>
    </xf>
    <xf numFmtId="0" fontId="19" fillId="42" borderId="26" xfId="39" applyFont="1" applyFill="1" applyBorder="1" applyAlignment="1">
      <alignment horizontal="center" vertical="center" textRotation="90" wrapText="1"/>
    </xf>
    <xf numFmtId="0" fontId="19" fillId="42" borderId="60" xfId="39" applyFont="1" applyFill="1" applyBorder="1" applyAlignment="1">
      <alignment horizontal="center" vertical="center" textRotation="90" wrapText="1"/>
    </xf>
    <xf numFmtId="0" fontId="8" fillId="6" borderId="44" xfId="39" applyFont="1" applyFill="1" applyBorder="1" applyAlignment="1" applyProtection="1">
      <alignment horizontal="left" vertical="center" wrapText="1"/>
      <protection locked="0"/>
    </xf>
    <xf numFmtId="0" fontId="8" fillId="6" borderId="217" xfId="39" applyFont="1" applyFill="1" applyBorder="1" applyAlignment="1" applyProtection="1">
      <alignment horizontal="left" vertical="center" wrapText="1"/>
      <protection locked="0"/>
    </xf>
    <xf numFmtId="0" fontId="8" fillId="6" borderId="18" xfId="39" applyFont="1" applyFill="1" applyBorder="1" applyAlignment="1" applyProtection="1">
      <alignment horizontal="left" vertical="center" wrapText="1"/>
      <protection locked="0"/>
    </xf>
    <xf numFmtId="0" fontId="8" fillId="6" borderId="8" xfId="39" applyFont="1" applyFill="1" applyBorder="1" applyAlignment="1" applyProtection="1">
      <alignment horizontal="left" vertical="center" wrapText="1"/>
      <protection locked="0"/>
    </xf>
    <xf numFmtId="0" fontId="8" fillId="6" borderId="238" xfId="39" applyFont="1" applyFill="1" applyBorder="1" applyAlignment="1" applyProtection="1">
      <alignment horizontal="left" vertical="center" wrapText="1"/>
      <protection locked="0"/>
    </xf>
    <xf numFmtId="0" fontId="8" fillId="6" borderId="25" xfId="39" applyFont="1" applyFill="1" applyBorder="1" applyAlignment="1" applyProtection="1">
      <alignment horizontal="left" vertical="center" wrapText="1"/>
      <protection locked="0"/>
    </xf>
    <xf numFmtId="0" fontId="8" fillId="6" borderId="57" xfId="39" applyFont="1" applyFill="1" applyBorder="1" applyAlignment="1" applyProtection="1">
      <alignment horizontal="left" vertical="center" wrapText="1"/>
      <protection locked="0"/>
    </xf>
    <xf numFmtId="0" fontId="17" fillId="0" borderId="0" xfId="0" applyFont="1" applyAlignment="1">
      <alignment horizontal="left" vertical="center" indent="2"/>
    </xf>
    <xf numFmtId="0" fontId="5" fillId="2" borderId="72" xfId="0" applyFont="1" applyFill="1" applyBorder="1" applyAlignment="1">
      <alignment horizontal="center" vertical="center" wrapText="1"/>
    </xf>
    <xf numFmtId="0" fontId="5" fillId="2" borderId="98" xfId="0" applyFont="1" applyFill="1" applyBorder="1" applyAlignment="1">
      <alignment horizontal="center" vertical="center" wrapText="1"/>
    </xf>
    <xf numFmtId="0" fontId="5" fillId="2" borderId="75" xfId="0" applyFont="1" applyFill="1" applyBorder="1" applyAlignment="1">
      <alignment horizontal="center" vertical="center" wrapText="1"/>
    </xf>
    <xf numFmtId="0" fontId="5" fillId="2" borderId="88" xfId="0" applyFont="1" applyFill="1" applyBorder="1" applyAlignment="1">
      <alignment horizontal="center" vertical="center" wrapText="1"/>
    </xf>
    <xf numFmtId="0" fontId="11" fillId="45" borderId="5" xfId="0" applyFont="1" applyFill="1" applyBorder="1" applyAlignment="1">
      <alignment horizontal="center" vertical="center"/>
    </xf>
    <xf numFmtId="0" fontId="8" fillId="0" borderId="166" xfId="0" applyFont="1" applyBorder="1" applyAlignment="1">
      <alignment horizontal="center" vertical="center" wrapText="1"/>
    </xf>
    <xf numFmtId="0" fontId="8" fillId="0" borderId="16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00" xfId="0" applyFont="1" applyBorder="1" applyAlignment="1">
      <alignment horizontal="center" vertical="center"/>
    </xf>
    <xf numFmtId="0" fontId="8" fillId="0" borderId="174" xfId="0" applyFont="1" applyBorder="1" applyAlignment="1">
      <alignment horizontal="center" vertical="center"/>
    </xf>
    <xf numFmtId="0" fontId="8" fillId="0" borderId="103" xfId="0" applyFont="1" applyBorder="1" applyAlignment="1">
      <alignment horizontal="center" vertical="center"/>
    </xf>
    <xf numFmtId="0" fontId="8" fillId="7" borderId="19" xfId="0" applyFont="1" applyFill="1" applyBorder="1" applyAlignment="1">
      <alignment horizontal="center" vertical="center"/>
    </xf>
    <xf numFmtId="0" fontId="8" fillId="7" borderId="5" xfId="0" applyFont="1" applyFill="1" applyBorder="1" applyAlignment="1">
      <alignment horizontal="center" vertical="center"/>
    </xf>
    <xf numFmtId="0" fontId="8" fillId="7" borderId="20" xfId="0" applyFont="1" applyFill="1" applyBorder="1" applyAlignment="1">
      <alignment horizontal="center" vertical="center"/>
    </xf>
    <xf numFmtId="177" fontId="1" fillId="1" borderId="174" xfId="4" applyNumberFormat="1" applyFont="1" applyFill="1" applyBorder="1" applyAlignment="1" applyProtection="1">
      <alignment horizontal="center" vertical="center"/>
    </xf>
    <xf numFmtId="177" fontId="1" fillId="1" borderId="87" xfId="4" applyNumberFormat="1" applyFont="1" applyFill="1" applyBorder="1" applyAlignment="1" applyProtection="1">
      <alignment horizontal="center" vertical="center"/>
    </xf>
    <xf numFmtId="177" fontId="1" fillId="1" borderId="165" xfId="4" applyNumberFormat="1" applyFont="1" applyFill="1" applyBorder="1" applyAlignment="1" applyProtection="1">
      <alignment horizontal="center" vertical="center"/>
    </xf>
    <xf numFmtId="0" fontId="8" fillId="0" borderId="72"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40" xfId="0" applyFont="1" applyBorder="1" applyAlignment="1">
      <alignment horizontal="center" vertical="center" wrapText="1"/>
    </xf>
    <xf numFmtId="0" fontId="8" fillId="0" borderId="171" xfId="0" applyFont="1" applyBorder="1" applyAlignment="1">
      <alignment horizontal="center" vertical="center" wrapText="1"/>
    </xf>
    <xf numFmtId="0" fontId="8" fillId="0" borderId="174" xfId="0" applyFont="1" applyBorder="1" applyAlignment="1">
      <alignment horizontal="center" vertical="center" wrapText="1"/>
    </xf>
    <xf numFmtId="0" fontId="8" fillId="0" borderId="172" xfId="0" applyFont="1" applyBorder="1" applyAlignment="1">
      <alignment horizontal="center" vertical="center" wrapText="1"/>
    </xf>
    <xf numFmtId="0" fontId="8" fillId="0" borderId="100" xfId="0" applyFont="1" applyBorder="1" applyAlignment="1">
      <alignment horizontal="center" vertical="center" wrapText="1"/>
    </xf>
    <xf numFmtId="0" fontId="8" fillId="0" borderId="103" xfId="0" applyFont="1" applyBorder="1" applyAlignment="1">
      <alignment horizontal="center" vertical="center" wrapText="1"/>
    </xf>
    <xf numFmtId="0" fontId="17" fillId="14" borderId="0" xfId="0" applyFont="1" applyFill="1" applyAlignment="1">
      <alignment horizontal="left" vertical="center" indent="2"/>
    </xf>
    <xf numFmtId="0" fontId="5" fillId="7" borderId="72" xfId="0" applyFont="1" applyFill="1" applyBorder="1" applyAlignment="1">
      <alignment horizontal="center" vertical="center" wrapText="1"/>
    </xf>
    <xf numFmtId="0" fontId="5" fillId="7" borderId="40"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5" fillId="7" borderId="49" xfId="0" applyFont="1" applyFill="1" applyBorder="1" applyAlignment="1">
      <alignment horizontal="center" vertical="center" wrapText="1"/>
    </xf>
    <xf numFmtId="0" fontId="5" fillId="7" borderId="73" xfId="0" applyFont="1" applyFill="1" applyBorder="1" applyAlignment="1">
      <alignment horizontal="center" vertical="center"/>
    </xf>
    <xf numFmtId="0" fontId="5" fillId="7" borderId="35" xfId="0" applyFont="1" applyFill="1" applyBorder="1" applyAlignment="1">
      <alignment horizontal="center" vertical="center"/>
    </xf>
    <xf numFmtId="0" fontId="5" fillId="7" borderId="73" xfId="0" applyFont="1" applyFill="1" applyBorder="1" applyAlignment="1">
      <alignment horizontal="center" vertical="center" wrapText="1"/>
    </xf>
    <xf numFmtId="0" fontId="5" fillId="7" borderId="35" xfId="0" applyFont="1" applyFill="1" applyBorder="1" applyAlignment="1">
      <alignment horizontal="center" vertical="center" wrapText="1"/>
    </xf>
    <xf numFmtId="0" fontId="8" fillId="41" borderId="55" xfId="0" applyFont="1" applyFill="1" applyBorder="1" applyAlignment="1">
      <alignment horizontal="center" vertical="center" wrapText="1"/>
    </xf>
    <xf numFmtId="0" fontId="8" fillId="41" borderId="89" xfId="0" applyFont="1" applyFill="1" applyBorder="1" applyAlignment="1">
      <alignment horizontal="center" vertical="center" wrapText="1"/>
    </xf>
    <xf numFmtId="0" fontId="8" fillId="41" borderId="56" xfId="0" applyFont="1" applyFill="1" applyBorder="1" applyAlignment="1">
      <alignment horizontal="center" vertical="center" wrapText="1"/>
    </xf>
    <xf numFmtId="173" fontId="25" fillId="36" borderId="178" xfId="0" applyNumberFormat="1" applyFont="1" applyFill="1" applyBorder="1" applyAlignment="1">
      <alignment horizontal="center" vertical="center"/>
    </xf>
    <xf numFmtId="173" fontId="25" fillId="36" borderId="26" xfId="0" applyNumberFormat="1" applyFont="1" applyFill="1" applyBorder="1" applyAlignment="1">
      <alignment horizontal="center" vertical="center"/>
    </xf>
    <xf numFmtId="173" fontId="25" fillId="36" borderId="60" xfId="0" applyNumberFormat="1" applyFont="1" applyFill="1" applyBorder="1" applyAlignment="1">
      <alignment horizontal="center" vertical="center"/>
    </xf>
    <xf numFmtId="0" fontId="5" fillId="7" borderId="186" xfId="0" applyFont="1" applyFill="1" applyBorder="1" applyAlignment="1">
      <alignment horizontal="center" vertical="center" wrapText="1"/>
    </xf>
    <xf numFmtId="0" fontId="5" fillId="7" borderId="42" xfId="0" applyFont="1" applyFill="1" applyBorder="1" applyAlignment="1">
      <alignment horizontal="center" vertical="center" wrapText="1"/>
    </xf>
    <xf numFmtId="0" fontId="5" fillId="23" borderId="73" xfId="0" applyFont="1" applyFill="1" applyBorder="1" applyAlignment="1">
      <alignment horizontal="center" vertical="center" wrapText="1"/>
    </xf>
    <xf numFmtId="0" fontId="5" fillId="23" borderId="35" xfId="0" applyFont="1" applyFill="1" applyBorder="1" applyAlignment="1">
      <alignment horizontal="center" vertical="center" wrapText="1"/>
    </xf>
    <xf numFmtId="0" fontId="5" fillId="23" borderId="75" xfId="0" applyFont="1" applyFill="1" applyBorder="1" applyAlignment="1">
      <alignment horizontal="center" vertical="center" wrapText="1"/>
    </xf>
    <xf numFmtId="0" fontId="5" fillId="23" borderId="17" xfId="0" applyFont="1" applyFill="1" applyBorder="1" applyAlignment="1">
      <alignment horizontal="center" vertical="center" wrapText="1"/>
    </xf>
    <xf numFmtId="0" fontId="8" fillId="41" borderId="100" xfId="0" applyFont="1" applyFill="1" applyBorder="1" applyAlignment="1">
      <alignment horizontal="center" vertical="center" wrapText="1"/>
    </xf>
    <xf numFmtId="0" fontId="8" fillId="41" borderId="51" xfId="0" applyFont="1" applyFill="1" applyBorder="1" applyAlignment="1">
      <alignment horizontal="center" vertical="center" wrapText="1"/>
    </xf>
    <xf numFmtId="0" fontId="8" fillId="41" borderId="103" xfId="0" applyFont="1" applyFill="1" applyBorder="1" applyAlignment="1">
      <alignment horizontal="center" vertical="center" wrapText="1"/>
    </xf>
    <xf numFmtId="173" fontId="25" fillId="36" borderId="164" xfId="0" applyNumberFormat="1" applyFont="1" applyFill="1" applyBorder="1" applyAlignment="1">
      <alignment horizontal="center" vertical="center"/>
    </xf>
    <xf numFmtId="0" fontId="8" fillId="41" borderId="19" xfId="0" applyFont="1" applyFill="1" applyBorder="1" applyAlignment="1">
      <alignment horizontal="center" vertical="center" wrapText="1"/>
    </xf>
    <xf numFmtId="0" fontId="8" fillId="41" borderId="25" xfId="0" applyFont="1" applyFill="1" applyBorder="1" applyAlignment="1">
      <alignment horizontal="center" vertical="center" wrapText="1"/>
    </xf>
    <xf numFmtId="0" fontId="8" fillId="41" borderId="57" xfId="0" applyFont="1" applyFill="1" applyBorder="1" applyAlignment="1">
      <alignment horizontal="center" vertical="center" wrapText="1"/>
    </xf>
    <xf numFmtId="0" fontId="8" fillId="41" borderId="195" xfId="0" applyFont="1" applyFill="1" applyBorder="1" applyAlignment="1">
      <alignment horizontal="center" vertical="center" wrapText="1"/>
    </xf>
    <xf numFmtId="0" fontId="8" fillId="41" borderId="191" xfId="0" applyFont="1" applyFill="1" applyBorder="1" applyAlignment="1">
      <alignment horizontal="center" vertical="center" wrapText="1"/>
    </xf>
    <xf numFmtId="0" fontId="9" fillId="14" borderId="0" xfId="0" applyFont="1" applyFill="1" applyAlignment="1">
      <alignment horizontal="center" vertical="center"/>
    </xf>
    <xf numFmtId="173" fontId="25" fillId="36" borderId="185" xfId="0" applyNumberFormat="1" applyFont="1" applyFill="1" applyBorder="1" applyAlignment="1">
      <alignment horizontal="center" vertical="center"/>
    </xf>
    <xf numFmtId="0" fontId="8" fillId="6" borderId="94" xfId="0" applyFont="1" applyFill="1" applyBorder="1" applyAlignment="1">
      <alignment horizontal="center" vertical="center"/>
    </xf>
    <xf numFmtId="0" fontId="8" fillId="6" borderId="108" xfId="0" applyFont="1" applyFill="1" applyBorder="1" applyAlignment="1">
      <alignment horizontal="center" vertical="center"/>
    </xf>
    <xf numFmtId="0" fontId="0" fillId="50" borderId="95" xfId="0" applyFill="1" applyBorder="1" applyAlignment="1">
      <alignment horizontal="left" vertical="center" wrapText="1"/>
    </xf>
    <xf numFmtId="0" fontId="0" fillId="50" borderId="109" xfId="0" applyFill="1" applyBorder="1" applyAlignment="1">
      <alignment horizontal="left" vertical="center" wrapText="1"/>
    </xf>
    <xf numFmtId="0" fontId="0" fillId="50" borderId="110" xfId="0" applyFill="1" applyBorder="1" applyAlignment="1">
      <alignment horizontal="left" vertical="center" wrapText="1"/>
    </xf>
    <xf numFmtId="0" fontId="0" fillId="50" borderId="82" xfId="0" applyFill="1" applyBorder="1" applyAlignment="1">
      <alignment horizontal="left" vertical="center" wrapText="1"/>
    </xf>
    <xf numFmtId="0" fontId="0" fillId="50" borderId="0" xfId="0" applyFill="1" applyAlignment="1">
      <alignment horizontal="left" vertical="center" wrapText="1"/>
    </xf>
    <xf numFmtId="0" fontId="0" fillId="50" borderId="111" xfId="0" applyFill="1" applyBorder="1" applyAlignment="1">
      <alignment horizontal="left" vertical="center" wrapText="1"/>
    </xf>
    <xf numFmtId="0" fontId="0" fillId="50" borderId="46" xfId="0" applyFill="1" applyBorder="1" applyAlignment="1">
      <alignment horizontal="left" vertical="center" wrapText="1"/>
    </xf>
    <xf numFmtId="0" fontId="0" fillId="50" borderId="112" xfId="0" applyFill="1" applyBorder="1" applyAlignment="1">
      <alignment horizontal="left" vertical="center" wrapText="1"/>
    </xf>
    <xf numFmtId="0" fontId="0" fillId="50" borderId="47" xfId="0" applyFill="1" applyBorder="1" applyAlignment="1">
      <alignment horizontal="left" vertical="center" wrapText="1"/>
    </xf>
    <xf numFmtId="0" fontId="5" fillId="2" borderId="40" xfId="0" applyFont="1" applyFill="1" applyBorder="1" applyAlignment="1">
      <alignment horizontal="center" vertical="center" wrapText="1"/>
    </xf>
    <xf numFmtId="0" fontId="5" fillId="2" borderId="74" xfId="0" applyFont="1" applyFill="1" applyBorder="1" applyAlignment="1">
      <alignment horizontal="center" vertical="center" wrapText="1"/>
    </xf>
    <xf numFmtId="0" fontId="5" fillId="2" borderId="95" xfId="0" applyFont="1" applyFill="1" applyBorder="1" applyAlignment="1">
      <alignment horizontal="center" vertical="center" wrapText="1"/>
    </xf>
    <xf numFmtId="165" fontId="11" fillId="12" borderId="113" xfId="0" applyNumberFormat="1" applyFont="1" applyFill="1" applyBorder="1" applyAlignment="1">
      <alignment horizontal="center" vertical="center" wrapText="1"/>
    </xf>
    <xf numFmtId="165" fontId="11" fillId="12" borderId="114" xfId="0" applyNumberFormat="1" applyFont="1" applyFill="1" applyBorder="1" applyAlignment="1">
      <alignment horizontal="center" vertical="center" wrapText="1"/>
    </xf>
    <xf numFmtId="44" fontId="5" fillId="7" borderId="113" xfId="2" applyFont="1" applyFill="1" applyBorder="1" applyAlignment="1" applyProtection="1">
      <alignment horizontal="center" vertical="center"/>
    </xf>
    <xf numFmtId="44" fontId="5" fillId="7" borderId="114" xfId="2" applyFont="1" applyFill="1" applyBorder="1" applyAlignment="1" applyProtection="1">
      <alignment horizontal="center" vertical="center"/>
    </xf>
    <xf numFmtId="44" fontId="5" fillId="7" borderId="115" xfId="2" applyFont="1" applyFill="1" applyBorder="1" applyAlignment="1" applyProtection="1">
      <alignment horizontal="center" vertical="center"/>
    </xf>
    <xf numFmtId="0" fontId="5" fillId="7" borderId="116" xfId="0" applyFont="1" applyFill="1" applyBorder="1" applyAlignment="1">
      <alignment horizontal="center" vertical="center"/>
    </xf>
    <xf numFmtId="0" fontId="5" fillId="7" borderId="117" xfId="0" applyFont="1" applyFill="1" applyBorder="1" applyAlignment="1">
      <alignment horizontal="center" vertical="center"/>
    </xf>
    <xf numFmtId="0" fontId="5" fillId="7" borderId="118" xfId="0" applyFont="1" applyFill="1" applyBorder="1" applyAlignment="1">
      <alignment horizontal="center" vertical="center"/>
    </xf>
    <xf numFmtId="0" fontId="10" fillId="0" borderId="19"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100" xfId="0" applyFont="1" applyBorder="1" applyAlignment="1">
      <alignment horizontal="center" vertical="center" wrapText="1"/>
    </xf>
    <xf numFmtId="0" fontId="10" fillId="0" borderId="174" xfId="0" applyFont="1" applyBorder="1" applyAlignment="1">
      <alignment horizontal="center" vertical="center" wrapText="1"/>
    </xf>
    <xf numFmtId="0" fontId="10" fillId="0" borderId="103" xfId="0" applyFont="1" applyBorder="1" applyAlignment="1">
      <alignment horizontal="center" vertical="center" wrapText="1"/>
    </xf>
    <xf numFmtId="0" fontId="10" fillId="0" borderId="25" xfId="0" applyFont="1" applyBorder="1" applyAlignment="1">
      <alignment horizontal="center" vertical="center" wrapText="1"/>
    </xf>
    <xf numFmtId="0" fontId="5" fillId="7" borderId="119" xfId="0" applyFont="1" applyFill="1" applyBorder="1" applyAlignment="1">
      <alignment horizontal="center" vertical="center" wrapText="1"/>
    </xf>
    <xf numFmtId="0" fontId="5" fillId="7" borderId="125" xfId="0" applyFont="1" applyFill="1" applyBorder="1" applyAlignment="1">
      <alignment horizontal="center" vertical="center" wrapText="1"/>
    </xf>
    <xf numFmtId="0" fontId="10" fillId="0" borderId="100" xfId="0" applyFont="1" applyBorder="1" applyAlignment="1">
      <alignment horizontal="center" vertical="center"/>
    </xf>
    <xf numFmtId="0" fontId="10" fillId="0" borderId="103" xfId="0" applyFont="1" applyBorder="1" applyAlignment="1">
      <alignment horizontal="center" vertical="center"/>
    </xf>
    <xf numFmtId="0" fontId="8" fillId="14" borderId="10" xfId="0" applyFont="1" applyFill="1" applyBorder="1" applyAlignment="1">
      <alignment horizontal="center" vertical="center"/>
    </xf>
    <xf numFmtId="0" fontId="8" fillId="14" borderId="11" xfId="0" applyFont="1" applyFill="1" applyBorder="1" applyAlignment="1">
      <alignment horizontal="center" vertical="center"/>
    </xf>
    <xf numFmtId="0" fontId="0" fillId="14" borderId="0" xfId="0" applyFill="1" applyAlignment="1">
      <alignment horizontal="center" vertical="center" wrapText="1"/>
    </xf>
    <xf numFmtId="0" fontId="0" fillId="14" borderId="0" xfId="0" applyFill="1" applyAlignment="1">
      <alignment horizontal="center"/>
    </xf>
    <xf numFmtId="0" fontId="31" fillId="14" borderId="0" xfId="0" applyFont="1" applyFill="1" applyAlignment="1">
      <alignment horizontal="center"/>
    </xf>
    <xf numFmtId="0" fontId="5" fillId="14" borderId="0" xfId="0" applyFont="1" applyFill="1" applyAlignment="1">
      <alignment horizontal="center" vertical="center"/>
    </xf>
    <xf numFmtId="0" fontId="8" fillId="6" borderId="94" xfId="0" applyFont="1" applyFill="1" applyBorder="1" applyAlignment="1" applyProtection="1">
      <alignment horizontal="center" vertical="center"/>
      <protection locked="0"/>
    </xf>
    <xf numFmtId="0" fontId="8" fillId="6" borderId="108" xfId="0" applyFont="1" applyFill="1" applyBorder="1" applyAlignment="1" applyProtection="1">
      <alignment horizontal="center" vertical="center"/>
      <protection locked="0"/>
    </xf>
    <xf numFmtId="0" fontId="0" fillId="50" borderId="127" xfId="0" applyFill="1" applyBorder="1" applyAlignment="1">
      <alignment horizontal="left" vertical="center" wrapText="1"/>
    </xf>
    <xf numFmtId="0" fontId="0" fillId="50" borderId="128" xfId="0" applyFill="1" applyBorder="1" applyAlignment="1">
      <alignment horizontal="left" vertical="center" wrapText="1"/>
    </xf>
    <xf numFmtId="0" fontId="0" fillId="50" borderId="92" xfId="0" applyFill="1" applyBorder="1" applyAlignment="1">
      <alignment horizontal="left" vertical="center" wrapText="1"/>
    </xf>
    <xf numFmtId="0" fontId="0" fillId="50" borderId="129" xfId="0" applyFill="1" applyBorder="1" applyAlignment="1">
      <alignment horizontal="left" vertical="center" wrapText="1"/>
    </xf>
    <xf numFmtId="0" fontId="0" fillId="50" borderId="45" xfId="0" applyFill="1" applyBorder="1" applyAlignment="1">
      <alignment horizontal="left" vertical="center" wrapText="1"/>
    </xf>
    <xf numFmtId="0" fontId="23" fillId="14" borderId="0" xfId="0" applyFont="1" applyFill="1" applyAlignment="1">
      <alignment horizontal="left" vertical="center"/>
    </xf>
    <xf numFmtId="0" fontId="2" fillId="14" borderId="77" xfId="0" applyFont="1" applyFill="1" applyBorder="1" applyAlignment="1">
      <alignment horizontal="center" vertical="center"/>
    </xf>
    <xf numFmtId="0" fontId="2" fillId="14" borderId="177" xfId="0" applyFont="1" applyFill="1" applyBorder="1" applyAlignment="1">
      <alignment horizontal="center" vertical="center"/>
    </xf>
    <xf numFmtId="0" fontId="2" fillId="14" borderId="78" xfId="0" applyFont="1" applyFill="1" applyBorder="1" applyAlignment="1">
      <alignment horizontal="center" vertical="center"/>
    </xf>
    <xf numFmtId="0" fontId="8" fillId="14" borderId="0" xfId="0" applyFont="1" applyFill="1" applyAlignment="1" applyProtection="1">
      <alignment horizontal="center" vertical="center"/>
      <protection locked="0"/>
    </xf>
    <xf numFmtId="1" fontId="0" fillId="14" borderId="0" xfId="0" applyNumberFormat="1" applyFill="1" applyAlignment="1">
      <alignment horizontal="center" vertical="center"/>
    </xf>
    <xf numFmtId="179" fontId="0" fillId="14" borderId="0" xfId="0" applyNumberFormat="1" applyFill="1" applyAlignment="1">
      <alignment horizontal="center" vertical="center"/>
    </xf>
    <xf numFmtId="9" fontId="0" fillId="14" borderId="0" xfId="0" applyNumberFormat="1" applyFill="1" applyAlignment="1">
      <alignment horizontal="center" vertical="center"/>
    </xf>
    <xf numFmtId="165" fontId="8" fillId="11" borderId="238" xfId="0" applyNumberFormat="1" applyFont="1" applyFill="1" applyBorder="1" applyAlignment="1">
      <alignment horizontal="center" vertical="center" wrapText="1"/>
    </xf>
    <xf numFmtId="165" fontId="8" fillId="11" borderId="5" xfId="0" applyNumberFormat="1" applyFont="1" applyFill="1" applyBorder="1" applyAlignment="1">
      <alignment horizontal="center" vertical="center" wrapText="1"/>
    </xf>
    <xf numFmtId="165" fontId="8" fillId="11" borderId="178" xfId="0" applyNumberFormat="1" applyFont="1" applyFill="1" applyBorder="1" applyAlignment="1">
      <alignment horizontal="center" vertical="center" wrapText="1"/>
    </xf>
    <xf numFmtId="0" fontId="0" fillId="66" borderId="25" xfId="0" applyFill="1" applyBorder="1" applyAlignment="1" applyProtection="1">
      <alignment horizontal="center" vertical="center"/>
      <protection locked="0"/>
    </xf>
    <xf numFmtId="0" fontId="0" fillId="66" borderId="0" xfId="0" applyFill="1" applyAlignment="1" applyProtection="1">
      <alignment horizontal="center" vertical="center"/>
      <protection locked="0"/>
    </xf>
    <xf numFmtId="0" fontId="0" fillId="66" borderId="26" xfId="0" applyFill="1" applyBorder="1" applyAlignment="1" applyProtection="1">
      <alignment horizontal="center" vertical="center"/>
      <protection locked="0"/>
    </xf>
    <xf numFmtId="0" fontId="5" fillId="66" borderId="25" xfId="0" applyFont="1" applyFill="1" applyBorder="1" applyAlignment="1" applyProtection="1">
      <alignment horizontal="center" vertical="center"/>
      <protection locked="0"/>
    </xf>
    <xf numFmtId="0" fontId="5" fillId="66" borderId="0" xfId="0" applyFont="1" applyFill="1" applyAlignment="1" applyProtection="1">
      <alignment horizontal="center" vertical="center"/>
      <protection locked="0"/>
    </xf>
    <xf numFmtId="0" fontId="5" fillId="66" borderId="26" xfId="0" applyFont="1" applyFill="1" applyBorder="1" applyAlignment="1" applyProtection="1">
      <alignment horizontal="center" vertical="center"/>
      <protection locked="0"/>
    </xf>
    <xf numFmtId="0" fontId="0" fillId="64" borderId="25" xfId="0" applyFill="1" applyBorder="1" applyAlignment="1" applyProtection="1">
      <alignment horizontal="center" vertical="center"/>
      <protection locked="0"/>
    </xf>
    <xf numFmtId="0" fontId="0" fillId="64" borderId="0" xfId="0" applyFill="1" applyAlignment="1" applyProtection="1">
      <alignment horizontal="center" vertical="center"/>
      <protection locked="0"/>
    </xf>
    <xf numFmtId="0" fontId="0" fillId="64" borderId="26" xfId="0" applyFill="1" applyBorder="1" applyAlignment="1" applyProtection="1">
      <alignment horizontal="center" vertical="center"/>
      <protection locked="0"/>
    </xf>
    <xf numFmtId="0" fontId="2" fillId="64" borderId="25" xfId="0" applyFont="1" applyFill="1" applyBorder="1" applyAlignment="1" applyProtection="1">
      <alignment horizontal="center" vertical="center"/>
      <protection locked="0"/>
    </xf>
    <xf numFmtId="0" fontId="5" fillId="14" borderId="25" xfId="0" applyFont="1" applyFill="1" applyBorder="1" applyAlignment="1" applyProtection="1">
      <alignment horizontal="center" vertical="center"/>
      <protection locked="0"/>
    </xf>
    <xf numFmtId="0" fontId="5" fillId="14" borderId="0" xfId="0" applyFont="1" applyFill="1" applyAlignment="1" applyProtection="1">
      <alignment horizontal="center" vertical="center"/>
      <protection locked="0"/>
    </xf>
    <xf numFmtId="0" fontId="5" fillId="14" borderId="26" xfId="0" applyFont="1" applyFill="1" applyBorder="1" applyAlignment="1" applyProtection="1">
      <alignment horizontal="center" vertical="center"/>
      <protection locked="0"/>
    </xf>
    <xf numFmtId="0" fontId="0" fillId="64" borderId="19" xfId="0" applyFill="1" applyBorder="1" applyAlignment="1" applyProtection="1">
      <alignment horizontal="center" vertical="center"/>
      <protection locked="0"/>
    </xf>
    <xf numFmtId="0" fontId="0" fillId="64" borderId="5" xfId="0" applyFill="1" applyBorder="1" applyAlignment="1" applyProtection="1">
      <alignment horizontal="center" vertical="center"/>
      <protection locked="0"/>
    </xf>
    <xf numFmtId="0" fontId="0" fillId="64" borderId="20" xfId="0" applyFill="1" applyBorder="1" applyAlignment="1" applyProtection="1">
      <alignment horizontal="center" vertical="center"/>
      <protection locked="0"/>
    </xf>
    <xf numFmtId="0" fontId="0" fillId="66" borderId="57" xfId="0" applyFill="1" applyBorder="1" applyAlignment="1" applyProtection="1">
      <alignment horizontal="center" vertical="center"/>
      <protection locked="0"/>
    </xf>
    <xf numFmtId="0" fontId="0" fillId="66" borderId="59" xfId="0" applyFill="1" applyBorder="1" applyAlignment="1" applyProtection="1">
      <alignment horizontal="center" vertical="center"/>
      <protection locked="0"/>
    </xf>
    <xf numFmtId="0" fontId="0" fillId="66" borderId="60" xfId="0" applyFill="1" applyBorder="1" applyAlignment="1" applyProtection="1">
      <alignment horizontal="center" vertical="center"/>
      <protection locked="0"/>
    </xf>
    <xf numFmtId="0" fontId="0" fillId="66" borderId="191" xfId="0" applyFill="1" applyBorder="1" applyAlignment="1" applyProtection="1">
      <alignment horizontal="center" vertical="center"/>
      <protection locked="0"/>
    </xf>
    <xf numFmtId="0" fontId="0" fillId="66" borderId="5" xfId="0" applyFill="1" applyBorder="1" applyAlignment="1" applyProtection="1">
      <alignment horizontal="center" vertical="center"/>
      <protection locked="0"/>
    </xf>
    <xf numFmtId="0" fontId="0" fillId="66" borderId="178" xfId="0" applyFill="1" applyBorder="1" applyAlignment="1" applyProtection="1">
      <alignment horizontal="center" vertical="center"/>
      <protection locked="0"/>
    </xf>
    <xf numFmtId="0" fontId="0" fillId="18" borderId="25" xfId="0" applyFill="1" applyBorder="1" applyAlignment="1" applyProtection="1">
      <alignment horizontal="center" vertical="center"/>
      <protection locked="0"/>
    </xf>
    <xf numFmtId="0" fontId="0" fillId="18" borderId="0" xfId="0" applyFill="1" applyAlignment="1" applyProtection="1">
      <alignment horizontal="center" vertical="center"/>
      <protection locked="0"/>
    </xf>
    <xf numFmtId="0" fontId="0" fillId="18" borderId="26" xfId="0" applyFill="1" applyBorder="1" applyAlignment="1" applyProtection="1">
      <alignment horizontal="center" vertical="center"/>
      <protection locked="0"/>
    </xf>
    <xf numFmtId="0" fontId="5" fillId="7" borderId="19" xfId="0" applyFont="1" applyFill="1" applyBorder="1" applyAlignment="1">
      <alignment horizontal="center" vertical="center" wrapText="1"/>
    </xf>
    <xf numFmtId="0" fontId="5" fillId="7" borderId="5" xfId="0" applyFont="1" applyFill="1" applyBorder="1" applyAlignment="1">
      <alignment horizontal="center" vertical="center" wrapText="1"/>
    </xf>
    <xf numFmtId="0" fontId="5" fillId="7" borderId="20" xfId="0" applyFont="1" applyFill="1" applyBorder="1" applyAlignment="1">
      <alignment horizontal="center" vertical="center" wrapText="1"/>
    </xf>
    <xf numFmtId="0" fontId="5" fillId="7" borderId="57" xfId="0" applyFont="1" applyFill="1" applyBorder="1" applyAlignment="1">
      <alignment horizontal="center" vertical="center" wrapText="1"/>
    </xf>
    <xf numFmtId="0" fontId="5" fillId="7" borderId="59" xfId="0" applyFont="1" applyFill="1" applyBorder="1" applyAlignment="1">
      <alignment horizontal="center" vertical="center" wrapText="1"/>
    </xf>
    <xf numFmtId="0" fontId="5" fillId="7" borderId="60" xfId="0" applyFont="1" applyFill="1" applyBorder="1" applyAlignment="1">
      <alignment horizontal="center" vertical="center" wrapText="1"/>
    </xf>
    <xf numFmtId="0" fontId="5" fillId="15" borderId="25" xfId="0" applyFont="1" applyFill="1" applyBorder="1" applyAlignment="1" applyProtection="1">
      <alignment horizontal="center" vertical="center"/>
      <protection locked="0"/>
    </xf>
    <xf numFmtId="0" fontId="5" fillId="15" borderId="0" xfId="0" applyFont="1" applyFill="1" applyAlignment="1" applyProtection="1">
      <alignment horizontal="center" vertical="center"/>
      <protection locked="0"/>
    </xf>
    <xf numFmtId="0" fontId="5" fillId="15" borderId="26" xfId="0" applyFont="1" applyFill="1" applyBorder="1" applyAlignment="1" applyProtection="1">
      <alignment horizontal="center" vertical="center"/>
      <protection locked="0"/>
    </xf>
    <xf numFmtId="42" fontId="2" fillId="0" borderId="0" xfId="3" applyFont="1" applyAlignment="1">
      <alignment horizontal="center"/>
    </xf>
  </cellXfs>
  <cellStyles count="41">
    <cellStyle name="Hipervínculo" xfId="5" builtinId="8"/>
    <cellStyle name="Millares" xfId="1" builtinId="3"/>
    <cellStyle name="Millares 2" xfId="7" xr:uid="{00000000-0005-0000-0000-000002000000}"/>
    <cellStyle name="Millares 2 2" xfId="25" xr:uid="{00000000-0005-0000-0000-000003000000}"/>
    <cellStyle name="Millares 3" xfId="21" xr:uid="{00000000-0005-0000-0000-000004000000}"/>
    <cellStyle name="Moneda" xfId="2" builtinId="4"/>
    <cellStyle name="Moneda [0]" xfId="3" builtinId="7"/>
    <cellStyle name="Moneda [0] 2" xfId="9" xr:uid="{00000000-0005-0000-0000-000007000000}"/>
    <cellStyle name="Moneda [0] 2 2" xfId="27" xr:uid="{00000000-0005-0000-0000-000008000000}"/>
    <cellStyle name="Moneda [0] 3" xfId="23" xr:uid="{00000000-0005-0000-0000-000009000000}"/>
    <cellStyle name="Moneda 10" xfId="16" xr:uid="{00000000-0005-0000-0000-00000A000000}"/>
    <cellStyle name="Moneda 10 2" xfId="34" xr:uid="{00000000-0005-0000-0000-00000B000000}"/>
    <cellStyle name="Moneda 11" xfId="17" xr:uid="{00000000-0005-0000-0000-00000C000000}"/>
    <cellStyle name="Moneda 11 2" xfId="35" xr:uid="{00000000-0005-0000-0000-00000D000000}"/>
    <cellStyle name="Moneda 12" xfId="18" xr:uid="{00000000-0005-0000-0000-00000E000000}"/>
    <cellStyle name="Moneda 12 2" xfId="36" xr:uid="{00000000-0005-0000-0000-00000F000000}"/>
    <cellStyle name="Moneda 13" xfId="19" xr:uid="{00000000-0005-0000-0000-000010000000}"/>
    <cellStyle name="Moneda 13 2" xfId="37" xr:uid="{00000000-0005-0000-0000-000011000000}"/>
    <cellStyle name="Moneda 14" xfId="20" xr:uid="{00000000-0005-0000-0000-000012000000}"/>
    <cellStyle name="Moneda 14 2" xfId="38" xr:uid="{00000000-0005-0000-0000-000013000000}"/>
    <cellStyle name="Moneda 15" xfId="22" xr:uid="{00000000-0005-0000-0000-000014000000}"/>
    <cellStyle name="Moneda 2" xfId="8" xr:uid="{00000000-0005-0000-0000-000015000000}"/>
    <cellStyle name="Moneda 2 2" xfId="26" xr:uid="{00000000-0005-0000-0000-000016000000}"/>
    <cellStyle name="Moneda 3" xfId="11" xr:uid="{00000000-0005-0000-0000-000017000000}"/>
    <cellStyle name="Moneda 3 2" xfId="29" xr:uid="{00000000-0005-0000-0000-000018000000}"/>
    <cellStyle name="Moneda 4" xfId="12" xr:uid="{00000000-0005-0000-0000-000019000000}"/>
    <cellStyle name="Moneda 4 2" xfId="30" xr:uid="{00000000-0005-0000-0000-00001A000000}"/>
    <cellStyle name="Moneda 5" xfId="6" xr:uid="{00000000-0005-0000-0000-00001B000000}"/>
    <cellStyle name="Moneda 5 2" xfId="24" xr:uid="{00000000-0005-0000-0000-00001C000000}"/>
    <cellStyle name="Moneda 6" xfId="10" xr:uid="{00000000-0005-0000-0000-00001D000000}"/>
    <cellStyle name="Moneda 6 2" xfId="28" xr:uid="{00000000-0005-0000-0000-00001E000000}"/>
    <cellStyle name="Moneda 7" xfId="13" xr:uid="{00000000-0005-0000-0000-00001F000000}"/>
    <cellStyle name="Moneda 7 2" xfId="31" xr:uid="{00000000-0005-0000-0000-000020000000}"/>
    <cellStyle name="Moneda 8" xfId="14" xr:uid="{00000000-0005-0000-0000-000021000000}"/>
    <cellStyle name="Moneda 8 2" xfId="32" xr:uid="{00000000-0005-0000-0000-000022000000}"/>
    <cellStyle name="Moneda 9" xfId="15" xr:uid="{00000000-0005-0000-0000-000023000000}"/>
    <cellStyle name="Moneda 9 2" xfId="33" xr:uid="{00000000-0005-0000-0000-000024000000}"/>
    <cellStyle name="Normal" xfId="0" builtinId="0"/>
    <cellStyle name="Normal 3" xfId="39" xr:uid="{00000000-0005-0000-0000-000026000000}"/>
    <cellStyle name="Porcentaje" xfId="4" builtinId="5"/>
    <cellStyle name="Porcentaje 3" xfId="40" xr:uid="{00000000-0005-0000-0000-000028000000}"/>
  </cellStyles>
  <dxfs count="27">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patternFill>
      </fill>
    </dxf>
    <dxf>
      <font>
        <color rgb="FF006100"/>
      </font>
      <fill>
        <patternFill>
          <bgColor rgb="FFC6EFCE"/>
        </patternFill>
      </fill>
    </dxf>
    <dxf>
      <font>
        <color rgb="FF9C0006"/>
      </font>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b/>
        <i val="0"/>
        <condense val="0"/>
        <extend val="0"/>
        <color indexed="10"/>
      </font>
    </dxf>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hyperlink" Target="#'Tabla Indice'!A1"/></Relationships>
</file>

<file path=xl/drawings/_rels/drawing11.xml.rels><?xml version="1.0" encoding="UTF-8" standalone="yes"?>
<Relationships xmlns="http://schemas.openxmlformats.org/package/2006/relationships"><Relationship Id="rId1" Type="http://schemas.openxmlformats.org/officeDocument/2006/relationships/hyperlink" Target="#'Tabla Indice'!A1"/></Relationships>
</file>

<file path=xl/drawings/_rels/drawing2.xml.rels><?xml version="1.0" encoding="UTF-8" standalone="yes"?>
<Relationships xmlns="http://schemas.openxmlformats.org/package/2006/relationships"><Relationship Id="rId2" Type="http://schemas.openxmlformats.org/officeDocument/2006/relationships/hyperlink" Target="RESUMEN.xlsx" TargetMode="External"/><Relationship Id="rId1" Type="http://schemas.openxmlformats.org/officeDocument/2006/relationships/hyperlink" Target="#'Tabla Indice'!A1"/></Relationships>
</file>

<file path=xl/drawings/_rels/drawing3.xml.rels><?xml version="1.0" encoding="UTF-8" standalone="yes"?>
<Relationships xmlns="http://schemas.openxmlformats.org/package/2006/relationships"><Relationship Id="rId1" Type="http://schemas.openxmlformats.org/officeDocument/2006/relationships/hyperlink" Target="#'Tabla Indice'!A1"/></Relationships>
</file>

<file path=xl/drawings/_rels/drawing4.xml.rels><?xml version="1.0" encoding="UTF-8" standalone="yes"?>
<Relationships xmlns="http://schemas.openxmlformats.org/package/2006/relationships"><Relationship Id="rId1" Type="http://schemas.openxmlformats.org/officeDocument/2006/relationships/hyperlink" Target="#'Tabla Indice'!A1"/></Relationships>
</file>

<file path=xl/drawings/_rels/drawing5.xml.rels><?xml version="1.0" encoding="UTF-8" standalone="yes"?>
<Relationships xmlns="http://schemas.openxmlformats.org/package/2006/relationships"><Relationship Id="rId8" Type="http://schemas.openxmlformats.org/officeDocument/2006/relationships/hyperlink" Target="#'D) Costos Indirectos'!AN9"/><Relationship Id="rId3" Type="http://schemas.openxmlformats.org/officeDocument/2006/relationships/hyperlink" Target="#'D) Costos Indirectos'!M9"/><Relationship Id="rId7" Type="http://schemas.openxmlformats.org/officeDocument/2006/relationships/hyperlink" Target="#'D) Costos Indirectos'!A1"/><Relationship Id="rId2" Type="http://schemas.openxmlformats.org/officeDocument/2006/relationships/hyperlink" Target="#'D) Costos Indirectos '!A1"/><Relationship Id="rId1" Type="http://schemas.openxmlformats.org/officeDocument/2006/relationships/hyperlink" Target="#'Tabla Indice'!A1"/><Relationship Id="rId6" Type="http://schemas.openxmlformats.org/officeDocument/2006/relationships/hyperlink" Target="#'D) Costos Indirectos'!AG9"/><Relationship Id="rId5" Type="http://schemas.openxmlformats.org/officeDocument/2006/relationships/hyperlink" Target="#'D) Costos Indirectos'!Z9"/><Relationship Id="rId4" Type="http://schemas.openxmlformats.org/officeDocument/2006/relationships/hyperlink" Target="#'D) Costos Indirectos'!U9"/></Relationships>
</file>

<file path=xl/drawings/_rels/drawing6.xml.rels><?xml version="1.0" encoding="UTF-8" standalone="yes"?>
<Relationships xmlns="http://schemas.openxmlformats.org/package/2006/relationships"><Relationship Id="rId1" Type="http://schemas.openxmlformats.org/officeDocument/2006/relationships/hyperlink" Target="#'Tabla Indice'!A1"/></Relationships>
</file>

<file path=xl/drawings/_rels/drawing7.xml.rels><?xml version="1.0" encoding="UTF-8" standalone="yes"?>
<Relationships xmlns="http://schemas.openxmlformats.org/package/2006/relationships"><Relationship Id="rId1" Type="http://schemas.openxmlformats.org/officeDocument/2006/relationships/hyperlink" Target="#'Tabla Indice'!A1"/></Relationships>
</file>

<file path=xl/drawings/_rels/drawing8.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Tabla Indice'!A1"/></Relationships>
</file>

<file path=xl/drawings/_rels/drawing9.xml.rels><?xml version="1.0" encoding="UTF-8" standalone="yes"?>
<Relationships xmlns="http://schemas.openxmlformats.org/package/2006/relationships"><Relationship Id="rId1" Type="http://schemas.openxmlformats.org/officeDocument/2006/relationships/hyperlink" Target="#'Tabla Indice'!A1"/></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457200</xdr:colOff>
      <xdr:row>40</xdr:row>
      <xdr:rowOff>133350</xdr:rowOff>
    </xdr:to>
    <xdr:pic>
      <xdr:nvPicPr>
        <xdr:cNvPr id="2" name="Imagen 1">
          <a:extLst>
            <a:ext uri="{FF2B5EF4-FFF2-40B4-BE49-F238E27FC236}">
              <a16:creationId xmlns:a16="http://schemas.microsoft.com/office/drawing/2014/main" id="{8034AA25-DDF7-77F0-3109-A0CD6F2FB328}"/>
            </a:ext>
          </a:extLst>
        </xdr:cNvPr>
        <xdr:cNvPicPr>
          <a:picLocks noChangeAspect="1"/>
        </xdr:cNvPicPr>
      </xdr:nvPicPr>
      <xdr:blipFill>
        <a:blip xmlns:r="http://schemas.openxmlformats.org/officeDocument/2006/relationships" r:embed="rId1"/>
        <a:stretch>
          <a:fillRect/>
        </a:stretch>
      </xdr:blipFill>
      <xdr:spPr>
        <a:xfrm>
          <a:off x="762000" y="952500"/>
          <a:ext cx="6553200" cy="6800850"/>
        </a:xfrm>
        <a:prstGeom prst="rect">
          <a:avLst/>
        </a:prstGeom>
      </xdr:spPr>
    </xdr:pic>
    <xdr:clientData/>
  </xdr:twoCellAnchor>
  <xdr:twoCellAnchor editAs="oneCell">
    <xdr:from>
      <xdr:col>13</xdr:col>
      <xdr:colOff>714374</xdr:colOff>
      <xdr:row>6</xdr:row>
      <xdr:rowOff>76200</xdr:rowOff>
    </xdr:from>
    <xdr:to>
      <xdr:col>21</xdr:col>
      <xdr:colOff>504825</xdr:colOff>
      <xdr:row>40</xdr:row>
      <xdr:rowOff>115209</xdr:rowOff>
    </xdr:to>
    <xdr:pic>
      <xdr:nvPicPr>
        <xdr:cNvPr id="3" name="Imagen 2">
          <a:extLst>
            <a:ext uri="{FF2B5EF4-FFF2-40B4-BE49-F238E27FC236}">
              <a16:creationId xmlns:a16="http://schemas.microsoft.com/office/drawing/2014/main" id="{9ECA431F-33F2-2C37-496E-C35C6739DD0A}"/>
            </a:ext>
          </a:extLst>
        </xdr:cNvPr>
        <xdr:cNvPicPr>
          <a:picLocks noChangeAspect="1"/>
        </xdr:cNvPicPr>
      </xdr:nvPicPr>
      <xdr:blipFill>
        <a:blip xmlns:r="http://schemas.openxmlformats.org/officeDocument/2006/relationships" r:embed="rId2"/>
        <a:stretch>
          <a:fillRect/>
        </a:stretch>
      </xdr:blipFill>
      <xdr:spPr>
        <a:xfrm>
          <a:off x="10620374" y="1219200"/>
          <a:ext cx="5886451" cy="6516009"/>
        </a:xfrm>
        <a:prstGeom prst="rect">
          <a:avLst/>
        </a:prstGeom>
      </xdr:spPr>
    </xdr:pic>
    <xdr:clientData/>
  </xdr:twoCellAnchor>
  <xdr:twoCellAnchor editAs="oneCell">
    <xdr:from>
      <xdr:col>1</xdr:col>
      <xdr:colOff>514351</xdr:colOff>
      <xdr:row>49</xdr:row>
      <xdr:rowOff>190499</xdr:rowOff>
    </xdr:from>
    <xdr:to>
      <xdr:col>9</xdr:col>
      <xdr:colOff>266701</xdr:colOff>
      <xdr:row>86</xdr:row>
      <xdr:rowOff>123824</xdr:rowOff>
    </xdr:to>
    <xdr:pic>
      <xdr:nvPicPr>
        <xdr:cNvPr id="4" name="Imagen 3">
          <a:extLst>
            <a:ext uri="{FF2B5EF4-FFF2-40B4-BE49-F238E27FC236}">
              <a16:creationId xmlns:a16="http://schemas.microsoft.com/office/drawing/2014/main" id="{F88FE4A9-CFEF-36D4-A5DB-4BAA1380A5E8}"/>
            </a:ext>
          </a:extLst>
        </xdr:cNvPr>
        <xdr:cNvPicPr>
          <a:picLocks noChangeAspect="1"/>
        </xdr:cNvPicPr>
      </xdr:nvPicPr>
      <xdr:blipFill>
        <a:blip xmlns:r="http://schemas.openxmlformats.org/officeDocument/2006/relationships" r:embed="rId3"/>
        <a:stretch>
          <a:fillRect/>
        </a:stretch>
      </xdr:blipFill>
      <xdr:spPr>
        <a:xfrm>
          <a:off x="1276351" y="9524999"/>
          <a:ext cx="5848350" cy="6981825"/>
        </a:xfrm>
        <a:prstGeom prst="rect">
          <a:avLst/>
        </a:prstGeom>
      </xdr:spPr>
    </xdr:pic>
    <xdr:clientData/>
  </xdr:twoCellAnchor>
  <xdr:twoCellAnchor editAs="oneCell">
    <xdr:from>
      <xdr:col>14</xdr:col>
      <xdr:colOff>238125</xdr:colOff>
      <xdr:row>49</xdr:row>
      <xdr:rowOff>180975</xdr:rowOff>
    </xdr:from>
    <xdr:to>
      <xdr:col>21</xdr:col>
      <xdr:colOff>466725</xdr:colOff>
      <xdr:row>84</xdr:row>
      <xdr:rowOff>47625</xdr:rowOff>
    </xdr:to>
    <xdr:pic>
      <xdr:nvPicPr>
        <xdr:cNvPr id="6" name="Imagen 5">
          <a:extLst>
            <a:ext uri="{FF2B5EF4-FFF2-40B4-BE49-F238E27FC236}">
              <a16:creationId xmlns:a16="http://schemas.microsoft.com/office/drawing/2014/main" id="{45DA214A-A055-A976-0004-48A12C42D6BA}"/>
            </a:ext>
          </a:extLst>
        </xdr:cNvPr>
        <xdr:cNvPicPr>
          <a:picLocks noChangeAspect="1"/>
        </xdr:cNvPicPr>
      </xdr:nvPicPr>
      <xdr:blipFill>
        <a:blip xmlns:r="http://schemas.openxmlformats.org/officeDocument/2006/relationships" r:embed="rId4"/>
        <a:stretch>
          <a:fillRect/>
        </a:stretch>
      </xdr:blipFill>
      <xdr:spPr>
        <a:xfrm>
          <a:off x="10906125" y="9515475"/>
          <a:ext cx="5562600" cy="6534150"/>
        </a:xfrm>
        <a:prstGeom prst="rect">
          <a:avLst/>
        </a:prstGeom>
      </xdr:spPr>
    </xdr:pic>
    <xdr:clientData/>
  </xdr:twoCellAnchor>
  <xdr:twoCellAnchor editAs="oneCell">
    <xdr:from>
      <xdr:col>2</xdr:col>
      <xdr:colOff>0</xdr:colOff>
      <xdr:row>97</xdr:row>
      <xdr:rowOff>0</xdr:rowOff>
    </xdr:from>
    <xdr:to>
      <xdr:col>10</xdr:col>
      <xdr:colOff>257175</xdr:colOff>
      <xdr:row>119</xdr:row>
      <xdr:rowOff>143480</xdr:rowOff>
    </xdr:to>
    <xdr:pic>
      <xdr:nvPicPr>
        <xdr:cNvPr id="7" name="Imagen 6">
          <a:extLst>
            <a:ext uri="{FF2B5EF4-FFF2-40B4-BE49-F238E27FC236}">
              <a16:creationId xmlns:a16="http://schemas.microsoft.com/office/drawing/2014/main" id="{95631428-B462-34C0-E2A5-533F50B9EF76}"/>
            </a:ext>
          </a:extLst>
        </xdr:cNvPr>
        <xdr:cNvPicPr>
          <a:picLocks noChangeAspect="1"/>
        </xdr:cNvPicPr>
      </xdr:nvPicPr>
      <xdr:blipFill>
        <a:blip xmlns:r="http://schemas.openxmlformats.org/officeDocument/2006/relationships" r:embed="rId5"/>
        <a:stretch>
          <a:fillRect/>
        </a:stretch>
      </xdr:blipFill>
      <xdr:spPr>
        <a:xfrm>
          <a:off x="1524000" y="18478500"/>
          <a:ext cx="6353175" cy="433448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1309688</xdr:colOff>
      <xdr:row>5</xdr:row>
      <xdr:rowOff>66674</xdr:rowOff>
    </xdr:to>
    <xdr:sp macro="" textlink="">
      <xdr:nvSpPr>
        <xdr:cNvPr id="2" name="Flecha: a la derecha 3">
          <a:hlinkClick xmlns:r="http://schemas.openxmlformats.org/officeDocument/2006/relationships" r:id="rId1"/>
          <a:extLst>
            <a:ext uri="{FF2B5EF4-FFF2-40B4-BE49-F238E27FC236}">
              <a16:creationId xmlns:a16="http://schemas.microsoft.com/office/drawing/2014/main" id="{92FDF39F-58A9-451A-975F-339283D170E9}"/>
            </a:ext>
          </a:extLst>
        </xdr:cNvPr>
        <xdr:cNvSpPr/>
      </xdr:nvSpPr>
      <xdr:spPr bwMode="auto">
        <a:xfrm flipH="1">
          <a:off x="762000" y="161925"/>
          <a:ext cx="1309688" cy="752474"/>
        </a:xfrm>
        <a:prstGeom prst="rightArrow">
          <a:avLst>
            <a:gd name="adj1" fmla="val 68919"/>
            <a:gd name="adj2" fmla="val 37302"/>
          </a:avLst>
        </a:prstGeom>
        <a:solidFill>
          <a:srgbClr val="00B0F0"/>
        </a:solidFill>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Regresar</a:t>
          </a:r>
        </a:p>
        <a:p>
          <a:pPr algn="ctr"/>
          <a:r>
            <a:rPr lang="es-CL" sz="1200" b="1">
              <a:solidFill>
                <a:srgbClr val="FF0000"/>
              </a:solidFill>
            </a:rPr>
            <a:t>Indice</a:t>
          </a:r>
          <a:r>
            <a:rPr lang="es-CL" sz="1200" b="1" baseline="0">
              <a:solidFill>
                <a:srgbClr val="FF0000"/>
              </a:solidFill>
            </a:rPr>
            <a:t> Tablas</a:t>
          </a:r>
        </a:p>
        <a:p>
          <a:pPr algn="ctr"/>
          <a:endParaRPr lang="es-CL" sz="1200" b="1">
            <a:solidFill>
              <a:srgbClr val="FF0000"/>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1347872</xdr:colOff>
      <xdr:row>4</xdr:row>
      <xdr:rowOff>1082</xdr:rowOff>
    </xdr:to>
    <xdr:sp macro="" textlink="">
      <xdr:nvSpPr>
        <xdr:cNvPr id="3" name="Flecha: a la derecha 1">
          <a:hlinkClick xmlns:r="http://schemas.openxmlformats.org/officeDocument/2006/relationships" r:id="rId1"/>
          <a:extLst>
            <a:ext uri="{FF2B5EF4-FFF2-40B4-BE49-F238E27FC236}">
              <a16:creationId xmlns:a16="http://schemas.microsoft.com/office/drawing/2014/main" id="{339C1DDC-B256-420E-991B-85C1CFBB17A9}"/>
            </a:ext>
          </a:extLst>
        </xdr:cNvPr>
        <xdr:cNvSpPr/>
      </xdr:nvSpPr>
      <xdr:spPr bwMode="auto">
        <a:xfrm flipH="1">
          <a:off x="762000" y="0"/>
          <a:ext cx="1347872" cy="774988"/>
        </a:xfrm>
        <a:prstGeom prst="rightArrow">
          <a:avLst>
            <a:gd name="adj1" fmla="val 68919"/>
            <a:gd name="adj2" fmla="val 37302"/>
          </a:avLst>
        </a:prstGeom>
        <a:solidFill>
          <a:srgbClr val="00B0F0"/>
        </a:solidFill>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Regresar</a:t>
          </a:r>
        </a:p>
        <a:p>
          <a:pPr algn="ctr"/>
          <a:r>
            <a:rPr lang="es-CL" sz="1200" b="1">
              <a:solidFill>
                <a:srgbClr val="FF0000"/>
              </a:solidFill>
            </a:rPr>
            <a:t>Indice</a:t>
          </a:r>
          <a:r>
            <a:rPr lang="es-CL" sz="1200" b="1" baseline="0">
              <a:solidFill>
                <a:srgbClr val="FF0000"/>
              </a:solidFill>
            </a:rPr>
            <a:t> Tablas</a:t>
          </a:r>
        </a:p>
        <a:p>
          <a:pPr algn="ctr"/>
          <a:endParaRPr lang="es-CL" sz="12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95254</xdr:colOff>
      <xdr:row>0</xdr:row>
      <xdr:rowOff>71439</xdr:rowOff>
    </xdr:from>
    <xdr:to>
      <xdr:col>0</xdr:col>
      <xdr:colOff>1443126</xdr:colOff>
      <xdr:row>4</xdr:row>
      <xdr:rowOff>72521</xdr:rowOff>
    </xdr:to>
    <xdr:sp macro="" textlink="">
      <xdr:nvSpPr>
        <xdr:cNvPr id="6" name="Flecha: a la derecha 1">
          <a:hlinkClick xmlns:r="http://schemas.openxmlformats.org/officeDocument/2006/relationships" r:id="rId1"/>
          <a:extLst>
            <a:ext uri="{FF2B5EF4-FFF2-40B4-BE49-F238E27FC236}">
              <a16:creationId xmlns:a16="http://schemas.microsoft.com/office/drawing/2014/main" id="{2681034D-0B8E-409A-999A-BD358B94D991}"/>
            </a:ext>
          </a:extLst>
        </xdr:cNvPr>
        <xdr:cNvSpPr/>
      </xdr:nvSpPr>
      <xdr:spPr bwMode="auto">
        <a:xfrm flipH="1">
          <a:off x="95254" y="71439"/>
          <a:ext cx="1347872" cy="724982"/>
        </a:xfrm>
        <a:prstGeom prst="rightArrow">
          <a:avLst>
            <a:gd name="adj1" fmla="val 68919"/>
            <a:gd name="adj2" fmla="val 37302"/>
          </a:avLst>
        </a:prstGeom>
        <a:solidFill>
          <a:srgbClr val="00B0F0"/>
        </a:solidFill>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Regresar</a:t>
          </a:r>
        </a:p>
        <a:p>
          <a:pPr algn="ctr"/>
          <a:r>
            <a:rPr lang="es-CL" sz="1200" b="1">
              <a:solidFill>
                <a:srgbClr val="FF0000"/>
              </a:solidFill>
            </a:rPr>
            <a:t>Indice</a:t>
          </a:r>
          <a:r>
            <a:rPr lang="es-CL" sz="1200" b="1" baseline="0">
              <a:solidFill>
                <a:srgbClr val="FF0000"/>
              </a:solidFill>
            </a:rPr>
            <a:t> Tablas</a:t>
          </a:r>
        </a:p>
        <a:p>
          <a:pPr algn="ctr"/>
          <a:endParaRPr lang="es-CL" sz="1200" b="1">
            <a:solidFill>
              <a:srgbClr val="FF0000"/>
            </a:solidFill>
          </a:endParaRPr>
        </a:p>
      </xdr:txBody>
    </xdr:sp>
    <xdr:clientData/>
  </xdr:twoCellAnchor>
  <xdr:twoCellAnchor>
    <xdr:from>
      <xdr:col>1</xdr:col>
      <xdr:colOff>95250</xdr:colOff>
      <xdr:row>1</xdr:row>
      <xdr:rowOff>11906</xdr:rowOff>
    </xdr:from>
    <xdr:to>
      <xdr:col>1</xdr:col>
      <xdr:colOff>428625</xdr:colOff>
      <xdr:row>2</xdr:row>
      <xdr:rowOff>130969</xdr:rowOff>
    </xdr:to>
    <xdr:sp macro="" textlink="">
      <xdr:nvSpPr>
        <xdr:cNvPr id="7" name="Estrella: 5 puntas 6">
          <a:hlinkClick xmlns:r="http://schemas.openxmlformats.org/officeDocument/2006/relationships" r:id="rId2"/>
          <a:extLst>
            <a:ext uri="{FF2B5EF4-FFF2-40B4-BE49-F238E27FC236}">
              <a16:creationId xmlns:a16="http://schemas.microsoft.com/office/drawing/2014/main" id="{6C66AED7-7225-4759-BE35-7BCDCFB8C62E}"/>
            </a:ext>
          </a:extLst>
        </xdr:cNvPr>
        <xdr:cNvSpPr/>
      </xdr:nvSpPr>
      <xdr:spPr bwMode="auto">
        <a:xfrm>
          <a:off x="2895600" y="173831"/>
          <a:ext cx="333375" cy="280988"/>
        </a:xfrm>
        <a:prstGeom prst="star5">
          <a:avLst/>
        </a:prstGeom>
        <a:solidFill>
          <a:srgbClr val="00206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es-CL"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571500</xdr:colOff>
      <xdr:row>0</xdr:row>
      <xdr:rowOff>0</xdr:rowOff>
    </xdr:from>
    <xdr:to>
      <xdr:col>2</xdr:col>
      <xdr:colOff>395372</xdr:colOff>
      <xdr:row>3</xdr:row>
      <xdr:rowOff>191582</xdr:rowOff>
    </xdr:to>
    <xdr:sp macro="" textlink="">
      <xdr:nvSpPr>
        <xdr:cNvPr id="3" name="Flecha: a la derecha 1">
          <a:hlinkClick xmlns:r="http://schemas.openxmlformats.org/officeDocument/2006/relationships" r:id="rId1"/>
          <a:extLst>
            <a:ext uri="{FF2B5EF4-FFF2-40B4-BE49-F238E27FC236}">
              <a16:creationId xmlns:a16="http://schemas.microsoft.com/office/drawing/2014/main" id="{EDBE9BEA-88D5-4801-86AC-3DAF04E1ED4F}"/>
            </a:ext>
          </a:extLst>
        </xdr:cNvPr>
        <xdr:cNvSpPr/>
      </xdr:nvSpPr>
      <xdr:spPr bwMode="auto">
        <a:xfrm flipH="1">
          <a:off x="571500" y="0"/>
          <a:ext cx="1347872" cy="774988"/>
        </a:xfrm>
        <a:prstGeom prst="rightArrow">
          <a:avLst>
            <a:gd name="adj1" fmla="val 68919"/>
            <a:gd name="adj2" fmla="val 37302"/>
          </a:avLst>
        </a:prstGeom>
        <a:solidFill>
          <a:srgbClr val="00B0F0"/>
        </a:solidFill>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Regresar</a:t>
          </a:r>
        </a:p>
        <a:p>
          <a:pPr algn="ctr"/>
          <a:r>
            <a:rPr lang="es-CL" sz="1200" b="1">
              <a:solidFill>
                <a:srgbClr val="FF0000"/>
              </a:solidFill>
            </a:rPr>
            <a:t>Indice</a:t>
          </a:r>
          <a:r>
            <a:rPr lang="es-CL" sz="1200" b="1" baseline="0">
              <a:solidFill>
                <a:srgbClr val="FF0000"/>
              </a:solidFill>
            </a:rPr>
            <a:t> Tablas</a:t>
          </a:r>
        </a:p>
        <a:p>
          <a:pPr algn="ctr"/>
          <a:endParaRPr lang="es-CL" sz="1200" b="1">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354418</xdr:colOff>
      <xdr:row>0</xdr:row>
      <xdr:rowOff>177209</xdr:rowOff>
    </xdr:from>
    <xdr:to>
      <xdr:col>0</xdr:col>
      <xdr:colOff>1702290</xdr:colOff>
      <xdr:row>4</xdr:row>
      <xdr:rowOff>199057</xdr:rowOff>
    </xdr:to>
    <xdr:sp macro="" textlink="">
      <xdr:nvSpPr>
        <xdr:cNvPr id="6" name="Flecha: a la derecha 1">
          <a:hlinkClick xmlns:r="http://schemas.openxmlformats.org/officeDocument/2006/relationships" r:id="rId1"/>
          <a:extLst>
            <a:ext uri="{FF2B5EF4-FFF2-40B4-BE49-F238E27FC236}">
              <a16:creationId xmlns:a16="http://schemas.microsoft.com/office/drawing/2014/main" id="{B36DAFBA-4973-4130-A224-626325F038AB}"/>
            </a:ext>
          </a:extLst>
        </xdr:cNvPr>
        <xdr:cNvSpPr/>
      </xdr:nvSpPr>
      <xdr:spPr bwMode="auto">
        <a:xfrm flipH="1">
          <a:off x="354418" y="177209"/>
          <a:ext cx="1347872" cy="774988"/>
        </a:xfrm>
        <a:prstGeom prst="rightArrow">
          <a:avLst>
            <a:gd name="adj1" fmla="val 68919"/>
            <a:gd name="adj2" fmla="val 37302"/>
          </a:avLst>
        </a:prstGeom>
        <a:solidFill>
          <a:srgbClr val="00B0F0"/>
        </a:solidFill>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Regresar</a:t>
          </a:r>
        </a:p>
        <a:p>
          <a:pPr algn="ctr"/>
          <a:r>
            <a:rPr lang="es-CL" sz="1200" b="1">
              <a:solidFill>
                <a:srgbClr val="FF0000"/>
              </a:solidFill>
            </a:rPr>
            <a:t>Indice</a:t>
          </a:r>
          <a:r>
            <a:rPr lang="es-CL" sz="1200" b="1" baseline="0">
              <a:solidFill>
                <a:srgbClr val="FF0000"/>
              </a:solidFill>
            </a:rPr>
            <a:t> Tablas</a:t>
          </a:r>
        </a:p>
        <a:p>
          <a:pPr algn="ctr"/>
          <a:endParaRPr lang="es-CL" sz="1200" b="1">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2</xdr:row>
      <xdr:rowOff>0</xdr:rowOff>
    </xdr:from>
    <xdr:to>
      <xdr:col>1</xdr:col>
      <xdr:colOff>1347981</xdr:colOff>
      <xdr:row>5</xdr:row>
      <xdr:rowOff>142874</xdr:rowOff>
    </xdr:to>
    <xdr:sp macro="" textlink="">
      <xdr:nvSpPr>
        <xdr:cNvPr id="2" name="Flecha: a la derecha 1">
          <a:hlinkClick xmlns:r="http://schemas.openxmlformats.org/officeDocument/2006/relationships" r:id="rId1"/>
          <a:extLst>
            <a:ext uri="{FF2B5EF4-FFF2-40B4-BE49-F238E27FC236}">
              <a16:creationId xmlns:a16="http://schemas.microsoft.com/office/drawing/2014/main" id="{764A9DF9-9360-464A-855C-F041BE9986ED}"/>
            </a:ext>
          </a:extLst>
        </xdr:cNvPr>
        <xdr:cNvSpPr/>
      </xdr:nvSpPr>
      <xdr:spPr bwMode="auto">
        <a:xfrm flipH="1">
          <a:off x="476250" y="323850"/>
          <a:ext cx="1347981" cy="704849"/>
        </a:xfrm>
        <a:prstGeom prst="rightArrow">
          <a:avLst>
            <a:gd name="adj1" fmla="val 68919"/>
            <a:gd name="adj2" fmla="val 37302"/>
          </a:avLst>
        </a:prstGeom>
        <a:solidFill>
          <a:srgbClr val="00B0F0"/>
        </a:solidFill>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Regresar</a:t>
          </a:r>
        </a:p>
        <a:p>
          <a:pPr algn="ctr"/>
          <a:r>
            <a:rPr lang="es-CL" sz="1200" b="1">
              <a:solidFill>
                <a:srgbClr val="FF0000"/>
              </a:solidFill>
            </a:rPr>
            <a:t>Indice</a:t>
          </a:r>
          <a:r>
            <a:rPr lang="es-CL" sz="1200" b="1" baseline="0">
              <a:solidFill>
                <a:srgbClr val="FF0000"/>
              </a:solidFill>
            </a:rPr>
            <a:t> Tablas</a:t>
          </a:r>
        </a:p>
        <a:p>
          <a:pPr algn="ctr"/>
          <a:endParaRPr lang="es-CL" sz="1200" b="1">
            <a:solidFill>
              <a:srgbClr val="FF0000"/>
            </a:solidFill>
          </a:endParaRPr>
        </a:p>
      </xdr:txBody>
    </xdr:sp>
    <xdr:clientData/>
  </xdr:twoCellAnchor>
  <xdr:twoCellAnchor>
    <xdr:from>
      <xdr:col>12</xdr:col>
      <xdr:colOff>381000</xdr:colOff>
      <xdr:row>3</xdr:row>
      <xdr:rowOff>30480</xdr:rowOff>
    </xdr:from>
    <xdr:to>
      <xdr:col>12</xdr:col>
      <xdr:colOff>800100</xdr:colOff>
      <xdr:row>4</xdr:row>
      <xdr:rowOff>91440</xdr:rowOff>
    </xdr:to>
    <xdr:sp macro="" textlink="">
      <xdr:nvSpPr>
        <xdr:cNvPr id="3" name="Flecha derecha 8">
          <a:hlinkClick xmlns:r="http://schemas.openxmlformats.org/officeDocument/2006/relationships" r:id="rId2"/>
          <a:extLst>
            <a:ext uri="{FF2B5EF4-FFF2-40B4-BE49-F238E27FC236}">
              <a16:creationId xmlns:a16="http://schemas.microsoft.com/office/drawing/2014/main" id="{9F17BA27-A845-4EF0-8D19-A2CB0B335C26}"/>
            </a:ext>
          </a:extLst>
        </xdr:cNvPr>
        <xdr:cNvSpPr>
          <a:spLocks noChangeArrowheads="1"/>
        </xdr:cNvSpPr>
      </xdr:nvSpPr>
      <xdr:spPr bwMode="auto">
        <a:xfrm rot="10800000">
          <a:off x="15163800" y="516255"/>
          <a:ext cx="419100" cy="299085"/>
        </a:xfrm>
        <a:prstGeom prst="rightArrow">
          <a:avLst>
            <a:gd name="adj1" fmla="val 50000"/>
            <a:gd name="adj2" fmla="val 50364"/>
          </a:avLst>
        </a:prstGeom>
        <a:solidFill>
          <a:srgbClr val="0000CC"/>
        </a:solidFill>
        <a:ln w="9525" algn="ctr">
          <a:solidFill>
            <a:srgbClr val="000000"/>
          </a:solidFill>
          <a:round/>
          <a:headEnd/>
          <a:tailEnd/>
        </a:ln>
      </xdr:spPr>
    </xdr:sp>
    <xdr:clientData/>
  </xdr:twoCellAnchor>
  <xdr:twoCellAnchor>
    <xdr:from>
      <xdr:col>20</xdr:col>
      <xdr:colOff>0</xdr:colOff>
      <xdr:row>3</xdr:row>
      <xdr:rowOff>0</xdr:rowOff>
    </xdr:from>
    <xdr:to>
      <xdr:col>20</xdr:col>
      <xdr:colOff>434340</xdr:colOff>
      <xdr:row>4</xdr:row>
      <xdr:rowOff>60960</xdr:rowOff>
    </xdr:to>
    <xdr:sp macro="" textlink="">
      <xdr:nvSpPr>
        <xdr:cNvPr id="4" name="Flecha derecha 7">
          <a:hlinkClick xmlns:r="http://schemas.openxmlformats.org/officeDocument/2006/relationships" r:id="rId2"/>
          <a:extLst>
            <a:ext uri="{FF2B5EF4-FFF2-40B4-BE49-F238E27FC236}">
              <a16:creationId xmlns:a16="http://schemas.microsoft.com/office/drawing/2014/main" id="{A8E337F5-8E8A-4761-BB69-5B25E44A53C3}"/>
            </a:ext>
          </a:extLst>
        </xdr:cNvPr>
        <xdr:cNvSpPr>
          <a:spLocks noChangeArrowheads="1"/>
        </xdr:cNvSpPr>
      </xdr:nvSpPr>
      <xdr:spPr bwMode="auto">
        <a:xfrm rot="10800000">
          <a:off x="23088600" y="485775"/>
          <a:ext cx="434340" cy="299085"/>
        </a:xfrm>
        <a:prstGeom prst="rightArrow">
          <a:avLst>
            <a:gd name="adj1" fmla="val 50000"/>
            <a:gd name="adj2" fmla="val 52196"/>
          </a:avLst>
        </a:prstGeom>
        <a:solidFill>
          <a:srgbClr val="0000CC"/>
        </a:solidFill>
        <a:ln w="9525" algn="ctr">
          <a:solidFill>
            <a:srgbClr val="000000"/>
          </a:solidFill>
          <a:round/>
          <a:headEnd/>
          <a:tailEnd/>
        </a:ln>
      </xdr:spPr>
    </xdr:sp>
    <xdr:clientData/>
  </xdr:twoCellAnchor>
  <xdr:twoCellAnchor>
    <xdr:from>
      <xdr:col>24</xdr:col>
      <xdr:colOff>0</xdr:colOff>
      <xdr:row>3</xdr:row>
      <xdr:rowOff>0</xdr:rowOff>
    </xdr:from>
    <xdr:to>
      <xdr:col>24</xdr:col>
      <xdr:colOff>434340</xdr:colOff>
      <xdr:row>4</xdr:row>
      <xdr:rowOff>60960</xdr:rowOff>
    </xdr:to>
    <xdr:sp macro="" textlink="">
      <xdr:nvSpPr>
        <xdr:cNvPr id="5" name="Flecha derecha 6">
          <a:hlinkClick xmlns:r="http://schemas.openxmlformats.org/officeDocument/2006/relationships" r:id="rId2"/>
          <a:extLst>
            <a:ext uri="{FF2B5EF4-FFF2-40B4-BE49-F238E27FC236}">
              <a16:creationId xmlns:a16="http://schemas.microsoft.com/office/drawing/2014/main" id="{B9411516-0E92-49EA-B0EB-83187BF7B6DB}"/>
            </a:ext>
          </a:extLst>
        </xdr:cNvPr>
        <xdr:cNvSpPr>
          <a:spLocks noChangeArrowheads="1"/>
        </xdr:cNvSpPr>
      </xdr:nvSpPr>
      <xdr:spPr bwMode="auto">
        <a:xfrm rot="10800000">
          <a:off x="29975175" y="485775"/>
          <a:ext cx="434340" cy="299085"/>
        </a:xfrm>
        <a:prstGeom prst="rightArrow">
          <a:avLst>
            <a:gd name="adj1" fmla="val 50000"/>
            <a:gd name="adj2" fmla="val 52196"/>
          </a:avLst>
        </a:prstGeom>
        <a:solidFill>
          <a:srgbClr val="0000CC"/>
        </a:solidFill>
        <a:ln w="9525" algn="ctr">
          <a:solidFill>
            <a:srgbClr val="000000"/>
          </a:solidFill>
          <a:round/>
          <a:headEnd/>
          <a:tailEnd/>
        </a:ln>
      </xdr:spPr>
    </xdr:sp>
    <xdr:clientData/>
  </xdr:twoCellAnchor>
  <xdr:twoCellAnchor>
    <xdr:from>
      <xdr:col>32</xdr:col>
      <xdr:colOff>342900</xdr:colOff>
      <xdr:row>2</xdr:row>
      <xdr:rowOff>45720</xdr:rowOff>
    </xdr:from>
    <xdr:to>
      <xdr:col>32</xdr:col>
      <xdr:colOff>777240</xdr:colOff>
      <xdr:row>3</xdr:row>
      <xdr:rowOff>182880</xdr:rowOff>
    </xdr:to>
    <xdr:sp macro="" textlink="">
      <xdr:nvSpPr>
        <xdr:cNvPr id="6" name="Flecha derecha 5">
          <a:hlinkClick xmlns:r="http://schemas.openxmlformats.org/officeDocument/2006/relationships" r:id="rId2"/>
          <a:extLst>
            <a:ext uri="{FF2B5EF4-FFF2-40B4-BE49-F238E27FC236}">
              <a16:creationId xmlns:a16="http://schemas.microsoft.com/office/drawing/2014/main" id="{24747605-62AC-4B32-B2A1-7D47EE5FFBCB}"/>
            </a:ext>
          </a:extLst>
        </xdr:cNvPr>
        <xdr:cNvSpPr>
          <a:spLocks noChangeArrowheads="1"/>
        </xdr:cNvSpPr>
      </xdr:nvSpPr>
      <xdr:spPr bwMode="auto">
        <a:xfrm rot="10800000">
          <a:off x="37652325" y="369570"/>
          <a:ext cx="434340" cy="299085"/>
        </a:xfrm>
        <a:prstGeom prst="rightArrow">
          <a:avLst>
            <a:gd name="adj1" fmla="val 50000"/>
            <a:gd name="adj2" fmla="val 50080"/>
          </a:avLst>
        </a:prstGeom>
        <a:solidFill>
          <a:srgbClr val="0000CC"/>
        </a:solidFill>
        <a:ln w="9525" algn="ctr">
          <a:solidFill>
            <a:srgbClr val="000000"/>
          </a:solidFill>
          <a:round/>
          <a:headEnd/>
          <a:tailEnd/>
        </a:ln>
      </xdr:spPr>
    </xdr:sp>
    <xdr:clientData/>
  </xdr:twoCellAnchor>
  <xdr:twoCellAnchor>
    <xdr:from>
      <xdr:col>39</xdr:col>
      <xdr:colOff>0</xdr:colOff>
      <xdr:row>3</xdr:row>
      <xdr:rowOff>0</xdr:rowOff>
    </xdr:from>
    <xdr:to>
      <xdr:col>39</xdr:col>
      <xdr:colOff>434340</xdr:colOff>
      <xdr:row>4</xdr:row>
      <xdr:rowOff>60960</xdr:rowOff>
    </xdr:to>
    <xdr:sp macro="" textlink="">
      <xdr:nvSpPr>
        <xdr:cNvPr id="7" name="Flecha derecha 10">
          <a:hlinkClick xmlns:r="http://schemas.openxmlformats.org/officeDocument/2006/relationships" r:id="rId2"/>
          <a:extLst>
            <a:ext uri="{FF2B5EF4-FFF2-40B4-BE49-F238E27FC236}">
              <a16:creationId xmlns:a16="http://schemas.microsoft.com/office/drawing/2014/main" id="{CE5904F7-BAD7-407C-A56F-E6383B45BDA9}"/>
            </a:ext>
          </a:extLst>
        </xdr:cNvPr>
        <xdr:cNvSpPr>
          <a:spLocks noChangeArrowheads="1"/>
        </xdr:cNvSpPr>
      </xdr:nvSpPr>
      <xdr:spPr bwMode="auto">
        <a:xfrm rot="10800000">
          <a:off x="43786425" y="485775"/>
          <a:ext cx="434340" cy="299085"/>
        </a:xfrm>
        <a:prstGeom prst="rightArrow">
          <a:avLst>
            <a:gd name="adj1" fmla="val 50000"/>
            <a:gd name="adj2" fmla="val 52196"/>
          </a:avLst>
        </a:prstGeom>
        <a:solidFill>
          <a:srgbClr val="0000CC"/>
        </a:solidFill>
        <a:ln w="9525" algn="ctr">
          <a:solidFill>
            <a:srgbClr val="000000"/>
          </a:solidFill>
          <a:round/>
          <a:headEnd/>
          <a:tailEnd/>
        </a:ln>
      </xdr:spPr>
    </xdr:sp>
    <xdr:clientData/>
  </xdr:twoCellAnchor>
  <xdr:twoCellAnchor>
    <xdr:from>
      <xdr:col>0</xdr:col>
      <xdr:colOff>47624</xdr:colOff>
      <xdr:row>1</xdr:row>
      <xdr:rowOff>0</xdr:rowOff>
    </xdr:from>
    <xdr:to>
      <xdr:col>1</xdr:col>
      <xdr:colOff>762000</xdr:colOff>
      <xdr:row>4</xdr:row>
      <xdr:rowOff>119062</xdr:rowOff>
    </xdr:to>
    <xdr:sp macro="" textlink="">
      <xdr:nvSpPr>
        <xdr:cNvPr id="8" name="Flecha: hacia abajo 7">
          <a:hlinkClick xmlns:r="http://schemas.openxmlformats.org/officeDocument/2006/relationships" r:id="rId3"/>
          <a:extLst>
            <a:ext uri="{FF2B5EF4-FFF2-40B4-BE49-F238E27FC236}">
              <a16:creationId xmlns:a16="http://schemas.microsoft.com/office/drawing/2014/main" id="{6392017F-2B16-4430-A574-94815B859200}"/>
            </a:ext>
          </a:extLst>
        </xdr:cNvPr>
        <xdr:cNvSpPr/>
      </xdr:nvSpPr>
      <xdr:spPr bwMode="auto">
        <a:xfrm>
          <a:off x="47624" y="161925"/>
          <a:ext cx="1485901" cy="681037"/>
        </a:xfrm>
        <a:prstGeom prst="downArrow">
          <a:avLst/>
        </a:prstGeom>
        <a:solidFill>
          <a:srgbClr val="00B0F0"/>
        </a:solidFill>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Ir a TABLA</a:t>
          </a:r>
          <a:r>
            <a:rPr lang="es-CL" sz="1200" b="1" baseline="0">
              <a:solidFill>
                <a:srgbClr val="FF0000"/>
              </a:solidFill>
            </a:rPr>
            <a:t> 7</a:t>
          </a:r>
          <a:endParaRPr lang="es-CL" sz="1200" b="1">
            <a:solidFill>
              <a:srgbClr val="FF0000"/>
            </a:solidFill>
          </a:endParaRPr>
        </a:p>
      </xdr:txBody>
    </xdr:sp>
    <xdr:clientData/>
  </xdr:twoCellAnchor>
  <xdr:twoCellAnchor>
    <xdr:from>
      <xdr:col>1</xdr:col>
      <xdr:colOff>797719</xdr:colOff>
      <xdr:row>1</xdr:row>
      <xdr:rowOff>23811</xdr:rowOff>
    </xdr:from>
    <xdr:to>
      <xdr:col>2</xdr:col>
      <xdr:colOff>119064</xdr:colOff>
      <xdr:row>4</xdr:row>
      <xdr:rowOff>142873</xdr:rowOff>
    </xdr:to>
    <xdr:sp macro="" textlink="">
      <xdr:nvSpPr>
        <xdr:cNvPr id="9" name="Flecha: hacia abajo 1">
          <a:hlinkClick xmlns:r="http://schemas.openxmlformats.org/officeDocument/2006/relationships" r:id="rId4"/>
          <a:extLst>
            <a:ext uri="{FF2B5EF4-FFF2-40B4-BE49-F238E27FC236}">
              <a16:creationId xmlns:a16="http://schemas.microsoft.com/office/drawing/2014/main" id="{E541E92D-3AFE-44B0-A1FC-82AF9157AB22}"/>
            </a:ext>
          </a:extLst>
        </xdr:cNvPr>
        <xdr:cNvSpPr/>
      </xdr:nvSpPr>
      <xdr:spPr bwMode="auto">
        <a:xfrm>
          <a:off x="1569244" y="185736"/>
          <a:ext cx="1188245" cy="681037"/>
        </a:xfrm>
        <a:prstGeom prst="downArrow">
          <a:avLst/>
        </a:prstGeom>
        <a:solidFill>
          <a:srgbClr val="00B0F0"/>
        </a:solidFill>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Ir a TABLA</a:t>
          </a:r>
          <a:r>
            <a:rPr lang="es-CL" sz="1200" b="1" baseline="0">
              <a:solidFill>
                <a:srgbClr val="FF0000"/>
              </a:solidFill>
            </a:rPr>
            <a:t> 8</a:t>
          </a:r>
          <a:endParaRPr lang="es-CL" sz="1200" b="1">
            <a:solidFill>
              <a:srgbClr val="FF0000"/>
            </a:solidFill>
          </a:endParaRPr>
        </a:p>
      </xdr:txBody>
    </xdr:sp>
    <xdr:clientData/>
  </xdr:twoCellAnchor>
  <xdr:twoCellAnchor>
    <xdr:from>
      <xdr:col>2</xdr:col>
      <xdr:colOff>154781</xdr:colOff>
      <xdr:row>1</xdr:row>
      <xdr:rowOff>35718</xdr:rowOff>
    </xdr:from>
    <xdr:to>
      <xdr:col>2</xdr:col>
      <xdr:colOff>1345407</xdr:colOff>
      <xdr:row>4</xdr:row>
      <xdr:rowOff>154780</xdr:rowOff>
    </xdr:to>
    <xdr:sp macro="" textlink="">
      <xdr:nvSpPr>
        <xdr:cNvPr id="10" name="Flecha: hacia abajo 1">
          <a:hlinkClick xmlns:r="http://schemas.openxmlformats.org/officeDocument/2006/relationships" r:id="rId5"/>
          <a:extLst>
            <a:ext uri="{FF2B5EF4-FFF2-40B4-BE49-F238E27FC236}">
              <a16:creationId xmlns:a16="http://schemas.microsoft.com/office/drawing/2014/main" id="{8D0E5DEA-2233-4EEF-B121-2501B6A2C32F}"/>
            </a:ext>
          </a:extLst>
        </xdr:cNvPr>
        <xdr:cNvSpPr/>
      </xdr:nvSpPr>
      <xdr:spPr bwMode="auto">
        <a:xfrm>
          <a:off x="2793206" y="197643"/>
          <a:ext cx="1190626" cy="681037"/>
        </a:xfrm>
        <a:prstGeom prst="downArrow">
          <a:avLst/>
        </a:prstGeom>
        <a:solidFill>
          <a:srgbClr val="00B0F0"/>
        </a:solidFill>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Ir a TABLA</a:t>
          </a:r>
          <a:r>
            <a:rPr lang="es-CL" sz="1200" b="1" baseline="0">
              <a:solidFill>
                <a:srgbClr val="FF0000"/>
              </a:solidFill>
            </a:rPr>
            <a:t> 9</a:t>
          </a:r>
          <a:endParaRPr lang="es-CL" sz="1200" b="1">
            <a:solidFill>
              <a:srgbClr val="FF0000"/>
            </a:solidFill>
          </a:endParaRPr>
        </a:p>
      </xdr:txBody>
    </xdr:sp>
    <xdr:clientData/>
  </xdr:twoCellAnchor>
  <xdr:twoCellAnchor>
    <xdr:from>
      <xdr:col>2</xdr:col>
      <xdr:colOff>1404937</xdr:colOff>
      <xdr:row>1</xdr:row>
      <xdr:rowOff>47625</xdr:rowOff>
    </xdr:from>
    <xdr:to>
      <xdr:col>3</xdr:col>
      <xdr:colOff>678656</xdr:colOff>
      <xdr:row>5</xdr:row>
      <xdr:rowOff>83344</xdr:rowOff>
    </xdr:to>
    <xdr:sp macro="" textlink="">
      <xdr:nvSpPr>
        <xdr:cNvPr id="11" name="Flecha: hacia abajo 1">
          <a:hlinkClick xmlns:r="http://schemas.openxmlformats.org/officeDocument/2006/relationships" r:id="rId6"/>
          <a:extLst>
            <a:ext uri="{FF2B5EF4-FFF2-40B4-BE49-F238E27FC236}">
              <a16:creationId xmlns:a16="http://schemas.microsoft.com/office/drawing/2014/main" id="{A44EAA07-BA1A-4CED-9C93-FD2E7B59FE58}"/>
            </a:ext>
          </a:extLst>
        </xdr:cNvPr>
        <xdr:cNvSpPr/>
      </xdr:nvSpPr>
      <xdr:spPr bwMode="auto">
        <a:xfrm>
          <a:off x="4043362" y="209550"/>
          <a:ext cx="1188244" cy="788194"/>
        </a:xfrm>
        <a:prstGeom prst="downArrow">
          <a:avLst/>
        </a:prstGeom>
        <a:solidFill>
          <a:srgbClr val="00B0F0"/>
        </a:solidFill>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Ir a TABLA</a:t>
          </a:r>
          <a:r>
            <a:rPr lang="es-CL" sz="1200" b="1" baseline="0">
              <a:solidFill>
                <a:srgbClr val="FF0000"/>
              </a:solidFill>
            </a:rPr>
            <a:t> 10</a:t>
          </a:r>
          <a:endParaRPr lang="es-CL" sz="1200" b="1">
            <a:solidFill>
              <a:srgbClr val="FF0000"/>
            </a:solidFill>
          </a:endParaRPr>
        </a:p>
      </xdr:txBody>
    </xdr:sp>
    <xdr:clientData/>
  </xdr:twoCellAnchor>
  <xdr:twoCellAnchor>
    <xdr:from>
      <xdr:col>32</xdr:col>
      <xdr:colOff>333375</xdr:colOff>
      <xdr:row>2</xdr:row>
      <xdr:rowOff>47625</xdr:rowOff>
    </xdr:from>
    <xdr:to>
      <xdr:col>32</xdr:col>
      <xdr:colOff>750093</xdr:colOff>
      <xdr:row>3</xdr:row>
      <xdr:rowOff>178593</xdr:rowOff>
    </xdr:to>
    <xdr:sp macro="" textlink="">
      <xdr:nvSpPr>
        <xdr:cNvPr id="12" name="Flecha derecha 7">
          <a:hlinkClick xmlns:r="http://schemas.openxmlformats.org/officeDocument/2006/relationships" r:id="rId7"/>
          <a:extLst>
            <a:ext uri="{FF2B5EF4-FFF2-40B4-BE49-F238E27FC236}">
              <a16:creationId xmlns:a16="http://schemas.microsoft.com/office/drawing/2014/main" id="{0D7175B6-FF02-4194-A794-307DB757949E}"/>
            </a:ext>
          </a:extLst>
        </xdr:cNvPr>
        <xdr:cNvSpPr/>
      </xdr:nvSpPr>
      <xdr:spPr bwMode="auto">
        <a:xfrm rot="10800000">
          <a:off x="37347525" y="371475"/>
          <a:ext cx="416718" cy="292893"/>
        </a:xfrm>
        <a:prstGeom prst="rightArrow">
          <a:avLst/>
        </a:prstGeom>
        <a:solidFill>
          <a:srgbClr val="0000CC"/>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L" sz="1100"/>
        </a:p>
      </xdr:txBody>
    </xdr:sp>
    <xdr:clientData/>
  </xdr:twoCellAnchor>
  <xdr:twoCellAnchor>
    <xdr:from>
      <xdr:col>24</xdr:col>
      <xdr:colOff>0</xdr:colOff>
      <xdr:row>3</xdr:row>
      <xdr:rowOff>0</xdr:rowOff>
    </xdr:from>
    <xdr:to>
      <xdr:col>24</xdr:col>
      <xdr:colOff>416718</xdr:colOff>
      <xdr:row>4</xdr:row>
      <xdr:rowOff>59531</xdr:rowOff>
    </xdr:to>
    <xdr:sp macro="" textlink="">
      <xdr:nvSpPr>
        <xdr:cNvPr id="13" name="Flecha derecha 8">
          <a:hlinkClick xmlns:r="http://schemas.openxmlformats.org/officeDocument/2006/relationships" r:id="rId7"/>
          <a:extLst>
            <a:ext uri="{FF2B5EF4-FFF2-40B4-BE49-F238E27FC236}">
              <a16:creationId xmlns:a16="http://schemas.microsoft.com/office/drawing/2014/main" id="{782D6DE4-F41F-44B6-9234-4C88470E0E4D}"/>
            </a:ext>
          </a:extLst>
        </xdr:cNvPr>
        <xdr:cNvSpPr/>
      </xdr:nvSpPr>
      <xdr:spPr bwMode="auto">
        <a:xfrm rot="10800000">
          <a:off x="29784675" y="485775"/>
          <a:ext cx="416718" cy="297656"/>
        </a:xfrm>
        <a:prstGeom prst="rightArrow">
          <a:avLst/>
        </a:prstGeom>
        <a:solidFill>
          <a:srgbClr val="0000CC"/>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L" sz="1100"/>
        </a:p>
      </xdr:txBody>
    </xdr:sp>
    <xdr:clientData/>
  </xdr:twoCellAnchor>
  <xdr:twoCellAnchor>
    <xdr:from>
      <xdr:col>20</xdr:col>
      <xdr:colOff>0</xdr:colOff>
      <xdr:row>3</xdr:row>
      <xdr:rowOff>0</xdr:rowOff>
    </xdr:from>
    <xdr:to>
      <xdr:col>20</xdr:col>
      <xdr:colOff>416718</xdr:colOff>
      <xdr:row>4</xdr:row>
      <xdr:rowOff>59531</xdr:rowOff>
    </xdr:to>
    <xdr:sp macro="" textlink="">
      <xdr:nvSpPr>
        <xdr:cNvPr id="14" name="Flecha derecha 10">
          <a:hlinkClick xmlns:r="http://schemas.openxmlformats.org/officeDocument/2006/relationships" r:id="rId7"/>
          <a:extLst>
            <a:ext uri="{FF2B5EF4-FFF2-40B4-BE49-F238E27FC236}">
              <a16:creationId xmlns:a16="http://schemas.microsoft.com/office/drawing/2014/main" id="{7C31E2E1-D83A-43A0-9DC5-C0FF33A4FEE0}"/>
            </a:ext>
          </a:extLst>
        </xdr:cNvPr>
        <xdr:cNvSpPr/>
      </xdr:nvSpPr>
      <xdr:spPr bwMode="auto">
        <a:xfrm rot="10800000">
          <a:off x="23383875" y="485775"/>
          <a:ext cx="416718" cy="297656"/>
        </a:xfrm>
        <a:prstGeom prst="rightArrow">
          <a:avLst/>
        </a:prstGeom>
        <a:solidFill>
          <a:srgbClr val="0000CC"/>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L" sz="1100"/>
        </a:p>
      </xdr:txBody>
    </xdr:sp>
    <xdr:clientData/>
  </xdr:twoCellAnchor>
  <xdr:twoCellAnchor>
    <xdr:from>
      <xdr:col>12</xdr:col>
      <xdr:colOff>369094</xdr:colOff>
      <xdr:row>3</xdr:row>
      <xdr:rowOff>23813</xdr:rowOff>
    </xdr:from>
    <xdr:to>
      <xdr:col>12</xdr:col>
      <xdr:colOff>785812</xdr:colOff>
      <xdr:row>4</xdr:row>
      <xdr:rowOff>83344</xdr:rowOff>
    </xdr:to>
    <xdr:sp macro="" textlink="">
      <xdr:nvSpPr>
        <xdr:cNvPr id="15" name="Flecha derecha 11">
          <a:hlinkClick xmlns:r="http://schemas.openxmlformats.org/officeDocument/2006/relationships" r:id="rId7"/>
          <a:extLst>
            <a:ext uri="{FF2B5EF4-FFF2-40B4-BE49-F238E27FC236}">
              <a16:creationId xmlns:a16="http://schemas.microsoft.com/office/drawing/2014/main" id="{92057ED1-BFAC-42F5-BD82-65E7E150C6BA}"/>
            </a:ext>
          </a:extLst>
        </xdr:cNvPr>
        <xdr:cNvSpPr/>
      </xdr:nvSpPr>
      <xdr:spPr bwMode="auto">
        <a:xfrm rot="10800000">
          <a:off x="15447169" y="509588"/>
          <a:ext cx="416718" cy="297656"/>
        </a:xfrm>
        <a:prstGeom prst="rightArrow">
          <a:avLst/>
        </a:prstGeom>
        <a:solidFill>
          <a:srgbClr val="0000CC"/>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L" sz="1100"/>
        </a:p>
      </xdr:txBody>
    </xdr:sp>
    <xdr:clientData/>
  </xdr:twoCellAnchor>
  <xdr:twoCellAnchor>
    <xdr:from>
      <xdr:col>5</xdr:col>
      <xdr:colOff>1321594</xdr:colOff>
      <xdr:row>1</xdr:row>
      <xdr:rowOff>0</xdr:rowOff>
    </xdr:from>
    <xdr:to>
      <xdr:col>7</xdr:col>
      <xdr:colOff>47627</xdr:colOff>
      <xdr:row>5</xdr:row>
      <xdr:rowOff>35719</xdr:rowOff>
    </xdr:to>
    <xdr:sp macro="" textlink="">
      <xdr:nvSpPr>
        <xdr:cNvPr id="16" name="Flecha: hacia abajo 1">
          <a:hlinkClick xmlns:r="http://schemas.openxmlformats.org/officeDocument/2006/relationships" r:id="rId8"/>
          <a:extLst>
            <a:ext uri="{FF2B5EF4-FFF2-40B4-BE49-F238E27FC236}">
              <a16:creationId xmlns:a16="http://schemas.microsoft.com/office/drawing/2014/main" id="{AD2627BF-B0FC-439B-8707-D51BB2D246FA}"/>
            </a:ext>
          </a:extLst>
        </xdr:cNvPr>
        <xdr:cNvSpPr/>
      </xdr:nvSpPr>
      <xdr:spPr bwMode="auto">
        <a:xfrm>
          <a:off x="9160669" y="161925"/>
          <a:ext cx="1193008" cy="788194"/>
        </a:xfrm>
        <a:prstGeom prst="downArrow">
          <a:avLst/>
        </a:prstGeom>
        <a:solidFill>
          <a:srgbClr val="00B0F0"/>
        </a:solidFill>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Ir a TABLA</a:t>
          </a:r>
          <a:r>
            <a:rPr lang="es-CL" sz="1200" b="1" baseline="0">
              <a:solidFill>
                <a:srgbClr val="FF0000"/>
              </a:solidFill>
            </a:rPr>
            <a:t> 11</a:t>
          </a:r>
          <a:endParaRPr lang="es-CL" sz="1200" b="1">
            <a:solidFill>
              <a:srgbClr val="FF0000"/>
            </a:solidFill>
          </a:endParaRPr>
        </a:p>
      </xdr:txBody>
    </xdr:sp>
    <xdr:clientData/>
  </xdr:twoCellAnchor>
  <xdr:twoCellAnchor>
    <xdr:from>
      <xdr:col>39</xdr:col>
      <xdr:colOff>0</xdr:colOff>
      <xdr:row>3</xdr:row>
      <xdr:rowOff>0</xdr:rowOff>
    </xdr:from>
    <xdr:to>
      <xdr:col>39</xdr:col>
      <xdr:colOff>416718</xdr:colOff>
      <xdr:row>4</xdr:row>
      <xdr:rowOff>59531</xdr:rowOff>
    </xdr:to>
    <xdr:sp macro="" textlink="">
      <xdr:nvSpPr>
        <xdr:cNvPr id="17" name="Flecha derecha 13">
          <a:hlinkClick xmlns:r="http://schemas.openxmlformats.org/officeDocument/2006/relationships" r:id="rId7"/>
          <a:extLst>
            <a:ext uri="{FF2B5EF4-FFF2-40B4-BE49-F238E27FC236}">
              <a16:creationId xmlns:a16="http://schemas.microsoft.com/office/drawing/2014/main" id="{2C452366-F3F2-4729-8161-588C3DD6EDE5}"/>
            </a:ext>
          </a:extLst>
        </xdr:cNvPr>
        <xdr:cNvSpPr/>
      </xdr:nvSpPr>
      <xdr:spPr bwMode="auto">
        <a:xfrm rot="10800000">
          <a:off x="43491150" y="485775"/>
          <a:ext cx="416718" cy="297656"/>
        </a:xfrm>
        <a:prstGeom prst="rightArrow">
          <a:avLst/>
        </a:prstGeom>
        <a:solidFill>
          <a:srgbClr val="0000CC"/>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L"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91438</xdr:colOff>
      <xdr:row>0</xdr:row>
      <xdr:rowOff>127160</xdr:rowOff>
    </xdr:from>
    <xdr:to>
      <xdr:col>0</xdr:col>
      <xdr:colOff>1442895</xdr:colOff>
      <xdr:row>4</xdr:row>
      <xdr:rowOff>127159</xdr:rowOff>
    </xdr:to>
    <xdr:sp macro="" textlink="">
      <xdr:nvSpPr>
        <xdr:cNvPr id="2" name="Flecha: a la derecha 1">
          <a:hlinkClick xmlns:r="http://schemas.openxmlformats.org/officeDocument/2006/relationships" r:id="rId1"/>
          <a:extLst>
            <a:ext uri="{FF2B5EF4-FFF2-40B4-BE49-F238E27FC236}">
              <a16:creationId xmlns:a16="http://schemas.microsoft.com/office/drawing/2014/main" id="{5AE096EE-9322-4C3D-B1ED-18BDF39B98A4}"/>
            </a:ext>
          </a:extLst>
        </xdr:cNvPr>
        <xdr:cNvSpPr/>
      </xdr:nvSpPr>
      <xdr:spPr bwMode="auto">
        <a:xfrm flipH="1">
          <a:off x="91438" y="127160"/>
          <a:ext cx="1351457" cy="704849"/>
        </a:xfrm>
        <a:prstGeom prst="rightArrow">
          <a:avLst>
            <a:gd name="adj1" fmla="val 68919"/>
            <a:gd name="adj2" fmla="val 37302"/>
          </a:avLst>
        </a:prstGeom>
        <a:solidFill>
          <a:srgbClr val="00B0F0"/>
        </a:solidFill>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Regresar</a:t>
          </a:r>
        </a:p>
        <a:p>
          <a:pPr algn="ctr"/>
          <a:r>
            <a:rPr lang="es-CL" sz="1200" b="1">
              <a:solidFill>
                <a:srgbClr val="FF0000"/>
              </a:solidFill>
            </a:rPr>
            <a:t>Indice</a:t>
          </a:r>
          <a:r>
            <a:rPr lang="es-CL" sz="1200" b="1" baseline="0">
              <a:solidFill>
                <a:srgbClr val="FF0000"/>
              </a:solidFill>
            </a:rPr>
            <a:t> Tablas</a:t>
          </a:r>
        </a:p>
        <a:p>
          <a:pPr algn="ctr"/>
          <a:endParaRPr lang="es-CL" sz="1200" b="1">
            <a:solidFill>
              <a:srgbClr val="FF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1347981</xdr:colOff>
      <xdr:row>4</xdr:row>
      <xdr:rowOff>142874</xdr:rowOff>
    </xdr:to>
    <xdr:sp macro="" textlink="">
      <xdr:nvSpPr>
        <xdr:cNvPr id="2" name="Flecha: a la derecha 1">
          <a:hlinkClick xmlns:r="http://schemas.openxmlformats.org/officeDocument/2006/relationships" r:id="rId1"/>
          <a:extLst>
            <a:ext uri="{FF2B5EF4-FFF2-40B4-BE49-F238E27FC236}">
              <a16:creationId xmlns:a16="http://schemas.microsoft.com/office/drawing/2014/main" id="{4D053884-9728-483F-B9AE-3303E4C0F871}"/>
            </a:ext>
          </a:extLst>
        </xdr:cNvPr>
        <xdr:cNvSpPr/>
      </xdr:nvSpPr>
      <xdr:spPr bwMode="auto">
        <a:xfrm flipH="1">
          <a:off x="476250" y="161925"/>
          <a:ext cx="1347981" cy="666749"/>
        </a:xfrm>
        <a:prstGeom prst="rightArrow">
          <a:avLst>
            <a:gd name="adj1" fmla="val 68919"/>
            <a:gd name="adj2" fmla="val 37302"/>
          </a:avLst>
        </a:prstGeom>
        <a:solidFill>
          <a:srgbClr val="00B0F0"/>
        </a:solidFill>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Regresar</a:t>
          </a:r>
        </a:p>
        <a:p>
          <a:pPr algn="ctr"/>
          <a:r>
            <a:rPr lang="es-CL" sz="1200" b="1">
              <a:solidFill>
                <a:srgbClr val="FF0000"/>
              </a:solidFill>
            </a:rPr>
            <a:t>Indice</a:t>
          </a:r>
          <a:r>
            <a:rPr lang="es-CL" sz="1200" b="1" baseline="0">
              <a:solidFill>
                <a:srgbClr val="FF0000"/>
              </a:solidFill>
            </a:rPr>
            <a:t> Tablas</a:t>
          </a:r>
        </a:p>
        <a:p>
          <a:pPr algn="ctr"/>
          <a:endParaRPr lang="es-CL" sz="1200" b="1">
            <a:solidFill>
              <a:srgbClr val="FF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59530</xdr:colOff>
      <xdr:row>1</xdr:row>
      <xdr:rowOff>0</xdr:rowOff>
    </xdr:from>
    <xdr:to>
      <xdr:col>0</xdr:col>
      <xdr:colOff>1407511</xdr:colOff>
      <xdr:row>4</xdr:row>
      <xdr:rowOff>142874</xdr:rowOff>
    </xdr:to>
    <xdr:sp macro="" textlink="">
      <xdr:nvSpPr>
        <xdr:cNvPr id="2" name="Flecha: a la derecha 1">
          <a:hlinkClick xmlns:r="http://schemas.openxmlformats.org/officeDocument/2006/relationships" r:id="rId1"/>
          <a:extLst>
            <a:ext uri="{FF2B5EF4-FFF2-40B4-BE49-F238E27FC236}">
              <a16:creationId xmlns:a16="http://schemas.microsoft.com/office/drawing/2014/main" id="{3B7C6090-5D88-4838-A6F2-A8C1F88CB58F}"/>
            </a:ext>
          </a:extLst>
        </xdr:cNvPr>
        <xdr:cNvSpPr/>
      </xdr:nvSpPr>
      <xdr:spPr bwMode="auto">
        <a:xfrm flipH="1">
          <a:off x="59530" y="161925"/>
          <a:ext cx="1347981" cy="704849"/>
        </a:xfrm>
        <a:prstGeom prst="rightArrow">
          <a:avLst>
            <a:gd name="adj1" fmla="val 68919"/>
            <a:gd name="adj2" fmla="val 37302"/>
          </a:avLst>
        </a:prstGeom>
        <a:solidFill>
          <a:srgbClr val="00B0F0"/>
        </a:solidFill>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Regresar</a:t>
          </a:r>
        </a:p>
        <a:p>
          <a:pPr algn="ctr"/>
          <a:r>
            <a:rPr lang="es-CL" sz="1200" b="1">
              <a:solidFill>
                <a:srgbClr val="FF0000"/>
              </a:solidFill>
            </a:rPr>
            <a:t>Indice</a:t>
          </a:r>
          <a:r>
            <a:rPr lang="es-CL" sz="1200" b="1" baseline="0">
              <a:solidFill>
                <a:srgbClr val="FF0000"/>
              </a:solidFill>
            </a:rPr>
            <a:t> Tablas</a:t>
          </a:r>
        </a:p>
        <a:p>
          <a:pPr algn="ctr"/>
          <a:endParaRPr lang="es-CL" sz="1200" b="1">
            <a:solidFill>
              <a:srgbClr val="FF0000"/>
            </a:solidFill>
          </a:endParaRPr>
        </a:p>
      </xdr:txBody>
    </xdr:sp>
    <xdr:clientData/>
  </xdr:twoCellAnchor>
  <xdr:twoCellAnchor editAs="oneCell">
    <xdr:from>
      <xdr:col>0</xdr:col>
      <xdr:colOff>0</xdr:colOff>
      <xdr:row>77</xdr:row>
      <xdr:rowOff>42333</xdr:rowOff>
    </xdr:from>
    <xdr:to>
      <xdr:col>8</xdr:col>
      <xdr:colOff>423333</xdr:colOff>
      <xdr:row>99</xdr:row>
      <xdr:rowOff>31750</xdr:rowOff>
    </xdr:to>
    <xdr:pic>
      <xdr:nvPicPr>
        <xdr:cNvPr id="3" name="Imagen 2">
          <a:extLst>
            <a:ext uri="{FF2B5EF4-FFF2-40B4-BE49-F238E27FC236}">
              <a16:creationId xmlns:a16="http://schemas.microsoft.com/office/drawing/2014/main" id="{1679F096-153D-9996-28DC-A56AE25844B1}"/>
            </a:ext>
          </a:extLst>
        </xdr:cNvPr>
        <xdr:cNvPicPr>
          <a:picLocks noChangeAspect="1"/>
        </xdr:cNvPicPr>
      </xdr:nvPicPr>
      <xdr:blipFill rotWithShape="1">
        <a:blip xmlns:r="http://schemas.openxmlformats.org/officeDocument/2006/relationships" r:embed="rId2"/>
        <a:srcRect l="18579" t="36527" r="18740" b="22830"/>
        <a:stretch/>
      </xdr:blipFill>
      <xdr:spPr>
        <a:xfrm>
          <a:off x="0" y="14996583"/>
          <a:ext cx="11461750" cy="418041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578231</xdr:colOff>
      <xdr:row>4</xdr:row>
      <xdr:rowOff>167742</xdr:rowOff>
    </xdr:to>
    <xdr:sp macro="" textlink="">
      <xdr:nvSpPr>
        <xdr:cNvPr id="2" name="Flecha: a la derecha 1">
          <a:hlinkClick xmlns:r="http://schemas.openxmlformats.org/officeDocument/2006/relationships" r:id="rId1"/>
          <a:extLst>
            <a:ext uri="{FF2B5EF4-FFF2-40B4-BE49-F238E27FC236}">
              <a16:creationId xmlns:a16="http://schemas.microsoft.com/office/drawing/2014/main" id="{9F7D5CCA-7ABE-4457-BEF0-1561F0C13DD2}"/>
            </a:ext>
          </a:extLst>
        </xdr:cNvPr>
        <xdr:cNvSpPr/>
      </xdr:nvSpPr>
      <xdr:spPr bwMode="auto">
        <a:xfrm flipH="1">
          <a:off x="3181350" y="161925"/>
          <a:ext cx="1902206" cy="853542"/>
        </a:xfrm>
        <a:prstGeom prst="rightArrow">
          <a:avLst>
            <a:gd name="adj1" fmla="val 68919"/>
            <a:gd name="adj2" fmla="val 37302"/>
          </a:avLst>
        </a:prstGeom>
        <a:solidFill>
          <a:srgbClr val="00B0F0"/>
        </a:solidFill>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Regresar</a:t>
          </a:r>
        </a:p>
        <a:p>
          <a:pPr algn="ctr"/>
          <a:r>
            <a:rPr lang="es-CL" sz="1200" b="1">
              <a:solidFill>
                <a:srgbClr val="FF0000"/>
              </a:solidFill>
            </a:rPr>
            <a:t>Indice</a:t>
          </a:r>
          <a:r>
            <a:rPr lang="es-CL" sz="1200" b="1" baseline="0">
              <a:solidFill>
                <a:srgbClr val="FF0000"/>
              </a:solidFill>
            </a:rPr>
            <a:t> Tablas</a:t>
          </a:r>
        </a:p>
        <a:p>
          <a:pPr algn="ctr"/>
          <a:endParaRPr lang="es-CL" sz="1200" b="1">
            <a:solidFill>
              <a:srgbClr val="FF0000"/>
            </a:solidFill>
          </a:endParaRPr>
        </a:p>
      </xdr:txBody>
    </xdr:sp>
    <xdr:clientData/>
  </xdr:twoCellAnchor>
  <xdr:twoCellAnchor editAs="oneCell">
    <xdr:from>
      <xdr:col>26</xdr:col>
      <xdr:colOff>0</xdr:colOff>
      <xdr:row>29</xdr:row>
      <xdr:rowOff>0</xdr:rowOff>
    </xdr:from>
    <xdr:to>
      <xdr:col>26</xdr:col>
      <xdr:colOff>304800</xdr:colOff>
      <xdr:row>30</xdr:row>
      <xdr:rowOff>114300</xdr:rowOff>
    </xdr:to>
    <xdr:sp macro="" textlink="">
      <xdr:nvSpPr>
        <xdr:cNvPr id="9217" name="AutoShape 1">
          <a:extLst>
            <a:ext uri="{FF2B5EF4-FFF2-40B4-BE49-F238E27FC236}">
              <a16:creationId xmlns:a16="http://schemas.microsoft.com/office/drawing/2014/main" id="{4F1CA32E-E873-D842-672D-F8C7401B22C5}"/>
            </a:ext>
          </a:extLst>
        </xdr:cNvPr>
        <xdr:cNvSpPr>
          <a:spLocks noChangeAspect="1" noChangeArrowheads="1"/>
        </xdr:cNvSpPr>
      </xdr:nvSpPr>
      <xdr:spPr bwMode="auto">
        <a:xfrm>
          <a:off x="23669625" y="5705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21</xdr:col>
      <xdr:colOff>0</xdr:colOff>
      <xdr:row>33</xdr:row>
      <xdr:rowOff>0</xdr:rowOff>
    </xdr:from>
    <xdr:to>
      <xdr:col>21</xdr:col>
      <xdr:colOff>304800</xdr:colOff>
      <xdr:row>34</xdr:row>
      <xdr:rowOff>114300</xdr:rowOff>
    </xdr:to>
    <xdr:sp macro="" textlink="">
      <xdr:nvSpPr>
        <xdr:cNvPr id="9218" name="AutoShape 2">
          <a:extLst>
            <a:ext uri="{FF2B5EF4-FFF2-40B4-BE49-F238E27FC236}">
              <a16:creationId xmlns:a16="http://schemas.microsoft.com/office/drawing/2014/main" id="{0E86122C-1703-F789-F7C7-1BA267A3EF60}"/>
            </a:ext>
          </a:extLst>
        </xdr:cNvPr>
        <xdr:cNvSpPr>
          <a:spLocks noChangeAspect="1" noChangeArrowheads="1"/>
        </xdr:cNvSpPr>
      </xdr:nvSpPr>
      <xdr:spPr bwMode="auto">
        <a:xfrm>
          <a:off x="19859625" y="6467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Documentos\2024\TARIFAS%202025\TARIFAS%202025%20A.%20EDUCACIONAL\3.%20PROPUESTA%20DIREBIEN%20TARIFAS%202025%20A.%20EDUCACIONAL\2000%20PROPUESTA%20DIREBIEN%20TARIFA%202025.xlsx" TargetMode="External"/><Relationship Id="rId1" Type="http://schemas.openxmlformats.org/officeDocument/2006/relationships/externalLinkPath" Target="file:///G:\Documentos\2024\TARIFAS%202025\TARIFAS%202025%20A.%20EDUCACIONAL\3.%20PROPUESTA%20DIREBIEN%20TARIFAS%202025%20A.%20EDUCACIONAL\2000%20PROPUESTA%20DIREBIEN%20TARIFA%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ciones"/>
      <sheetName val="Índice Tablas"/>
      <sheetName val="A) Resumen Ingresos y Egresos"/>
      <sheetName val="B) Reajuste Tarifas y Ocupación"/>
      <sheetName val="C) Costos Directos"/>
      <sheetName val="D) Costos Indirectos"/>
      <sheetName val="E) Resumen Tarifado "/>
      <sheetName val="F) Remuneraciones"/>
      <sheetName val="G) Comparación Mercado"/>
      <sheetName val="H) Detalle Datos"/>
      <sheetName val="I) Proyección Mensual."/>
    </sheetNames>
    <sheetDataSet>
      <sheetData sheetId="0"/>
      <sheetData sheetId="1"/>
      <sheetData sheetId="2"/>
      <sheetData sheetId="3">
        <row r="5">
          <cell r="F5" t="str">
            <v>(DEPTO./DELEG.)</v>
          </cell>
        </row>
      </sheetData>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M2:N135"/>
  <sheetViews>
    <sheetView topLeftCell="J63" zoomScaleNormal="100" workbookViewId="0">
      <selection activeCell="L248" sqref="L248"/>
    </sheetView>
  </sheetViews>
  <sheetFormatPr baseColWidth="10" defaultColWidth="11.453125" defaultRowHeight="14.5" x14ac:dyDescent="0.35"/>
  <cols>
    <col min="1" max="16384" width="11.453125" style="136"/>
  </cols>
  <sheetData>
    <row r="2" spans="13:14" x14ac:dyDescent="0.35">
      <c r="N2" s="136" t="s">
        <v>273</v>
      </c>
    </row>
    <row r="8" spans="13:14" x14ac:dyDescent="0.35">
      <c r="M8" s="1276"/>
    </row>
    <row r="9" spans="13:14" x14ac:dyDescent="0.35">
      <c r="M9" s="1276"/>
    </row>
    <row r="10" spans="13:14" x14ac:dyDescent="0.35">
      <c r="M10" s="1276"/>
    </row>
    <row r="11" spans="13:14" x14ac:dyDescent="0.35">
      <c r="M11" s="1276"/>
    </row>
    <row r="12" spans="13:14" x14ac:dyDescent="0.35">
      <c r="M12" s="1276"/>
    </row>
    <row r="13" spans="13:14" x14ac:dyDescent="0.35">
      <c r="M13" s="1276"/>
    </row>
    <row r="14" spans="13:14" x14ac:dyDescent="0.35">
      <c r="M14" s="1276"/>
    </row>
    <row r="15" spans="13:14" x14ac:dyDescent="0.35">
      <c r="M15" s="1276"/>
    </row>
    <row r="16" spans="13:14" x14ac:dyDescent="0.35">
      <c r="M16" s="1276"/>
    </row>
    <row r="17" spans="13:13" x14ac:dyDescent="0.35">
      <c r="M17" s="1276"/>
    </row>
    <row r="18" spans="13:13" x14ac:dyDescent="0.35">
      <c r="M18" s="1276"/>
    </row>
    <row r="19" spans="13:13" x14ac:dyDescent="0.35">
      <c r="M19" s="1276"/>
    </row>
    <row r="20" spans="13:13" x14ac:dyDescent="0.35">
      <c r="M20" s="1276"/>
    </row>
    <row r="21" spans="13:13" x14ac:dyDescent="0.35">
      <c r="M21" s="1276"/>
    </row>
    <row r="22" spans="13:13" x14ac:dyDescent="0.35">
      <c r="M22" s="1276"/>
    </row>
    <row r="23" spans="13:13" x14ac:dyDescent="0.35">
      <c r="M23" s="1276"/>
    </row>
    <row r="24" spans="13:13" x14ac:dyDescent="0.35">
      <c r="M24" s="1276"/>
    </row>
    <row r="25" spans="13:13" x14ac:dyDescent="0.35">
      <c r="M25" s="1276"/>
    </row>
    <row r="26" spans="13:13" x14ac:dyDescent="0.35">
      <c r="M26" s="1276"/>
    </row>
    <row r="27" spans="13:13" x14ac:dyDescent="0.35">
      <c r="M27" s="1276"/>
    </row>
    <row r="28" spans="13:13" x14ac:dyDescent="0.35">
      <c r="M28" s="1276"/>
    </row>
    <row r="29" spans="13:13" x14ac:dyDescent="0.35">
      <c r="M29" s="1276"/>
    </row>
    <row r="30" spans="13:13" x14ac:dyDescent="0.35">
      <c r="M30" s="1276"/>
    </row>
    <row r="31" spans="13:13" x14ac:dyDescent="0.35">
      <c r="M31" s="1276"/>
    </row>
    <row r="32" spans="13:13" x14ac:dyDescent="0.35">
      <c r="M32" s="1276"/>
    </row>
    <row r="33" spans="13:13" x14ac:dyDescent="0.35">
      <c r="M33" s="1276"/>
    </row>
    <row r="34" spans="13:13" x14ac:dyDescent="0.35">
      <c r="M34" s="1276"/>
    </row>
    <row r="35" spans="13:13" x14ac:dyDescent="0.35">
      <c r="M35" s="1276"/>
    </row>
    <row r="36" spans="13:13" x14ac:dyDescent="0.35">
      <c r="M36" s="1276"/>
    </row>
    <row r="37" spans="13:13" x14ac:dyDescent="0.35">
      <c r="M37" s="1276"/>
    </row>
    <row r="38" spans="13:13" x14ac:dyDescent="0.35">
      <c r="M38" s="1276"/>
    </row>
    <row r="39" spans="13:13" x14ac:dyDescent="0.35">
      <c r="M39" s="1276"/>
    </row>
    <row r="40" spans="13:13" x14ac:dyDescent="0.35">
      <c r="M40" s="1276"/>
    </row>
    <row r="41" spans="13:13" x14ac:dyDescent="0.35">
      <c r="M41" s="1276"/>
    </row>
    <row r="42" spans="13:13" x14ac:dyDescent="0.35">
      <c r="M42" s="1276"/>
    </row>
    <row r="43" spans="13:13" x14ac:dyDescent="0.35">
      <c r="M43" s="1276"/>
    </row>
    <row r="44" spans="13:13" x14ac:dyDescent="0.35">
      <c r="M44" s="1276"/>
    </row>
    <row r="45" spans="13:13" x14ac:dyDescent="0.35">
      <c r="M45" s="1276"/>
    </row>
    <row r="46" spans="13:13" x14ac:dyDescent="0.35">
      <c r="M46" s="1276"/>
    </row>
    <row r="47" spans="13:13" x14ac:dyDescent="0.35">
      <c r="M47" s="1276"/>
    </row>
    <row r="48" spans="13:13" s="1278" customFormat="1" x14ac:dyDescent="0.35">
      <c r="M48" s="1277"/>
    </row>
    <row r="49" spans="13:13" x14ac:dyDescent="0.35">
      <c r="M49" s="1276"/>
    </row>
    <row r="50" spans="13:13" x14ac:dyDescent="0.35">
      <c r="M50" s="1276"/>
    </row>
    <row r="51" spans="13:13" x14ac:dyDescent="0.35">
      <c r="M51" s="1276"/>
    </row>
    <row r="52" spans="13:13" x14ac:dyDescent="0.35">
      <c r="M52" s="1276"/>
    </row>
    <row r="53" spans="13:13" x14ac:dyDescent="0.35">
      <c r="M53" s="1276"/>
    </row>
    <row r="54" spans="13:13" x14ac:dyDescent="0.35">
      <c r="M54" s="1276"/>
    </row>
    <row r="55" spans="13:13" x14ac:dyDescent="0.35">
      <c r="M55" s="1276"/>
    </row>
    <row r="56" spans="13:13" x14ac:dyDescent="0.35">
      <c r="M56" s="1276"/>
    </row>
    <row r="57" spans="13:13" x14ac:dyDescent="0.35">
      <c r="M57" s="1276"/>
    </row>
    <row r="58" spans="13:13" x14ac:dyDescent="0.35">
      <c r="M58" s="1276"/>
    </row>
    <row r="59" spans="13:13" x14ac:dyDescent="0.35">
      <c r="M59" s="1276"/>
    </row>
    <row r="60" spans="13:13" x14ac:dyDescent="0.35">
      <c r="M60" s="1276"/>
    </row>
    <row r="61" spans="13:13" x14ac:dyDescent="0.35">
      <c r="M61" s="1276"/>
    </row>
    <row r="62" spans="13:13" x14ac:dyDescent="0.35">
      <c r="M62" s="1276"/>
    </row>
    <row r="63" spans="13:13" x14ac:dyDescent="0.35">
      <c r="M63" s="1276"/>
    </row>
    <row r="64" spans="13:13" x14ac:dyDescent="0.35">
      <c r="M64" s="1276"/>
    </row>
    <row r="65" spans="13:13" x14ac:dyDescent="0.35">
      <c r="M65" s="1276"/>
    </row>
    <row r="66" spans="13:13" x14ac:dyDescent="0.35">
      <c r="M66" s="1276"/>
    </row>
    <row r="67" spans="13:13" x14ac:dyDescent="0.35">
      <c r="M67" s="1276"/>
    </row>
    <row r="68" spans="13:13" x14ac:dyDescent="0.35">
      <c r="M68" s="1276"/>
    </row>
    <row r="69" spans="13:13" x14ac:dyDescent="0.35">
      <c r="M69" s="1276"/>
    </row>
    <row r="70" spans="13:13" x14ac:dyDescent="0.35">
      <c r="M70" s="1276"/>
    </row>
    <row r="71" spans="13:13" x14ac:dyDescent="0.35">
      <c r="M71" s="1276"/>
    </row>
    <row r="72" spans="13:13" x14ac:dyDescent="0.35">
      <c r="M72" s="1276"/>
    </row>
    <row r="73" spans="13:13" x14ac:dyDescent="0.35">
      <c r="M73" s="1276"/>
    </row>
    <row r="74" spans="13:13" x14ac:dyDescent="0.35">
      <c r="M74" s="1276"/>
    </row>
    <row r="75" spans="13:13" x14ac:dyDescent="0.35">
      <c r="M75" s="1276"/>
    </row>
    <row r="76" spans="13:13" x14ac:dyDescent="0.35">
      <c r="M76" s="1276"/>
    </row>
    <row r="77" spans="13:13" x14ac:dyDescent="0.35">
      <c r="M77" s="1276"/>
    </row>
    <row r="78" spans="13:13" x14ac:dyDescent="0.35">
      <c r="M78" s="1276"/>
    </row>
    <row r="79" spans="13:13" x14ac:dyDescent="0.35">
      <c r="M79" s="1276"/>
    </row>
    <row r="80" spans="13:13" x14ac:dyDescent="0.35">
      <c r="M80" s="1276"/>
    </row>
    <row r="81" spans="13:13" x14ac:dyDescent="0.35">
      <c r="M81" s="1276"/>
    </row>
    <row r="82" spans="13:13" x14ac:dyDescent="0.35">
      <c r="M82" s="1276"/>
    </row>
    <row r="83" spans="13:13" x14ac:dyDescent="0.35">
      <c r="M83" s="1276"/>
    </row>
    <row r="84" spans="13:13" x14ac:dyDescent="0.35">
      <c r="M84" s="1276"/>
    </row>
    <row r="85" spans="13:13" x14ac:dyDescent="0.35">
      <c r="M85" s="1276"/>
    </row>
    <row r="86" spans="13:13" x14ac:dyDescent="0.35">
      <c r="M86" s="1276"/>
    </row>
    <row r="87" spans="13:13" x14ac:dyDescent="0.35">
      <c r="M87" s="1276"/>
    </row>
    <row r="88" spans="13:13" x14ac:dyDescent="0.35">
      <c r="M88" s="1276"/>
    </row>
    <row r="89" spans="13:13" x14ac:dyDescent="0.35">
      <c r="M89" s="1276"/>
    </row>
    <row r="90" spans="13:13" x14ac:dyDescent="0.35">
      <c r="M90" s="1276"/>
    </row>
    <row r="91" spans="13:13" x14ac:dyDescent="0.35">
      <c r="M91" s="1276"/>
    </row>
    <row r="92" spans="13:13" x14ac:dyDescent="0.35">
      <c r="M92" s="1276"/>
    </row>
    <row r="93" spans="13:13" x14ac:dyDescent="0.35">
      <c r="M93" s="1276"/>
    </row>
    <row r="94" spans="13:13" s="1278" customFormat="1" x14ac:dyDescent="0.35">
      <c r="M94" s="1277"/>
    </row>
    <row r="95" spans="13:13" x14ac:dyDescent="0.35">
      <c r="M95" s="1276"/>
    </row>
    <row r="96" spans="13:13" x14ac:dyDescent="0.35">
      <c r="M96" s="1276"/>
    </row>
    <row r="97" spans="13:13" x14ac:dyDescent="0.35">
      <c r="M97" s="1276"/>
    </row>
    <row r="98" spans="13:13" x14ac:dyDescent="0.35">
      <c r="M98" s="1276"/>
    </row>
    <row r="99" spans="13:13" x14ac:dyDescent="0.35">
      <c r="M99" s="1276"/>
    </row>
    <row r="100" spans="13:13" x14ac:dyDescent="0.35">
      <c r="M100" s="1276"/>
    </row>
    <row r="101" spans="13:13" x14ac:dyDescent="0.35">
      <c r="M101" s="1276"/>
    </row>
    <row r="102" spans="13:13" x14ac:dyDescent="0.35">
      <c r="M102" s="1276"/>
    </row>
    <row r="103" spans="13:13" x14ac:dyDescent="0.35">
      <c r="M103" s="1276"/>
    </row>
    <row r="104" spans="13:13" x14ac:dyDescent="0.35">
      <c r="M104" s="1276"/>
    </row>
    <row r="105" spans="13:13" x14ac:dyDescent="0.35">
      <c r="M105" s="1276"/>
    </row>
    <row r="106" spans="13:13" x14ac:dyDescent="0.35">
      <c r="M106" s="1276"/>
    </row>
    <row r="107" spans="13:13" x14ac:dyDescent="0.35">
      <c r="M107" s="1276"/>
    </row>
    <row r="108" spans="13:13" x14ac:dyDescent="0.35">
      <c r="M108" s="1276"/>
    </row>
    <row r="109" spans="13:13" x14ac:dyDescent="0.35">
      <c r="M109" s="1276"/>
    </row>
    <row r="110" spans="13:13" x14ac:dyDescent="0.35">
      <c r="M110" s="1276"/>
    </row>
    <row r="111" spans="13:13" x14ac:dyDescent="0.35">
      <c r="M111" s="1276"/>
    </row>
    <row r="112" spans="13:13" x14ac:dyDescent="0.35">
      <c r="M112" s="1276"/>
    </row>
    <row r="113" spans="13:13" x14ac:dyDescent="0.35">
      <c r="M113" s="1276"/>
    </row>
    <row r="114" spans="13:13" x14ac:dyDescent="0.35">
      <c r="M114" s="1276"/>
    </row>
    <row r="115" spans="13:13" x14ac:dyDescent="0.35">
      <c r="M115" s="1276"/>
    </row>
    <row r="116" spans="13:13" x14ac:dyDescent="0.35">
      <c r="M116" s="1276"/>
    </row>
    <row r="117" spans="13:13" x14ac:dyDescent="0.35">
      <c r="M117" s="1276"/>
    </row>
    <row r="118" spans="13:13" x14ac:dyDescent="0.35">
      <c r="M118" s="1276"/>
    </row>
    <row r="119" spans="13:13" x14ac:dyDescent="0.35">
      <c r="M119" s="1276"/>
    </row>
    <row r="120" spans="13:13" x14ac:dyDescent="0.35">
      <c r="M120" s="1276"/>
    </row>
    <row r="121" spans="13:13" x14ac:dyDescent="0.35">
      <c r="M121" s="1276"/>
    </row>
    <row r="122" spans="13:13" x14ac:dyDescent="0.35">
      <c r="M122" s="1276"/>
    </row>
    <row r="123" spans="13:13" x14ac:dyDescent="0.35">
      <c r="M123" s="1276"/>
    </row>
    <row r="124" spans="13:13" x14ac:dyDescent="0.35">
      <c r="M124" s="1276"/>
    </row>
    <row r="125" spans="13:13" x14ac:dyDescent="0.35">
      <c r="M125" s="1276"/>
    </row>
    <row r="126" spans="13:13" x14ac:dyDescent="0.35">
      <c r="M126" s="1276"/>
    </row>
    <row r="127" spans="13:13" x14ac:dyDescent="0.35">
      <c r="M127" s="1276"/>
    </row>
    <row r="128" spans="13:13" x14ac:dyDescent="0.35">
      <c r="M128" s="1276"/>
    </row>
    <row r="129" spans="13:13" x14ac:dyDescent="0.35">
      <c r="M129" s="1276"/>
    </row>
    <row r="130" spans="13:13" x14ac:dyDescent="0.35">
      <c r="M130" s="1276"/>
    </row>
    <row r="131" spans="13:13" x14ac:dyDescent="0.35">
      <c r="M131" s="1276"/>
    </row>
    <row r="132" spans="13:13" x14ac:dyDescent="0.35">
      <c r="M132" s="1276"/>
    </row>
    <row r="133" spans="13:13" x14ac:dyDescent="0.35">
      <c r="M133" s="1276"/>
    </row>
    <row r="134" spans="13:13" x14ac:dyDescent="0.35">
      <c r="M134" s="1276"/>
    </row>
    <row r="135" spans="13:13" x14ac:dyDescent="0.35">
      <c r="M135" s="1276"/>
    </row>
  </sheetData>
  <sheetProtection algorithmName="SHA-512" hashValue="SYnVFByIeujacHVg8U1f1wlfXfokYPsoZcE1f2vfwPftkIcEY7aNuEXKw99rEPaZQNWh9DO+p2vEkFZfxBrhtA==" saltValue="T6q/Y26WUeWjbLWSmJ0mXg==" spinCount="100000" sheet="1" objects="1" scenarios="1"/>
  <pageMargins left="0.23622047244094491" right="0.23622047244094491" top="0.74803149606299213" bottom="0.74803149606299213" header="0.31496062992125984" footer="0.31496062992125984"/>
  <pageSetup scale="90" fitToHeight="0" orientation="portrait" horizontalDpi="0"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sheetPr>
  <dimension ref="A1:AW190"/>
  <sheetViews>
    <sheetView topLeftCell="A61" zoomScale="80" zoomScaleNormal="80" workbookViewId="0">
      <selection activeCell="M88" sqref="M88:M109"/>
    </sheetView>
  </sheetViews>
  <sheetFormatPr baseColWidth="10" defaultRowHeight="14.5" x14ac:dyDescent="0.35"/>
  <cols>
    <col min="1" max="1" width="7.1796875" style="56" customWidth="1"/>
    <col min="2" max="3" width="31.7265625" style="56" customWidth="1"/>
    <col min="4" max="4" width="32.81640625" style="56" customWidth="1"/>
    <col min="5" max="5" width="24.1796875" style="56" customWidth="1"/>
    <col min="6" max="6" width="56.54296875" style="56" bestFit="1" customWidth="1"/>
    <col min="7" max="7" width="22.1796875" style="567" customWidth="1"/>
    <col min="8" max="8" width="26.1796875" style="56" bestFit="1" customWidth="1"/>
    <col min="9" max="9" width="15.1796875" style="56" customWidth="1"/>
    <col min="10" max="10" width="15" style="56" customWidth="1"/>
    <col min="11" max="11" width="16.1796875" style="56" bestFit="1" customWidth="1"/>
    <col min="12" max="12" width="20" style="56" customWidth="1"/>
    <col min="13" max="13" width="24.453125" style="56" customWidth="1"/>
    <col min="14" max="14" width="16.26953125" style="136" bestFit="1" customWidth="1"/>
    <col min="15" max="15" width="13.7265625" style="136" bestFit="1" customWidth="1"/>
    <col min="16" max="49" width="11.453125" style="136"/>
  </cols>
  <sheetData>
    <row r="1" spans="1:49" s="136" customFormat="1" x14ac:dyDescent="0.35">
      <c r="A1" s="139"/>
      <c r="B1" s="139"/>
      <c r="C1" s="139"/>
      <c r="D1" s="139"/>
      <c r="E1" s="139"/>
      <c r="F1" s="137"/>
      <c r="G1" s="137"/>
      <c r="H1" s="137"/>
      <c r="I1" s="137"/>
      <c r="J1" s="137"/>
      <c r="K1" s="137"/>
      <c r="L1" s="139"/>
      <c r="M1" s="139"/>
    </row>
    <row r="2" spans="1:49" s="136" customFormat="1" x14ac:dyDescent="0.35">
      <c r="A2" s="139"/>
      <c r="B2" s="139"/>
      <c r="C2" s="139"/>
      <c r="D2" s="139"/>
      <c r="E2" s="139"/>
      <c r="F2" s="137" t="s">
        <v>204</v>
      </c>
      <c r="G2" s="137"/>
      <c r="H2" s="137"/>
      <c r="I2" s="137"/>
      <c r="J2" s="137"/>
      <c r="K2" s="137"/>
      <c r="L2" s="139"/>
      <c r="M2" s="139"/>
    </row>
    <row r="3" spans="1:49" s="136" customFormat="1" x14ac:dyDescent="0.35">
      <c r="A3" s="139"/>
      <c r="B3" s="1130"/>
      <c r="C3" s="1130"/>
      <c r="D3" s="139"/>
      <c r="E3" s="139"/>
      <c r="F3" s="139"/>
      <c r="G3" s="137"/>
      <c r="H3" s="139"/>
      <c r="I3" s="139"/>
      <c r="J3" s="139"/>
      <c r="K3" s="139"/>
      <c r="L3" s="139"/>
      <c r="M3" s="139"/>
    </row>
    <row r="4" spans="1:49" s="136" customFormat="1" ht="15.5" x14ac:dyDescent="0.35">
      <c r="A4" s="139"/>
      <c r="B4" s="1130"/>
      <c r="C4" s="1130"/>
      <c r="D4" s="139"/>
      <c r="E4" s="1144" t="s">
        <v>1</v>
      </c>
      <c r="F4" s="84" t="s">
        <v>20</v>
      </c>
      <c r="G4" s="1191"/>
      <c r="H4" s="1192"/>
      <c r="I4" s="1192"/>
      <c r="J4" s="1192"/>
      <c r="K4" s="1192"/>
      <c r="L4" s="139"/>
      <c r="M4" s="139"/>
    </row>
    <row r="5" spans="1:49" s="136" customFormat="1" x14ac:dyDescent="0.35">
      <c r="A5" s="139"/>
      <c r="B5" s="1130"/>
      <c r="C5" s="1130"/>
      <c r="D5" s="139"/>
      <c r="E5" s="141"/>
      <c r="F5" s="137"/>
      <c r="G5" s="137"/>
      <c r="H5" s="137"/>
      <c r="I5" s="137"/>
      <c r="J5" s="137"/>
      <c r="K5" s="137"/>
      <c r="L5" s="139"/>
      <c r="M5" s="139"/>
    </row>
    <row r="6" spans="1:49" s="136" customFormat="1" x14ac:dyDescent="0.35">
      <c r="A6" s="139"/>
      <c r="B6" s="1130"/>
      <c r="C6" s="1130"/>
      <c r="D6" s="139"/>
      <c r="E6" s="141"/>
      <c r="F6" s="137"/>
      <c r="G6" s="137"/>
      <c r="H6" s="137"/>
      <c r="I6" s="137"/>
      <c r="J6" s="137"/>
      <c r="K6" s="137"/>
      <c r="L6" s="139"/>
      <c r="M6" s="137" t="s">
        <v>311</v>
      </c>
      <c r="N6" s="1271"/>
      <c r="O6" s="1272"/>
    </row>
    <row r="7" spans="1:49" s="136" customFormat="1" ht="15.5" x14ac:dyDescent="0.35">
      <c r="A7" s="139"/>
      <c r="B7" s="1616" t="s">
        <v>205</v>
      </c>
      <c r="C7" s="1616"/>
      <c r="D7" s="1616"/>
      <c r="E7" s="1616"/>
      <c r="F7" s="1616"/>
      <c r="G7" s="1193"/>
      <c r="H7" s="1194"/>
      <c r="I7" s="1194"/>
      <c r="J7" s="1194"/>
      <c r="K7" s="1194"/>
      <c r="L7" s="1199" t="s">
        <v>23</v>
      </c>
      <c r="M7" s="1275">
        <v>4.4999999999999998E-2</v>
      </c>
      <c r="N7" s="1273"/>
      <c r="O7" s="1274"/>
    </row>
    <row r="8" spans="1:49" s="136" customFormat="1" ht="15" thickBot="1" x14ac:dyDescent="0.4">
      <c r="G8" s="738"/>
    </row>
    <row r="9" spans="1:49" ht="15" customHeight="1" x14ac:dyDescent="0.35">
      <c r="B9" s="1617" t="s">
        <v>3</v>
      </c>
      <c r="C9" s="1619" t="s">
        <v>206</v>
      </c>
      <c r="D9" s="1621" t="s">
        <v>180</v>
      </c>
      <c r="E9" s="1621" t="s">
        <v>181</v>
      </c>
      <c r="F9" s="1623" t="s">
        <v>182</v>
      </c>
      <c r="G9" s="1623" t="s">
        <v>72</v>
      </c>
      <c r="H9" s="1623" t="s">
        <v>310</v>
      </c>
      <c r="I9" s="1631" t="s">
        <v>184</v>
      </c>
      <c r="J9" s="1623" t="s">
        <v>183</v>
      </c>
      <c r="K9" s="1623" t="s">
        <v>408</v>
      </c>
      <c r="L9" s="1633" t="s">
        <v>403</v>
      </c>
      <c r="M9" s="1635" t="s">
        <v>207</v>
      </c>
    </row>
    <row r="10" spans="1:49" s="56" customFormat="1" ht="39.75" customHeight="1" thickBot="1" x14ac:dyDescent="0.4">
      <c r="B10" s="1618"/>
      <c r="C10" s="1620"/>
      <c r="D10" s="1622"/>
      <c r="E10" s="1622"/>
      <c r="F10" s="1624"/>
      <c r="G10" s="1624"/>
      <c r="H10" s="1624"/>
      <c r="I10" s="1632"/>
      <c r="J10" s="1624"/>
      <c r="K10" s="1624"/>
      <c r="L10" s="1634"/>
      <c r="M10" s="1636"/>
      <c r="N10" s="136"/>
      <c r="O10" s="136"/>
      <c r="P10" s="1195"/>
      <c r="Q10" s="1196"/>
      <c r="R10" s="1196"/>
      <c r="S10" s="1196"/>
      <c r="T10" s="136"/>
      <c r="U10" s="1646"/>
      <c r="V10" s="1646"/>
      <c r="W10" s="1646"/>
      <c r="X10" s="1646"/>
      <c r="Y10" s="136"/>
      <c r="Z10" s="136"/>
      <c r="AA10" s="136"/>
      <c r="AB10" s="136"/>
      <c r="AC10" s="136"/>
      <c r="AD10" s="136"/>
      <c r="AE10" s="136"/>
      <c r="AF10" s="136"/>
      <c r="AG10" s="136"/>
      <c r="AH10" s="136"/>
      <c r="AI10" s="136"/>
      <c r="AJ10" s="136"/>
      <c r="AK10" s="136"/>
      <c r="AL10" s="136"/>
      <c r="AM10" s="136"/>
      <c r="AN10" s="136"/>
      <c r="AO10" s="136"/>
      <c r="AP10" s="136"/>
      <c r="AQ10" s="136"/>
      <c r="AR10" s="136"/>
      <c r="AS10" s="136"/>
      <c r="AT10" s="136"/>
      <c r="AU10" s="136"/>
      <c r="AV10" s="136"/>
      <c r="AW10" s="136"/>
    </row>
    <row r="11" spans="1:49" x14ac:dyDescent="0.35">
      <c r="A11"/>
      <c r="B11" s="1637" t="str">
        <f>+'B) Reajuste Tarifas y Ocupación'!A9</f>
        <v>C. R. Faro Limar</v>
      </c>
      <c r="C11" s="1625" t="s">
        <v>208</v>
      </c>
      <c r="D11" s="655" t="s">
        <v>373</v>
      </c>
      <c r="E11" s="63" t="s">
        <v>374</v>
      </c>
      <c r="F11" s="63" t="s">
        <v>371</v>
      </c>
      <c r="G11" s="656">
        <v>322016</v>
      </c>
      <c r="H11" s="585">
        <v>18097484</v>
      </c>
      <c r="I11" s="585">
        <v>171208</v>
      </c>
      <c r="J11" s="586">
        <v>217145</v>
      </c>
      <c r="K11" s="579">
        <f>SUM(H11:J11)</f>
        <v>18485837</v>
      </c>
      <c r="L11" s="657">
        <f>+((H11*(1+$M$7)))*(1+N7)+I11+J11</f>
        <v>19300223.779999997</v>
      </c>
      <c r="M11" s="1628">
        <f>SUM(L11:L32)</f>
        <v>24415861.309999995</v>
      </c>
      <c r="N11" s="1197"/>
      <c r="O11" s="1198"/>
    </row>
    <row r="12" spans="1:49" x14ac:dyDescent="0.35">
      <c r="A12"/>
      <c r="B12" s="1638"/>
      <c r="C12" s="1626"/>
      <c r="D12" s="85"/>
      <c r="E12" s="658"/>
      <c r="F12" s="658"/>
      <c r="G12" s="659"/>
      <c r="H12" s="578"/>
      <c r="I12" s="578"/>
      <c r="J12" s="587"/>
      <c r="K12" s="580">
        <f t="shared" ref="K12:K75" si="0">SUM(H12:J12)</f>
        <v>0</v>
      </c>
      <c r="L12" s="660">
        <f t="shared" ref="L12:L75" si="1">+(H12*(1+$M$7))+I12+J12</f>
        <v>0</v>
      </c>
      <c r="M12" s="1629"/>
    </row>
    <row r="13" spans="1:49" x14ac:dyDescent="0.35">
      <c r="A13"/>
      <c r="B13" s="1638"/>
      <c r="C13" s="1626"/>
      <c r="D13" s="85"/>
      <c r="E13" s="658" t="s">
        <v>407</v>
      </c>
      <c r="F13" s="658" t="s">
        <v>151</v>
      </c>
      <c r="G13" s="659"/>
      <c r="H13" s="578"/>
      <c r="I13" s="578"/>
      <c r="J13" s="587"/>
      <c r="K13" s="580">
        <f t="shared" si="0"/>
        <v>0</v>
      </c>
      <c r="L13" s="660">
        <f t="shared" si="1"/>
        <v>0</v>
      </c>
      <c r="M13" s="1629"/>
    </row>
    <row r="14" spans="1:49" x14ac:dyDescent="0.35">
      <c r="A14"/>
      <c r="B14" s="1638"/>
      <c r="C14" s="1626"/>
      <c r="D14" s="62"/>
      <c r="E14" s="64"/>
      <c r="F14" s="64"/>
      <c r="G14" s="659"/>
      <c r="H14" s="578"/>
      <c r="I14" s="578"/>
      <c r="J14" s="587"/>
      <c r="K14" s="580">
        <f>SUM(H14:J14)</f>
        <v>0</v>
      </c>
      <c r="L14" s="660">
        <f t="shared" si="1"/>
        <v>0</v>
      </c>
      <c r="M14" s="1629"/>
    </row>
    <row r="15" spans="1:49" x14ac:dyDescent="0.35">
      <c r="A15"/>
      <c r="B15" s="1638"/>
      <c r="C15" s="1626"/>
      <c r="D15" s="62"/>
      <c r="E15" s="64"/>
      <c r="F15" s="64"/>
      <c r="G15" s="659"/>
      <c r="H15" s="578"/>
      <c r="I15" s="578"/>
      <c r="J15" s="587"/>
      <c r="K15" s="580">
        <f t="shared" si="0"/>
        <v>0</v>
      </c>
      <c r="L15" s="660">
        <f t="shared" si="1"/>
        <v>0</v>
      </c>
      <c r="M15" s="1629"/>
    </row>
    <row r="16" spans="1:49" x14ac:dyDescent="0.35">
      <c r="A16"/>
      <c r="B16" s="1638"/>
      <c r="C16" s="1626"/>
      <c r="D16" s="62"/>
      <c r="E16" s="64"/>
      <c r="F16" s="64"/>
      <c r="G16" s="659"/>
      <c r="H16" s="578"/>
      <c r="I16" s="578"/>
      <c r="J16" s="587"/>
      <c r="K16" s="580">
        <f t="shared" si="0"/>
        <v>0</v>
      </c>
      <c r="L16" s="660">
        <f t="shared" si="1"/>
        <v>0</v>
      </c>
      <c r="M16" s="1629"/>
    </row>
    <row r="17" spans="1:14" x14ac:dyDescent="0.35">
      <c r="A17"/>
      <c r="B17" s="1638"/>
      <c r="C17" s="1626"/>
      <c r="D17" s="62"/>
      <c r="E17" s="64"/>
      <c r="F17" s="64"/>
      <c r="G17" s="659"/>
      <c r="H17" s="578"/>
      <c r="I17" s="578"/>
      <c r="J17" s="587"/>
      <c r="K17" s="580">
        <f t="shared" si="0"/>
        <v>0</v>
      </c>
      <c r="L17" s="660">
        <f t="shared" si="1"/>
        <v>0</v>
      </c>
      <c r="M17" s="1629"/>
    </row>
    <row r="18" spans="1:14" x14ac:dyDescent="0.35">
      <c r="A18"/>
      <c r="B18" s="1638"/>
      <c r="C18" s="1626"/>
      <c r="D18" s="62"/>
      <c r="E18" s="64"/>
      <c r="F18" s="64"/>
      <c r="G18" s="659"/>
      <c r="H18" s="578"/>
      <c r="I18" s="578"/>
      <c r="J18" s="587"/>
      <c r="K18" s="580">
        <f t="shared" si="0"/>
        <v>0</v>
      </c>
      <c r="L18" s="660">
        <f t="shared" si="1"/>
        <v>0</v>
      </c>
      <c r="M18" s="1629"/>
    </row>
    <row r="19" spans="1:14" x14ac:dyDescent="0.35">
      <c r="A19"/>
      <c r="B19" s="1638"/>
      <c r="C19" s="1626"/>
      <c r="D19" s="62"/>
      <c r="E19" s="64"/>
      <c r="F19" s="64"/>
      <c r="G19" s="659"/>
      <c r="H19" s="578"/>
      <c r="I19" s="578"/>
      <c r="J19" s="587"/>
      <c r="K19" s="580">
        <f t="shared" si="0"/>
        <v>0</v>
      </c>
      <c r="L19" s="660">
        <f t="shared" si="1"/>
        <v>0</v>
      </c>
      <c r="M19" s="1629"/>
    </row>
    <row r="20" spans="1:14" x14ac:dyDescent="0.35">
      <c r="A20"/>
      <c r="B20" s="1638"/>
      <c r="C20" s="1626"/>
      <c r="D20" s="62"/>
      <c r="E20" s="64"/>
      <c r="F20" s="64"/>
      <c r="G20" s="659"/>
      <c r="H20" s="578"/>
      <c r="I20" s="578"/>
      <c r="J20" s="587"/>
      <c r="K20" s="580">
        <f t="shared" si="0"/>
        <v>0</v>
      </c>
      <c r="L20" s="660">
        <f t="shared" si="1"/>
        <v>0</v>
      </c>
      <c r="M20" s="1629"/>
    </row>
    <row r="21" spans="1:14" ht="15" thickBot="1" x14ac:dyDescent="0.4">
      <c r="A21"/>
      <c r="B21" s="1638"/>
      <c r="C21" s="1627"/>
      <c r="D21" s="60"/>
      <c r="E21" s="65"/>
      <c r="F21" s="65"/>
      <c r="G21" s="661"/>
      <c r="H21" s="705"/>
      <c r="I21" s="705"/>
      <c r="J21" s="706"/>
      <c r="K21" s="707">
        <f t="shared" si="0"/>
        <v>0</v>
      </c>
      <c r="L21" s="662">
        <f t="shared" si="1"/>
        <v>0</v>
      </c>
      <c r="M21" s="1629"/>
    </row>
    <row r="22" spans="1:14" x14ac:dyDescent="0.35">
      <c r="A22"/>
      <c r="B22" s="1638"/>
      <c r="C22" s="1626" t="s">
        <v>209</v>
      </c>
      <c r="D22" s="62"/>
      <c r="E22" s="64"/>
      <c r="F22" s="64" t="s">
        <v>375</v>
      </c>
      <c r="G22" s="659">
        <v>322016</v>
      </c>
      <c r="H22" s="578">
        <v>4442034</v>
      </c>
      <c r="I22" s="577">
        <v>87236</v>
      </c>
      <c r="J22" s="588">
        <v>386476</v>
      </c>
      <c r="K22" s="579">
        <f t="shared" si="0"/>
        <v>4915746</v>
      </c>
      <c r="L22" s="657">
        <f>+((H22*(1+$M$7)))*(1+N7)+I22+J22</f>
        <v>5115637.5299999993</v>
      </c>
      <c r="M22" s="1629"/>
      <c r="N22" s="1197"/>
    </row>
    <row r="23" spans="1:14" x14ac:dyDescent="0.35">
      <c r="A23"/>
      <c r="B23" s="1638"/>
      <c r="C23" s="1626"/>
      <c r="D23" s="62"/>
      <c r="E23" s="64"/>
      <c r="F23" s="650" t="s">
        <v>409</v>
      </c>
      <c r="G23" s="659"/>
      <c r="H23" s="578"/>
      <c r="I23" s="578"/>
      <c r="J23" s="587"/>
      <c r="K23" s="580">
        <f t="shared" si="0"/>
        <v>0</v>
      </c>
      <c r="L23" s="660">
        <f t="shared" si="1"/>
        <v>0</v>
      </c>
      <c r="M23" s="1629"/>
      <c r="N23" s="891"/>
    </row>
    <row r="24" spans="1:14" x14ac:dyDescent="0.35">
      <c r="A24"/>
      <c r="B24" s="1638"/>
      <c r="C24" s="1626"/>
      <c r="D24" s="62"/>
      <c r="E24" s="64"/>
      <c r="F24" s="64"/>
      <c r="G24" s="659"/>
      <c r="H24" s="578"/>
      <c r="I24" s="578"/>
      <c r="J24" s="587"/>
      <c r="K24" s="580">
        <f t="shared" si="0"/>
        <v>0</v>
      </c>
      <c r="L24" s="660">
        <f t="shared" si="1"/>
        <v>0</v>
      </c>
      <c r="M24" s="1629"/>
    </row>
    <row r="25" spans="1:14" x14ac:dyDescent="0.35">
      <c r="A25"/>
      <c r="B25" s="1638"/>
      <c r="C25" s="1626"/>
      <c r="D25" s="62"/>
      <c r="E25" s="64"/>
      <c r="F25" s="64"/>
      <c r="G25" s="659"/>
      <c r="H25" s="578"/>
      <c r="I25" s="578"/>
      <c r="J25" s="587"/>
      <c r="K25" s="580">
        <f t="shared" si="0"/>
        <v>0</v>
      </c>
      <c r="L25" s="660">
        <f t="shared" si="1"/>
        <v>0</v>
      </c>
      <c r="M25" s="1629"/>
    </row>
    <row r="26" spans="1:14" x14ac:dyDescent="0.35">
      <c r="A26"/>
      <c r="B26" s="1638"/>
      <c r="C26" s="1626"/>
      <c r="D26" s="62"/>
      <c r="E26" s="64"/>
      <c r="F26" s="64"/>
      <c r="G26" s="659"/>
      <c r="H26" s="578"/>
      <c r="I26" s="578"/>
      <c r="J26" s="587"/>
      <c r="K26" s="580">
        <f t="shared" si="0"/>
        <v>0</v>
      </c>
      <c r="L26" s="660">
        <f t="shared" si="1"/>
        <v>0</v>
      </c>
      <c r="M26" s="1629"/>
    </row>
    <row r="27" spans="1:14" x14ac:dyDescent="0.35">
      <c r="A27"/>
      <c r="B27" s="1638"/>
      <c r="C27" s="1626"/>
      <c r="D27" s="62"/>
      <c r="E27" s="64"/>
      <c r="F27" s="64"/>
      <c r="G27" s="659"/>
      <c r="H27" s="578"/>
      <c r="I27" s="578"/>
      <c r="J27" s="587"/>
      <c r="K27" s="580">
        <f t="shared" si="0"/>
        <v>0</v>
      </c>
      <c r="L27" s="660">
        <f t="shared" si="1"/>
        <v>0</v>
      </c>
      <c r="M27" s="1629"/>
    </row>
    <row r="28" spans="1:14" x14ac:dyDescent="0.35">
      <c r="A28"/>
      <c r="B28" s="1638"/>
      <c r="C28" s="1626"/>
      <c r="D28" s="62"/>
      <c r="E28" s="64"/>
      <c r="F28" s="64"/>
      <c r="G28" s="659"/>
      <c r="H28" s="578"/>
      <c r="I28" s="578"/>
      <c r="J28" s="587"/>
      <c r="K28" s="580">
        <f t="shared" si="0"/>
        <v>0</v>
      </c>
      <c r="L28" s="660">
        <f t="shared" si="1"/>
        <v>0</v>
      </c>
      <c r="M28" s="1629"/>
    </row>
    <row r="29" spans="1:14" x14ac:dyDescent="0.35">
      <c r="A29"/>
      <c r="B29" s="1638"/>
      <c r="C29" s="1626"/>
      <c r="D29" s="62"/>
      <c r="E29" s="64"/>
      <c r="F29" s="64"/>
      <c r="G29" s="659"/>
      <c r="H29" s="578"/>
      <c r="I29" s="578"/>
      <c r="J29" s="587"/>
      <c r="K29" s="580">
        <f t="shared" si="0"/>
        <v>0</v>
      </c>
      <c r="L29" s="660">
        <f t="shared" si="1"/>
        <v>0</v>
      </c>
      <c r="M29" s="1629"/>
    </row>
    <row r="30" spans="1:14" x14ac:dyDescent="0.35">
      <c r="A30"/>
      <c r="B30" s="1638"/>
      <c r="C30" s="1626"/>
      <c r="D30" s="62"/>
      <c r="E30" s="64"/>
      <c r="F30" s="64"/>
      <c r="G30" s="659"/>
      <c r="H30" s="578"/>
      <c r="I30" s="578"/>
      <c r="J30" s="587"/>
      <c r="K30" s="580">
        <f t="shared" si="0"/>
        <v>0</v>
      </c>
      <c r="L30" s="660">
        <f t="shared" si="1"/>
        <v>0</v>
      </c>
      <c r="M30" s="1629"/>
    </row>
    <row r="31" spans="1:14" x14ac:dyDescent="0.35">
      <c r="A31"/>
      <c r="B31" s="1638"/>
      <c r="C31" s="1626"/>
      <c r="D31" s="62"/>
      <c r="E31" s="64"/>
      <c r="F31" s="64"/>
      <c r="G31" s="659"/>
      <c r="H31" s="578"/>
      <c r="I31" s="578"/>
      <c r="J31" s="587"/>
      <c r="K31" s="580">
        <f t="shared" si="0"/>
        <v>0</v>
      </c>
      <c r="L31" s="660">
        <f t="shared" si="1"/>
        <v>0</v>
      </c>
      <c r="M31" s="1629"/>
    </row>
    <row r="32" spans="1:14" ht="15" thickBot="1" x14ac:dyDescent="0.4">
      <c r="B32" s="1639"/>
      <c r="C32" s="1627"/>
      <c r="D32" s="60"/>
      <c r="E32" s="65"/>
      <c r="F32" s="65"/>
      <c r="G32" s="661"/>
      <c r="H32" s="705"/>
      <c r="I32" s="705"/>
      <c r="J32" s="706"/>
      <c r="K32" s="614">
        <f t="shared" si="0"/>
        <v>0</v>
      </c>
      <c r="L32" s="662">
        <f t="shared" si="1"/>
        <v>0</v>
      </c>
      <c r="M32" s="1630"/>
    </row>
    <row r="33" spans="2:13" x14ac:dyDescent="0.35">
      <c r="B33" s="1625" t="str">
        <f>+'B) Reajuste Tarifas y Ocupación'!A18</f>
        <v>Piscina C.R. Faro Limar</v>
      </c>
      <c r="C33" s="1625" t="s">
        <v>208</v>
      </c>
      <c r="D33" s="655"/>
      <c r="E33" s="63"/>
      <c r="F33" s="63"/>
      <c r="G33" s="656"/>
      <c r="H33" s="585"/>
      <c r="I33" s="585"/>
      <c r="J33" s="586"/>
      <c r="K33" s="579">
        <f t="shared" si="0"/>
        <v>0</v>
      </c>
      <c r="L33" s="657">
        <f t="shared" si="1"/>
        <v>0</v>
      </c>
      <c r="M33" s="1628">
        <f>SUM(L33:L54)</f>
        <v>6820343.9399999995</v>
      </c>
    </row>
    <row r="34" spans="2:13" x14ac:dyDescent="0.35">
      <c r="B34" s="1626"/>
      <c r="C34" s="1626"/>
      <c r="D34" s="85"/>
      <c r="E34" s="658"/>
      <c r="F34" s="658"/>
      <c r="G34" s="659"/>
      <c r="H34" s="578"/>
      <c r="I34" s="578"/>
      <c r="J34" s="587"/>
      <c r="K34" s="580">
        <f t="shared" si="0"/>
        <v>0</v>
      </c>
      <c r="L34" s="660">
        <f t="shared" si="1"/>
        <v>0</v>
      </c>
      <c r="M34" s="1629"/>
    </row>
    <row r="35" spans="2:13" x14ac:dyDescent="0.35">
      <c r="B35" s="1626"/>
      <c r="C35" s="1626"/>
      <c r="D35" s="85"/>
      <c r="E35" s="658"/>
      <c r="F35" s="658"/>
      <c r="G35" s="659"/>
      <c r="H35" s="578"/>
      <c r="I35" s="578"/>
      <c r="J35" s="587"/>
      <c r="K35" s="580">
        <f t="shared" si="0"/>
        <v>0</v>
      </c>
      <c r="L35" s="660">
        <f t="shared" si="1"/>
        <v>0</v>
      </c>
      <c r="M35" s="1629"/>
    </row>
    <row r="36" spans="2:13" x14ac:dyDescent="0.35">
      <c r="B36" s="1626"/>
      <c r="C36" s="1626"/>
      <c r="D36" s="62"/>
      <c r="E36" s="64"/>
      <c r="F36" s="64"/>
      <c r="G36" s="659"/>
      <c r="H36" s="578"/>
      <c r="I36" s="578"/>
      <c r="J36" s="587"/>
      <c r="K36" s="580">
        <f t="shared" si="0"/>
        <v>0</v>
      </c>
      <c r="L36" s="660">
        <f t="shared" si="1"/>
        <v>0</v>
      </c>
      <c r="M36" s="1629"/>
    </row>
    <row r="37" spans="2:13" x14ac:dyDescent="0.35">
      <c r="B37" s="1626"/>
      <c r="C37" s="1626"/>
      <c r="D37" s="62"/>
      <c r="E37" s="64"/>
      <c r="F37" s="64"/>
      <c r="G37" s="659"/>
      <c r="H37" s="578"/>
      <c r="I37" s="578"/>
      <c r="J37" s="587"/>
      <c r="K37" s="580">
        <f t="shared" si="0"/>
        <v>0</v>
      </c>
      <c r="L37" s="660">
        <f t="shared" si="1"/>
        <v>0</v>
      </c>
      <c r="M37" s="1629"/>
    </row>
    <row r="38" spans="2:13" x14ac:dyDescent="0.35">
      <c r="B38" s="1626"/>
      <c r="C38" s="1626"/>
      <c r="D38" s="62"/>
      <c r="E38" s="64"/>
      <c r="F38" s="64"/>
      <c r="G38" s="659"/>
      <c r="H38" s="578"/>
      <c r="I38" s="578"/>
      <c r="J38" s="587"/>
      <c r="K38" s="580">
        <f t="shared" si="0"/>
        <v>0</v>
      </c>
      <c r="L38" s="660">
        <f t="shared" si="1"/>
        <v>0</v>
      </c>
      <c r="M38" s="1629"/>
    </row>
    <row r="39" spans="2:13" x14ac:dyDescent="0.35">
      <c r="B39" s="1626"/>
      <c r="C39" s="1626"/>
      <c r="D39" s="62"/>
      <c r="E39" s="64"/>
      <c r="F39" s="64"/>
      <c r="G39" s="659"/>
      <c r="H39" s="578"/>
      <c r="I39" s="578"/>
      <c r="J39" s="587"/>
      <c r="K39" s="580">
        <f t="shared" si="0"/>
        <v>0</v>
      </c>
      <c r="L39" s="660">
        <f t="shared" si="1"/>
        <v>0</v>
      </c>
      <c r="M39" s="1629"/>
    </row>
    <row r="40" spans="2:13" x14ac:dyDescent="0.35">
      <c r="B40" s="1626"/>
      <c r="C40" s="1626"/>
      <c r="D40" s="62"/>
      <c r="E40" s="64"/>
      <c r="F40" s="64"/>
      <c r="G40" s="659"/>
      <c r="H40" s="578"/>
      <c r="I40" s="578"/>
      <c r="J40" s="587"/>
      <c r="K40" s="580">
        <f t="shared" si="0"/>
        <v>0</v>
      </c>
      <c r="L40" s="660">
        <f t="shared" si="1"/>
        <v>0</v>
      </c>
      <c r="M40" s="1629"/>
    </row>
    <row r="41" spans="2:13" x14ac:dyDescent="0.35">
      <c r="B41" s="1626"/>
      <c r="C41" s="1626"/>
      <c r="D41" s="62"/>
      <c r="E41" s="64"/>
      <c r="F41" s="64"/>
      <c r="G41" s="659"/>
      <c r="H41" s="578"/>
      <c r="I41" s="578"/>
      <c r="J41" s="587"/>
      <c r="K41" s="580">
        <f t="shared" si="0"/>
        <v>0</v>
      </c>
      <c r="L41" s="660">
        <f t="shared" si="1"/>
        <v>0</v>
      </c>
      <c r="M41" s="1629"/>
    </row>
    <row r="42" spans="2:13" x14ac:dyDescent="0.35">
      <c r="B42" s="1626"/>
      <c r="C42" s="1626"/>
      <c r="D42" s="62"/>
      <c r="E42" s="64"/>
      <c r="F42" s="64"/>
      <c r="G42" s="659"/>
      <c r="H42" s="578"/>
      <c r="I42" s="578"/>
      <c r="J42" s="587"/>
      <c r="K42" s="580">
        <f t="shared" si="0"/>
        <v>0</v>
      </c>
      <c r="L42" s="660">
        <f t="shared" si="1"/>
        <v>0</v>
      </c>
      <c r="M42" s="1629"/>
    </row>
    <row r="43" spans="2:13" ht="15" thickBot="1" x14ac:dyDescent="0.4">
      <c r="B43" s="1626"/>
      <c r="C43" s="1627"/>
      <c r="D43" s="60"/>
      <c r="E43" s="65"/>
      <c r="F43" s="65"/>
      <c r="G43" s="661"/>
      <c r="H43" s="705"/>
      <c r="I43" s="705"/>
      <c r="J43" s="706"/>
      <c r="K43" s="614">
        <f t="shared" si="0"/>
        <v>0</v>
      </c>
      <c r="L43" s="663">
        <f t="shared" si="1"/>
        <v>0</v>
      </c>
      <c r="M43" s="1629"/>
    </row>
    <row r="44" spans="2:13" x14ac:dyDescent="0.35">
      <c r="B44" s="1626"/>
      <c r="C44" s="1625" t="s">
        <v>209</v>
      </c>
      <c r="D44" s="664"/>
      <c r="E44" s="66"/>
      <c r="F44" s="66" t="s">
        <v>376</v>
      </c>
      <c r="G44" s="665">
        <v>322051</v>
      </c>
      <c r="H44" s="577">
        <v>6073332</v>
      </c>
      <c r="I44" s="577">
        <v>87236</v>
      </c>
      <c r="J44" s="588">
        <v>386476</v>
      </c>
      <c r="K44" s="579">
        <f>SUM(H44:J44)</f>
        <v>6547044</v>
      </c>
      <c r="L44" s="657">
        <f>+((H44*(1+$M$7)))*(1+N7)+I44+J44</f>
        <v>6820343.9399999995</v>
      </c>
      <c r="M44" s="1629"/>
    </row>
    <row r="45" spans="2:13" x14ac:dyDescent="0.35">
      <c r="B45" s="1626"/>
      <c r="C45" s="1626"/>
      <c r="D45" s="62"/>
      <c r="E45" s="64"/>
      <c r="F45" s="64"/>
      <c r="G45" s="659"/>
      <c r="H45" s="577"/>
      <c r="I45" s="578"/>
      <c r="J45" s="587"/>
      <c r="K45" s="580">
        <f>SUM(H45:J45)</f>
        <v>0</v>
      </c>
      <c r="L45" s="660">
        <f>+((H45*(1+$M$7)))*(1+N7)+I45+J45</f>
        <v>0</v>
      </c>
      <c r="M45" s="1629"/>
    </row>
    <row r="46" spans="2:13" x14ac:dyDescent="0.35">
      <c r="B46" s="1626"/>
      <c r="C46" s="1626"/>
      <c r="D46" s="62"/>
      <c r="E46" s="64"/>
      <c r="F46" s="650" t="s">
        <v>409</v>
      </c>
      <c r="G46" s="659"/>
      <c r="H46" s="578"/>
      <c r="I46" s="578"/>
      <c r="J46" s="587"/>
      <c r="K46" s="580">
        <f t="shared" si="0"/>
        <v>0</v>
      </c>
      <c r="L46" s="660">
        <f>+((H46*(1+$M$7)))*(1+N7)+I46+J46</f>
        <v>0</v>
      </c>
      <c r="M46" s="1629"/>
    </row>
    <row r="47" spans="2:13" x14ac:dyDescent="0.35">
      <c r="B47" s="1626"/>
      <c r="C47" s="1626"/>
      <c r="D47" s="62"/>
      <c r="E47" s="64"/>
      <c r="F47" s="650"/>
      <c r="G47" s="659"/>
      <c r="H47" s="578"/>
      <c r="I47" s="578"/>
      <c r="J47" s="587"/>
      <c r="K47" s="580">
        <f t="shared" si="0"/>
        <v>0</v>
      </c>
      <c r="L47" s="660">
        <f t="shared" si="1"/>
        <v>0</v>
      </c>
      <c r="M47" s="1629"/>
    </row>
    <row r="48" spans="2:13" x14ac:dyDescent="0.35">
      <c r="B48" s="1626"/>
      <c r="C48" s="1626"/>
      <c r="D48" s="62"/>
      <c r="E48" s="64"/>
      <c r="F48" s="64"/>
      <c r="G48" s="659"/>
      <c r="H48" s="578"/>
      <c r="I48" s="578"/>
      <c r="J48" s="587"/>
      <c r="K48" s="580">
        <f t="shared" si="0"/>
        <v>0</v>
      </c>
      <c r="L48" s="660">
        <f t="shared" si="1"/>
        <v>0</v>
      </c>
      <c r="M48" s="1629"/>
    </row>
    <row r="49" spans="2:13" x14ac:dyDescent="0.35">
      <c r="B49" s="1626"/>
      <c r="C49" s="1626"/>
      <c r="D49" s="62"/>
      <c r="E49" s="64"/>
      <c r="F49" s="64"/>
      <c r="G49" s="659"/>
      <c r="H49" s="578"/>
      <c r="I49" s="578"/>
      <c r="J49" s="587"/>
      <c r="K49" s="580">
        <f t="shared" si="0"/>
        <v>0</v>
      </c>
      <c r="L49" s="660">
        <f t="shared" si="1"/>
        <v>0</v>
      </c>
      <c r="M49" s="1629"/>
    </row>
    <row r="50" spans="2:13" x14ac:dyDescent="0.35">
      <c r="B50" s="1626"/>
      <c r="C50" s="1626"/>
      <c r="D50" s="62"/>
      <c r="E50" s="64"/>
      <c r="F50" s="64"/>
      <c r="G50" s="659"/>
      <c r="H50" s="578"/>
      <c r="I50" s="578"/>
      <c r="J50" s="587"/>
      <c r="K50" s="580">
        <f t="shared" si="0"/>
        <v>0</v>
      </c>
      <c r="L50" s="660">
        <f t="shared" si="1"/>
        <v>0</v>
      </c>
      <c r="M50" s="1629"/>
    </row>
    <row r="51" spans="2:13" x14ac:dyDescent="0.35">
      <c r="B51" s="1626"/>
      <c r="C51" s="1626"/>
      <c r="D51" s="62"/>
      <c r="E51" s="64"/>
      <c r="F51" s="64"/>
      <c r="G51" s="659"/>
      <c r="H51" s="578"/>
      <c r="I51" s="578"/>
      <c r="J51" s="587"/>
      <c r="K51" s="580">
        <f t="shared" si="0"/>
        <v>0</v>
      </c>
      <c r="L51" s="660">
        <f t="shared" si="1"/>
        <v>0</v>
      </c>
      <c r="M51" s="1629"/>
    </row>
    <row r="52" spans="2:13" x14ac:dyDescent="0.35">
      <c r="B52" s="1626"/>
      <c r="C52" s="1626"/>
      <c r="D52" s="62"/>
      <c r="E52" s="64"/>
      <c r="F52" s="64"/>
      <c r="G52" s="659"/>
      <c r="H52" s="578"/>
      <c r="I52" s="578"/>
      <c r="J52" s="587"/>
      <c r="K52" s="580">
        <f t="shared" si="0"/>
        <v>0</v>
      </c>
      <c r="L52" s="660">
        <f t="shared" si="1"/>
        <v>0</v>
      </c>
      <c r="M52" s="1629"/>
    </row>
    <row r="53" spans="2:13" x14ac:dyDescent="0.35">
      <c r="B53" s="1626"/>
      <c r="C53" s="1626"/>
      <c r="D53" s="62"/>
      <c r="E53" s="64"/>
      <c r="F53" s="64"/>
      <c r="G53" s="659"/>
      <c r="H53" s="578"/>
      <c r="I53" s="578"/>
      <c r="J53" s="587"/>
      <c r="K53" s="580">
        <f t="shared" si="0"/>
        <v>0</v>
      </c>
      <c r="L53" s="660">
        <f t="shared" si="1"/>
        <v>0</v>
      </c>
      <c r="M53" s="1629"/>
    </row>
    <row r="54" spans="2:13" ht="15" thickBot="1" x14ac:dyDescent="0.4">
      <c r="B54" s="1627"/>
      <c r="C54" s="1627"/>
      <c r="D54" s="60"/>
      <c r="E54" s="65"/>
      <c r="F54" s="65"/>
      <c r="G54" s="661"/>
      <c r="H54" s="705"/>
      <c r="I54" s="705"/>
      <c r="J54" s="706"/>
      <c r="K54" s="614">
        <f t="shared" si="0"/>
        <v>0</v>
      </c>
      <c r="L54" s="662">
        <f t="shared" si="1"/>
        <v>0</v>
      </c>
      <c r="M54" s="1630"/>
    </row>
    <row r="55" spans="2:13" x14ac:dyDescent="0.35">
      <c r="B55" s="1625" t="str">
        <f>+'B) Reajuste Tarifas y Ocupación'!A20</f>
        <v>Cabañas Mamiña</v>
      </c>
      <c r="C55" s="1625" t="s">
        <v>208</v>
      </c>
      <c r="D55" s="655"/>
      <c r="E55" s="63"/>
      <c r="F55" s="63"/>
      <c r="G55" s="656"/>
      <c r="H55" s="585"/>
      <c r="I55" s="585"/>
      <c r="J55" s="586"/>
      <c r="K55" s="579">
        <f t="shared" si="0"/>
        <v>0</v>
      </c>
      <c r="L55" s="666">
        <f t="shared" si="1"/>
        <v>0</v>
      </c>
      <c r="M55" s="1628">
        <f>SUM(L55:L65)</f>
        <v>0</v>
      </c>
    </row>
    <row r="56" spans="2:13" x14ac:dyDescent="0.35">
      <c r="B56" s="1626"/>
      <c r="C56" s="1626"/>
      <c r="D56" s="85"/>
      <c r="E56" s="658"/>
      <c r="F56" s="658"/>
      <c r="G56" s="659"/>
      <c r="H56" s="578"/>
      <c r="I56" s="578"/>
      <c r="J56" s="587"/>
      <c r="K56" s="580">
        <f t="shared" si="0"/>
        <v>0</v>
      </c>
      <c r="L56" s="660">
        <f t="shared" si="1"/>
        <v>0</v>
      </c>
      <c r="M56" s="1629"/>
    </row>
    <row r="57" spans="2:13" x14ac:dyDescent="0.35">
      <c r="B57" s="1626"/>
      <c r="C57" s="1626"/>
      <c r="D57" s="85"/>
      <c r="E57" s="658"/>
      <c r="F57" s="658"/>
      <c r="G57" s="659"/>
      <c r="H57" s="578"/>
      <c r="I57" s="578"/>
      <c r="J57" s="587"/>
      <c r="K57" s="580">
        <f t="shared" si="0"/>
        <v>0</v>
      </c>
      <c r="L57" s="660">
        <f t="shared" si="1"/>
        <v>0</v>
      </c>
      <c r="M57" s="1629"/>
    </row>
    <row r="58" spans="2:13" x14ac:dyDescent="0.35">
      <c r="B58" s="1626"/>
      <c r="C58" s="1626"/>
      <c r="D58" s="62"/>
      <c r="E58" s="64"/>
      <c r="F58" s="64"/>
      <c r="G58" s="659"/>
      <c r="H58" s="578"/>
      <c r="I58" s="578"/>
      <c r="J58" s="587"/>
      <c r="K58" s="580">
        <f t="shared" si="0"/>
        <v>0</v>
      </c>
      <c r="L58" s="660">
        <f t="shared" si="1"/>
        <v>0</v>
      </c>
      <c r="M58" s="1629"/>
    </row>
    <row r="59" spans="2:13" x14ac:dyDescent="0.35">
      <c r="B59" s="1626"/>
      <c r="C59" s="1626"/>
      <c r="D59" s="62"/>
      <c r="E59" s="64"/>
      <c r="F59" s="64"/>
      <c r="G59" s="659"/>
      <c r="H59" s="578"/>
      <c r="I59" s="578"/>
      <c r="J59" s="587"/>
      <c r="K59" s="580">
        <f t="shared" si="0"/>
        <v>0</v>
      </c>
      <c r="L59" s="660">
        <f t="shared" si="1"/>
        <v>0</v>
      </c>
      <c r="M59" s="1629"/>
    </row>
    <row r="60" spans="2:13" x14ac:dyDescent="0.35">
      <c r="B60" s="1626"/>
      <c r="C60" s="1626"/>
      <c r="D60" s="62"/>
      <c r="E60" s="64"/>
      <c r="F60" s="64"/>
      <c r="G60" s="659"/>
      <c r="H60" s="578"/>
      <c r="I60" s="578"/>
      <c r="J60" s="587"/>
      <c r="K60" s="580">
        <f t="shared" si="0"/>
        <v>0</v>
      </c>
      <c r="L60" s="660">
        <f t="shared" si="1"/>
        <v>0</v>
      </c>
      <c r="M60" s="1629"/>
    </row>
    <row r="61" spans="2:13" x14ac:dyDescent="0.35">
      <c r="B61" s="1626"/>
      <c r="C61" s="1626"/>
      <c r="D61" s="62"/>
      <c r="E61" s="64"/>
      <c r="F61" s="64"/>
      <c r="G61" s="659"/>
      <c r="H61" s="578"/>
      <c r="I61" s="578"/>
      <c r="J61" s="587"/>
      <c r="K61" s="580">
        <f t="shared" si="0"/>
        <v>0</v>
      </c>
      <c r="L61" s="660">
        <f t="shared" si="1"/>
        <v>0</v>
      </c>
      <c r="M61" s="1629"/>
    </row>
    <row r="62" spans="2:13" x14ac:dyDescent="0.35">
      <c r="B62" s="1626"/>
      <c r="C62" s="1626"/>
      <c r="D62" s="62"/>
      <c r="E62" s="64"/>
      <c r="F62" s="64"/>
      <c r="G62" s="659"/>
      <c r="H62" s="578"/>
      <c r="I62" s="578"/>
      <c r="J62" s="587"/>
      <c r="K62" s="580">
        <f t="shared" si="0"/>
        <v>0</v>
      </c>
      <c r="L62" s="660">
        <f t="shared" si="1"/>
        <v>0</v>
      </c>
      <c r="M62" s="1629"/>
    </row>
    <row r="63" spans="2:13" x14ac:dyDescent="0.35">
      <c r="B63" s="1626"/>
      <c r="C63" s="1626"/>
      <c r="D63" s="62"/>
      <c r="E63" s="64"/>
      <c r="F63" s="64"/>
      <c r="G63" s="659"/>
      <c r="H63" s="578"/>
      <c r="I63" s="578"/>
      <c r="J63" s="587"/>
      <c r="K63" s="580">
        <f t="shared" si="0"/>
        <v>0</v>
      </c>
      <c r="L63" s="660">
        <f t="shared" si="1"/>
        <v>0</v>
      </c>
      <c r="M63" s="1629"/>
    </row>
    <row r="64" spans="2:13" x14ac:dyDescent="0.35">
      <c r="B64" s="1626"/>
      <c r="C64" s="1626"/>
      <c r="D64" s="62"/>
      <c r="E64" s="64"/>
      <c r="F64" s="64"/>
      <c r="G64" s="659"/>
      <c r="H64" s="578"/>
      <c r="I64" s="578"/>
      <c r="J64" s="587"/>
      <c r="K64" s="580">
        <f t="shared" si="0"/>
        <v>0</v>
      </c>
      <c r="L64" s="660">
        <f t="shared" si="1"/>
        <v>0</v>
      </c>
      <c r="M64" s="1629"/>
    </row>
    <row r="65" spans="2:13" ht="15" thickBot="1" x14ac:dyDescent="0.4">
      <c r="B65" s="1627"/>
      <c r="C65" s="1627"/>
      <c r="D65" s="60"/>
      <c r="E65" s="65"/>
      <c r="F65" s="65"/>
      <c r="G65" s="661"/>
      <c r="H65" s="705"/>
      <c r="I65" s="705"/>
      <c r="J65" s="706"/>
      <c r="K65" s="614">
        <f t="shared" si="0"/>
        <v>0</v>
      </c>
      <c r="L65" s="663">
        <f t="shared" si="1"/>
        <v>0</v>
      </c>
      <c r="M65" s="1630"/>
    </row>
    <row r="66" spans="2:13" x14ac:dyDescent="0.35">
      <c r="B66" s="1625" t="str">
        <f>+'B) Reajuste Tarifas y Ocupación'!A23</f>
        <v>C.R. Huayquique</v>
      </c>
      <c r="C66" s="1625" t="s">
        <v>208</v>
      </c>
      <c r="D66" s="667" t="s">
        <v>420</v>
      </c>
      <c r="E66" s="668" t="s">
        <v>421</v>
      </c>
      <c r="F66" s="668" t="s">
        <v>372</v>
      </c>
      <c r="G66" s="669"/>
      <c r="H66" s="708">
        <v>15635226</v>
      </c>
      <c r="I66" s="585">
        <v>174472</v>
      </c>
      <c r="J66" s="586">
        <v>386476</v>
      </c>
      <c r="K66" s="579">
        <f>SUM(H66:J66)</f>
        <v>16196174</v>
      </c>
      <c r="L66" s="657">
        <f>+((H66*(1+$M$7)))*(1+$N$7)+I66+J66</f>
        <v>16899759.169999998</v>
      </c>
      <c r="M66" s="1628">
        <f>SUM(L66:L87)</f>
        <v>63792336.719999999</v>
      </c>
    </row>
    <row r="67" spans="2:13" x14ac:dyDescent="0.35">
      <c r="B67" s="1626"/>
      <c r="C67" s="1626"/>
      <c r="D67" s="651" t="s">
        <v>422</v>
      </c>
      <c r="E67" s="652" t="s">
        <v>423</v>
      </c>
      <c r="F67" s="652" t="s">
        <v>367</v>
      </c>
      <c r="G67" s="669"/>
      <c r="H67" s="708">
        <v>17426501</v>
      </c>
      <c r="I67" s="578">
        <v>174472</v>
      </c>
      <c r="J67" s="587">
        <v>386476</v>
      </c>
      <c r="K67" s="580">
        <f t="shared" si="0"/>
        <v>17987449</v>
      </c>
      <c r="L67" s="660">
        <f>+((H67*(1+$M$7)))*(1+$N$7)+I67+J67</f>
        <v>18771641.544999998</v>
      </c>
      <c r="M67" s="1629"/>
    </row>
    <row r="68" spans="2:13" x14ac:dyDescent="0.35">
      <c r="B68" s="1626"/>
      <c r="C68" s="1626"/>
      <c r="D68" s="667" t="s">
        <v>425</v>
      </c>
      <c r="E68" s="668" t="s">
        <v>426</v>
      </c>
      <c r="F68" s="64" t="s">
        <v>424</v>
      </c>
      <c r="G68" s="669"/>
      <c r="H68" s="708">
        <v>12037000</v>
      </c>
      <c r="I68" s="578">
        <v>174472</v>
      </c>
      <c r="J68" s="587">
        <v>386476</v>
      </c>
      <c r="K68" s="580">
        <f t="shared" si="0"/>
        <v>12597948</v>
      </c>
      <c r="L68" s="660">
        <f>+((H68*(1+$M$7)))*(1+$N$7)+I68+J68</f>
        <v>13139613</v>
      </c>
      <c r="M68" s="1629"/>
    </row>
    <row r="69" spans="2:13" x14ac:dyDescent="0.35">
      <c r="B69" s="1626"/>
      <c r="C69" s="1626"/>
      <c r="D69" s="62" t="s">
        <v>427</v>
      </c>
      <c r="E69" s="64" t="s">
        <v>428</v>
      </c>
      <c r="F69" s="64" t="s">
        <v>375</v>
      </c>
      <c r="G69" s="659"/>
      <c r="H69" s="578">
        <v>8904058</v>
      </c>
      <c r="I69" s="578">
        <v>174472</v>
      </c>
      <c r="J69" s="587">
        <v>386476</v>
      </c>
      <c r="K69" s="580">
        <f t="shared" si="0"/>
        <v>9465006</v>
      </c>
      <c r="L69" s="1190">
        <f>+((H69*(1+$M$7)))*(1+$N$7)+I69+J69</f>
        <v>9865688.6099999994</v>
      </c>
      <c r="M69" s="1629"/>
    </row>
    <row r="70" spans="2:13" x14ac:dyDescent="0.35">
      <c r="B70" s="1626"/>
      <c r="C70" s="1626"/>
      <c r="D70" s="62"/>
      <c r="E70" s="64"/>
      <c r="F70" s="64"/>
      <c r="G70" s="659"/>
      <c r="H70" s="578"/>
      <c r="I70" s="578"/>
      <c r="J70" s="587"/>
      <c r="K70" s="580">
        <f t="shared" si="0"/>
        <v>0</v>
      </c>
      <c r="L70" s="660">
        <f t="shared" si="1"/>
        <v>0</v>
      </c>
      <c r="M70" s="1629"/>
    </row>
    <row r="71" spans="2:13" x14ac:dyDescent="0.35">
      <c r="B71" s="1626"/>
      <c r="C71" s="1626"/>
      <c r="D71" s="62"/>
      <c r="E71" s="64"/>
      <c r="F71" s="64"/>
      <c r="G71" s="659"/>
      <c r="H71" s="578"/>
      <c r="I71" s="578"/>
      <c r="J71" s="587"/>
      <c r="K71" s="580">
        <f t="shared" si="0"/>
        <v>0</v>
      </c>
      <c r="L71" s="660">
        <f t="shared" si="1"/>
        <v>0</v>
      </c>
      <c r="M71" s="1629"/>
    </row>
    <row r="72" spans="2:13" x14ac:dyDescent="0.35">
      <c r="B72" s="1626"/>
      <c r="C72" s="1626"/>
      <c r="D72" s="62"/>
      <c r="E72" s="64" t="s">
        <v>432</v>
      </c>
      <c r="F72" s="64" t="s">
        <v>151</v>
      </c>
      <c r="G72" s="659"/>
      <c r="H72" s="578"/>
      <c r="I72" s="578"/>
      <c r="J72" s="587"/>
      <c r="K72" s="580">
        <f t="shared" si="0"/>
        <v>0</v>
      </c>
      <c r="L72" s="660">
        <f t="shared" si="1"/>
        <v>0</v>
      </c>
      <c r="M72" s="1629"/>
    </row>
    <row r="73" spans="2:13" x14ac:dyDescent="0.35">
      <c r="B73" s="1626"/>
      <c r="C73" s="1626"/>
      <c r="D73" s="62"/>
      <c r="E73" s="64"/>
      <c r="F73" s="64"/>
      <c r="G73" s="659"/>
      <c r="H73" s="578"/>
      <c r="I73" s="578"/>
      <c r="J73" s="587"/>
      <c r="K73" s="580">
        <f t="shared" si="0"/>
        <v>0</v>
      </c>
      <c r="L73" s="660">
        <f t="shared" si="1"/>
        <v>0</v>
      </c>
      <c r="M73" s="1629"/>
    </row>
    <row r="74" spans="2:13" x14ac:dyDescent="0.35">
      <c r="B74" s="1626"/>
      <c r="C74" s="1626"/>
      <c r="D74" s="62"/>
      <c r="E74" s="64"/>
      <c r="F74" s="64"/>
      <c r="G74" s="659"/>
      <c r="H74" s="578"/>
      <c r="I74" s="578"/>
      <c r="J74" s="587"/>
      <c r="K74" s="580">
        <f t="shared" si="0"/>
        <v>0</v>
      </c>
      <c r="L74" s="660">
        <f t="shared" si="1"/>
        <v>0</v>
      </c>
      <c r="M74" s="1629"/>
    </row>
    <row r="75" spans="2:13" x14ac:dyDescent="0.35">
      <c r="B75" s="1626"/>
      <c r="C75" s="1626"/>
      <c r="D75" s="62"/>
      <c r="E75" s="64"/>
      <c r="F75" s="64"/>
      <c r="G75" s="659"/>
      <c r="H75" s="578"/>
      <c r="I75" s="578"/>
      <c r="J75" s="587"/>
      <c r="K75" s="580">
        <f t="shared" si="0"/>
        <v>0</v>
      </c>
      <c r="L75" s="660">
        <f t="shared" si="1"/>
        <v>0</v>
      </c>
      <c r="M75" s="1629"/>
    </row>
    <row r="76" spans="2:13" ht="15" thickBot="1" x14ac:dyDescent="0.4">
      <c r="B76" s="1626"/>
      <c r="C76" s="1627"/>
      <c r="D76" s="61"/>
      <c r="E76" s="670"/>
      <c r="F76" s="670"/>
      <c r="G76" s="671"/>
      <c r="H76" s="709"/>
      <c r="I76" s="709"/>
      <c r="J76" s="710"/>
      <c r="K76" s="614">
        <f t="shared" ref="K76:K139" si="2">SUM(H76:J76)</f>
        <v>0</v>
      </c>
      <c r="L76" s="662">
        <f t="shared" ref="L76:L139" si="3">+(H76*(1+$M$7))+I76+J76</f>
        <v>0</v>
      </c>
      <c r="M76" s="1629"/>
    </row>
    <row r="77" spans="2:13" x14ac:dyDescent="0.35">
      <c r="B77" s="1626"/>
      <c r="C77" s="1641" t="s">
        <v>209</v>
      </c>
      <c r="D77" s="672"/>
      <c r="E77" s="673"/>
      <c r="F77" s="673" t="s">
        <v>375</v>
      </c>
      <c r="G77" s="674"/>
      <c r="H77" s="653">
        <f>4442031</f>
        <v>4442031</v>
      </c>
      <c r="I77" s="653">
        <v>87236</v>
      </c>
      <c r="J77" s="654">
        <v>386476</v>
      </c>
      <c r="K77" s="579">
        <f t="shared" si="2"/>
        <v>4915743</v>
      </c>
      <c r="L77" s="666">
        <f>+((H77*(1+$M$7)))*(1+N7)+I77+J77</f>
        <v>5115634.3949999996</v>
      </c>
      <c r="M77" s="1629"/>
    </row>
    <row r="78" spans="2:13" x14ac:dyDescent="0.35">
      <c r="B78" s="1626"/>
      <c r="C78" s="1642"/>
      <c r="D78" s="711"/>
      <c r="E78" s="712"/>
      <c r="F78" s="549"/>
      <c r="G78" s="713"/>
      <c r="H78" s="561"/>
      <c r="I78" s="561"/>
      <c r="J78" s="589"/>
      <c r="K78" s="580">
        <f t="shared" si="2"/>
        <v>0</v>
      </c>
      <c r="L78" s="660">
        <f t="shared" si="3"/>
        <v>0</v>
      </c>
      <c r="M78" s="1629"/>
    </row>
    <row r="79" spans="2:13" x14ac:dyDescent="0.35">
      <c r="B79" s="1626"/>
      <c r="C79" s="1642"/>
      <c r="D79" s="675"/>
      <c r="E79" s="559"/>
      <c r="F79" s="650" t="s">
        <v>409</v>
      </c>
      <c r="G79" s="676"/>
      <c r="H79" s="593"/>
      <c r="I79" s="593"/>
      <c r="J79" s="594"/>
      <c r="K79" s="580">
        <f t="shared" si="2"/>
        <v>0</v>
      </c>
      <c r="L79" s="660">
        <f t="shared" si="3"/>
        <v>0</v>
      </c>
      <c r="M79" s="1629"/>
    </row>
    <row r="80" spans="2:13" x14ac:dyDescent="0.35">
      <c r="B80" s="1626"/>
      <c r="C80" s="1642"/>
      <c r="D80" s="711"/>
      <c r="E80" s="712"/>
      <c r="F80" s="549"/>
      <c r="G80" s="676"/>
      <c r="H80" s="593"/>
      <c r="I80" s="593"/>
      <c r="J80" s="594"/>
      <c r="K80" s="580">
        <f t="shared" si="2"/>
        <v>0</v>
      </c>
      <c r="L80" s="660">
        <f t="shared" si="3"/>
        <v>0</v>
      </c>
      <c r="M80" s="1629"/>
    </row>
    <row r="81" spans="2:13" x14ac:dyDescent="0.35">
      <c r="B81" s="1626"/>
      <c r="C81" s="1642"/>
      <c r="D81" s="194"/>
      <c r="E81" s="549"/>
      <c r="F81" s="549"/>
      <c r="G81" s="676"/>
      <c r="H81" s="593"/>
      <c r="I81" s="593"/>
      <c r="J81" s="594"/>
      <c r="K81" s="580">
        <f t="shared" si="2"/>
        <v>0</v>
      </c>
      <c r="L81" s="660">
        <f t="shared" si="3"/>
        <v>0</v>
      </c>
      <c r="M81" s="1629"/>
    </row>
    <row r="82" spans="2:13" x14ac:dyDescent="0.35">
      <c r="B82" s="1626"/>
      <c r="C82" s="1642"/>
      <c r="D82" s="194"/>
      <c r="E82" s="549"/>
      <c r="F82" s="549"/>
      <c r="G82" s="676"/>
      <c r="H82" s="593"/>
      <c r="I82" s="593"/>
      <c r="J82" s="594"/>
      <c r="K82" s="580">
        <f t="shared" si="2"/>
        <v>0</v>
      </c>
      <c r="L82" s="660">
        <f t="shared" si="3"/>
        <v>0</v>
      </c>
      <c r="M82" s="1629"/>
    </row>
    <row r="83" spans="2:13" x14ac:dyDescent="0.35">
      <c r="B83" s="1626"/>
      <c r="C83" s="1642"/>
      <c r="D83" s="194"/>
      <c r="E83" s="549"/>
      <c r="F83" s="549"/>
      <c r="G83" s="676"/>
      <c r="H83" s="593"/>
      <c r="I83" s="593"/>
      <c r="J83" s="594"/>
      <c r="K83" s="580">
        <f t="shared" si="2"/>
        <v>0</v>
      </c>
      <c r="L83" s="660">
        <f t="shared" si="3"/>
        <v>0</v>
      </c>
      <c r="M83" s="1629"/>
    </row>
    <row r="84" spans="2:13" x14ac:dyDescent="0.35">
      <c r="B84" s="1626"/>
      <c r="C84" s="1642"/>
      <c r="D84" s="194"/>
      <c r="E84" s="549"/>
      <c r="F84" s="549"/>
      <c r="G84" s="676"/>
      <c r="H84" s="593"/>
      <c r="I84" s="593"/>
      <c r="J84" s="594"/>
      <c r="K84" s="580">
        <f t="shared" si="2"/>
        <v>0</v>
      </c>
      <c r="L84" s="660">
        <f t="shared" si="3"/>
        <v>0</v>
      </c>
      <c r="M84" s="1629"/>
    </row>
    <row r="85" spans="2:13" x14ac:dyDescent="0.35">
      <c r="B85" s="1626"/>
      <c r="C85" s="1642"/>
      <c r="D85" s="194"/>
      <c r="E85" s="549"/>
      <c r="F85" s="549"/>
      <c r="G85" s="676"/>
      <c r="H85" s="593"/>
      <c r="I85" s="593"/>
      <c r="J85" s="594"/>
      <c r="K85" s="580">
        <f t="shared" si="2"/>
        <v>0</v>
      </c>
      <c r="L85" s="660">
        <f t="shared" si="3"/>
        <v>0</v>
      </c>
      <c r="M85" s="1629"/>
    </row>
    <row r="86" spans="2:13" x14ac:dyDescent="0.35">
      <c r="B86" s="1626"/>
      <c r="C86" s="1642"/>
      <c r="D86" s="194"/>
      <c r="E86" s="549"/>
      <c r="F86" s="549"/>
      <c r="G86" s="676"/>
      <c r="H86" s="593"/>
      <c r="I86" s="593"/>
      <c r="J86" s="594"/>
      <c r="K86" s="580">
        <f t="shared" si="2"/>
        <v>0</v>
      </c>
      <c r="L86" s="660">
        <f t="shared" si="3"/>
        <v>0</v>
      </c>
      <c r="M86" s="1629"/>
    </row>
    <row r="87" spans="2:13" ht="15" thickBot="1" x14ac:dyDescent="0.4">
      <c r="B87" s="1627"/>
      <c r="C87" s="1643"/>
      <c r="D87" s="86"/>
      <c r="E87" s="247"/>
      <c r="F87" s="247"/>
      <c r="G87" s="677"/>
      <c r="H87" s="714"/>
      <c r="I87" s="714"/>
      <c r="J87" s="715"/>
      <c r="K87" s="614">
        <f t="shared" si="2"/>
        <v>0</v>
      </c>
      <c r="L87" s="662">
        <f t="shared" si="3"/>
        <v>0</v>
      </c>
      <c r="M87" s="1640"/>
    </row>
    <row r="88" spans="2:13" x14ac:dyDescent="0.35">
      <c r="B88" s="1625" t="str">
        <f>+'B) Reajuste Tarifas y Ocupación'!A39</f>
        <v>Piscina C.R. Huayquique (Oficiales)</v>
      </c>
      <c r="C88" s="1641" t="s">
        <v>208</v>
      </c>
      <c r="D88" s="678"/>
      <c r="E88" s="679"/>
      <c r="F88" s="679"/>
      <c r="G88" s="680"/>
      <c r="H88" s="681"/>
      <c r="I88" s="591"/>
      <c r="J88" s="592"/>
      <c r="K88" s="579">
        <f t="shared" si="2"/>
        <v>0</v>
      </c>
      <c r="L88" s="657">
        <f t="shared" si="3"/>
        <v>0</v>
      </c>
      <c r="M88" s="1647">
        <f>SUM(L88:L109)</f>
        <v>6820343.9399999995</v>
      </c>
    </row>
    <row r="89" spans="2:13" x14ac:dyDescent="0.35">
      <c r="B89" s="1626"/>
      <c r="C89" s="1642"/>
      <c r="D89" s="194"/>
      <c r="E89" s="549"/>
      <c r="F89" s="549"/>
      <c r="G89" s="676"/>
      <c r="H89" s="561"/>
      <c r="I89" s="561"/>
      <c r="J89" s="589"/>
      <c r="K89" s="580">
        <f t="shared" si="2"/>
        <v>0</v>
      </c>
      <c r="L89" s="660">
        <f t="shared" si="3"/>
        <v>0</v>
      </c>
      <c r="M89" s="1629"/>
    </row>
    <row r="90" spans="2:13" x14ac:dyDescent="0.35">
      <c r="B90" s="1626"/>
      <c r="C90" s="1642"/>
      <c r="D90" s="194"/>
      <c r="E90" s="549"/>
      <c r="F90" s="549"/>
      <c r="G90" s="676"/>
      <c r="H90" s="593"/>
      <c r="I90" s="593"/>
      <c r="J90" s="594"/>
      <c r="K90" s="580">
        <f t="shared" si="2"/>
        <v>0</v>
      </c>
      <c r="L90" s="660">
        <f t="shared" si="3"/>
        <v>0</v>
      </c>
      <c r="M90" s="1629"/>
    </row>
    <row r="91" spans="2:13" x14ac:dyDescent="0.35">
      <c r="B91" s="1626"/>
      <c r="C91" s="1642"/>
      <c r="D91" s="194"/>
      <c r="E91" s="549"/>
      <c r="F91" s="549"/>
      <c r="G91" s="676"/>
      <c r="H91" s="593"/>
      <c r="I91" s="593"/>
      <c r="J91" s="594"/>
      <c r="K91" s="580">
        <f t="shared" si="2"/>
        <v>0</v>
      </c>
      <c r="L91" s="660">
        <f t="shared" si="3"/>
        <v>0</v>
      </c>
      <c r="M91" s="1629"/>
    </row>
    <row r="92" spans="2:13" x14ac:dyDescent="0.35">
      <c r="B92" s="1626"/>
      <c r="C92" s="1642"/>
      <c r="D92" s="194"/>
      <c r="E92" s="549"/>
      <c r="F92" s="549"/>
      <c r="G92" s="676"/>
      <c r="H92" s="593"/>
      <c r="I92" s="593"/>
      <c r="J92" s="594"/>
      <c r="K92" s="580">
        <f t="shared" si="2"/>
        <v>0</v>
      </c>
      <c r="L92" s="660">
        <f t="shared" si="3"/>
        <v>0</v>
      </c>
      <c r="M92" s="1629"/>
    </row>
    <row r="93" spans="2:13" x14ac:dyDescent="0.35">
      <c r="B93" s="1626"/>
      <c r="C93" s="1642"/>
      <c r="D93" s="194"/>
      <c r="E93" s="549"/>
      <c r="F93" s="549"/>
      <c r="G93" s="676"/>
      <c r="H93" s="593"/>
      <c r="I93" s="593"/>
      <c r="J93" s="594"/>
      <c r="K93" s="580">
        <f t="shared" si="2"/>
        <v>0</v>
      </c>
      <c r="L93" s="660">
        <f t="shared" si="3"/>
        <v>0</v>
      </c>
      <c r="M93" s="1629"/>
    </row>
    <row r="94" spans="2:13" x14ac:dyDescent="0.35">
      <c r="B94" s="1626"/>
      <c r="C94" s="1642"/>
      <c r="D94" s="194"/>
      <c r="E94" s="549"/>
      <c r="F94" s="549"/>
      <c r="G94" s="676"/>
      <c r="H94" s="593"/>
      <c r="I94" s="593"/>
      <c r="J94" s="594"/>
      <c r="K94" s="580">
        <f t="shared" si="2"/>
        <v>0</v>
      </c>
      <c r="L94" s="660">
        <f t="shared" si="3"/>
        <v>0</v>
      </c>
      <c r="M94" s="1629"/>
    </row>
    <row r="95" spans="2:13" x14ac:dyDescent="0.35">
      <c r="B95" s="1626"/>
      <c r="C95" s="1642"/>
      <c r="D95" s="194"/>
      <c r="E95" s="549"/>
      <c r="F95" s="549"/>
      <c r="G95" s="676"/>
      <c r="H95" s="593"/>
      <c r="I95" s="593"/>
      <c r="J95" s="594"/>
      <c r="K95" s="580">
        <f t="shared" si="2"/>
        <v>0</v>
      </c>
      <c r="L95" s="660">
        <f t="shared" si="3"/>
        <v>0</v>
      </c>
      <c r="M95" s="1629"/>
    </row>
    <row r="96" spans="2:13" x14ac:dyDescent="0.35">
      <c r="B96" s="1626"/>
      <c r="C96" s="1642"/>
      <c r="D96" s="194"/>
      <c r="E96" s="549"/>
      <c r="F96" s="549"/>
      <c r="G96" s="676"/>
      <c r="H96" s="593"/>
      <c r="I96" s="593"/>
      <c r="J96" s="594"/>
      <c r="K96" s="580">
        <f t="shared" si="2"/>
        <v>0</v>
      </c>
      <c r="L96" s="660">
        <f t="shared" si="3"/>
        <v>0</v>
      </c>
      <c r="M96" s="1629"/>
    </row>
    <row r="97" spans="2:13" x14ac:dyDescent="0.35">
      <c r="B97" s="1626"/>
      <c r="C97" s="1642"/>
      <c r="D97" s="194"/>
      <c r="E97" s="549"/>
      <c r="F97" s="549"/>
      <c r="G97" s="676"/>
      <c r="H97" s="593"/>
      <c r="I97" s="593"/>
      <c r="J97" s="594"/>
      <c r="K97" s="580">
        <f t="shared" si="2"/>
        <v>0</v>
      </c>
      <c r="L97" s="660">
        <f t="shared" si="3"/>
        <v>0</v>
      </c>
      <c r="M97" s="1629"/>
    </row>
    <row r="98" spans="2:13" ht="15" thickBot="1" x14ac:dyDescent="0.4">
      <c r="B98" s="1626"/>
      <c r="C98" s="1643"/>
      <c r="D98" s="646"/>
      <c r="E98" s="629"/>
      <c r="F98" s="629"/>
      <c r="G98" s="730"/>
      <c r="H98" s="731"/>
      <c r="I98" s="731"/>
      <c r="J98" s="732"/>
      <c r="K98" s="614">
        <f t="shared" si="2"/>
        <v>0</v>
      </c>
      <c r="L98" s="662">
        <f t="shared" si="3"/>
        <v>0</v>
      </c>
      <c r="M98" s="1629"/>
    </row>
    <row r="99" spans="2:13" x14ac:dyDescent="0.35">
      <c r="B99" s="1626"/>
      <c r="C99" s="1641" t="s">
        <v>209</v>
      </c>
      <c r="D99" s="672"/>
      <c r="E99" s="673"/>
      <c r="F99" s="673" t="s">
        <v>376</v>
      </c>
      <c r="G99" s="733"/>
      <c r="H99" s="653">
        <f>6073332</f>
        <v>6073332</v>
      </c>
      <c r="I99" s="653">
        <v>87236</v>
      </c>
      <c r="J99" s="654">
        <v>386476</v>
      </c>
      <c r="K99" s="727">
        <f t="shared" si="2"/>
        <v>6547044</v>
      </c>
      <c r="L99" s="657">
        <f>+((H99*(1+$M$7))*(1+N7)+I99+J99)</f>
        <v>6820343.9399999995</v>
      </c>
      <c r="M99" s="1629"/>
    </row>
    <row r="100" spans="2:13" x14ac:dyDescent="0.35">
      <c r="B100" s="1626"/>
      <c r="C100" s="1642"/>
      <c r="D100" s="194"/>
      <c r="E100" s="549"/>
      <c r="F100" s="549"/>
      <c r="G100" s="676"/>
      <c r="H100" s="593"/>
      <c r="I100" s="593"/>
      <c r="J100" s="594"/>
      <c r="K100" s="728">
        <f t="shared" si="2"/>
        <v>0</v>
      </c>
      <c r="L100" s="660">
        <f t="shared" si="3"/>
        <v>0</v>
      </c>
      <c r="M100" s="1629"/>
    </row>
    <row r="101" spans="2:13" x14ac:dyDescent="0.35">
      <c r="B101" s="1626"/>
      <c r="C101" s="1642"/>
      <c r="D101" s="711"/>
      <c r="E101" s="712"/>
      <c r="F101" s="650" t="s">
        <v>409</v>
      </c>
      <c r="G101" s="713"/>
      <c r="H101" s="593"/>
      <c r="I101" s="593"/>
      <c r="J101" s="594"/>
      <c r="K101" s="728">
        <f t="shared" si="2"/>
        <v>0</v>
      </c>
      <c r="L101" s="660">
        <f t="shared" si="3"/>
        <v>0</v>
      </c>
      <c r="M101" s="1629"/>
    </row>
    <row r="102" spans="2:13" x14ac:dyDescent="0.35">
      <c r="B102" s="1626"/>
      <c r="C102" s="1642"/>
      <c r="D102" s="711"/>
      <c r="E102" s="712"/>
      <c r="F102" s="712"/>
      <c r="G102" s="713"/>
      <c r="H102" s="593"/>
      <c r="I102" s="593"/>
      <c r="J102" s="594"/>
      <c r="K102" s="728">
        <f t="shared" si="2"/>
        <v>0</v>
      </c>
      <c r="L102" s="660">
        <f t="shared" si="3"/>
        <v>0</v>
      </c>
      <c r="M102" s="1629"/>
    </row>
    <row r="103" spans="2:13" x14ac:dyDescent="0.35">
      <c r="B103" s="1626"/>
      <c r="C103" s="1642"/>
      <c r="D103" s="194"/>
      <c r="E103" s="549"/>
      <c r="F103" s="549"/>
      <c r="G103" s="676"/>
      <c r="H103" s="593"/>
      <c r="I103" s="593"/>
      <c r="J103" s="594"/>
      <c r="K103" s="728">
        <f t="shared" si="2"/>
        <v>0</v>
      </c>
      <c r="L103" s="660">
        <f t="shared" si="3"/>
        <v>0</v>
      </c>
      <c r="M103" s="1629"/>
    </row>
    <row r="104" spans="2:13" x14ac:dyDescent="0.35">
      <c r="B104" s="1626"/>
      <c r="C104" s="1642"/>
      <c r="D104" s="194"/>
      <c r="E104" s="549"/>
      <c r="F104" s="549"/>
      <c r="G104" s="676"/>
      <c r="H104" s="593"/>
      <c r="I104" s="593"/>
      <c r="J104" s="594"/>
      <c r="K104" s="728">
        <f t="shared" si="2"/>
        <v>0</v>
      </c>
      <c r="L104" s="660">
        <f t="shared" si="3"/>
        <v>0</v>
      </c>
      <c r="M104" s="1629"/>
    </row>
    <row r="105" spans="2:13" x14ac:dyDescent="0.35">
      <c r="B105" s="1626"/>
      <c r="C105" s="1642"/>
      <c r="D105" s="194"/>
      <c r="E105" s="549"/>
      <c r="F105" s="549"/>
      <c r="G105" s="676"/>
      <c r="H105" s="593"/>
      <c r="I105" s="593"/>
      <c r="J105" s="594"/>
      <c r="K105" s="728">
        <f t="shared" si="2"/>
        <v>0</v>
      </c>
      <c r="L105" s="660">
        <f t="shared" si="3"/>
        <v>0</v>
      </c>
      <c r="M105" s="1629"/>
    </row>
    <row r="106" spans="2:13" x14ac:dyDescent="0.35">
      <c r="B106" s="1626"/>
      <c r="C106" s="1642"/>
      <c r="D106" s="194"/>
      <c r="E106" s="549"/>
      <c r="F106" s="549"/>
      <c r="G106" s="676"/>
      <c r="H106" s="593"/>
      <c r="I106" s="593"/>
      <c r="J106" s="594"/>
      <c r="K106" s="728">
        <f t="shared" si="2"/>
        <v>0</v>
      </c>
      <c r="L106" s="660">
        <f t="shared" si="3"/>
        <v>0</v>
      </c>
      <c r="M106" s="1629"/>
    </row>
    <row r="107" spans="2:13" x14ac:dyDescent="0.35">
      <c r="B107" s="1626"/>
      <c r="C107" s="1642"/>
      <c r="D107" s="194"/>
      <c r="E107" s="549"/>
      <c r="F107" s="549"/>
      <c r="G107" s="676"/>
      <c r="H107" s="593"/>
      <c r="I107" s="593"/>
      <c r="J107" s="594"/>
      <c r="K107" s="728">
        <f t="shared" si="2"/>
        <v>0</v>
      </c>
      <c r="L107" s="660">
        <f t="shared" si="3"/>
        <v>0</v>
      </c>
      <c r="M107" s="1629"/>
    </row>
    <row r="108" spans="2:13" x14ac:dyDescent="0.35">
      <c r="B108" s="1626"/>
      <c r="C108" s="1642"/>
      <c r="D108" s="194"/>
      <c r="E108" s="549"/>
      <c r="F108" s="549"/>
      <c r="G108" s="676"/>
      <c r="H108" s="593"/>
      <c r="I108" s="593"/>
      <c r="J108" s="594"/>
      <c r="K108" s="728">
        <f t="shared" si="2"/>
        <v>0</v>
      </c>
      <c r="L108" s="660">
        <f t="shared" si="3"/>
        <v>0</v>
      </c>
      <c r="M108" s="1629"/>
    </row>
    <row r="109" spans="2:13" ht="15" thickBot="1" x14ac:dyDescent="0.4">
      <c r="B109" s="1627"/>
      <c r="C109" s="1643"/>
      <c r="D109" s="86"/>
      <c r="E109" s="247"/>
      <c r="F109" s="247"/>
      <c r="G109" s="677"/>
      <c r="H109" s="714"/>
      <c r="I109" s="714"/>
      <c r="J109" s="715"/>
      <c r="K109" s="729">
        <f t="shared" si="2"/>
        <v>0</v>
      </c>
      <c r="L109" s="662">
        <f t="shared" si="3"/>
        <v>0</v>
      </c>
      <c r="M109" s="1630"/>
    </row>
    <row r="110" spans="2:13" x14ac:dyDescent="0.35">
      <c r="B110" s="1625" t="str">
        <f>+'B) Reajuste Tarifas y Ocupación'!A41</f>
        <v>Piscina C.R. Huayquique (Gente de Mar)</v>
      </c>
      <c r="C110" s="1625" t="s">
        <v>208</v>
      </c>
      <c r="D110" s="245"/>
      <c r="E110" s="246"/>
      <c r="F110" s="246"/>
      <c r="G110" s="682"/>
      <c r="H110" s="683"/>
      <c r="I110" s="716"/>
      <c r="J110" s="588"/>
      <c r="K110" s="579">
        <f t="shared" si="2"/>
        <v>0</v>
      </c>
      <c r="L110" s="657">
        <f t="shared" si="3"/>
        <v>0</v>
      </c>
      <c r="M110" s="1628">
        <f>SUM(L110:L131)</f>
        <v>6820343.9399999995</v>
      </c>
    </row>
    <row r="111" spans="2:13" x14ac:dyDescent="0.35">
      <c r="B111" s="1626"/>
      <c r="C111" s="1626"/>
      <c r="D111" s="62"/>
      <c r="E111" s="64"/>
      <c r="F111" s="64"/>
      <c r="G111" s="659"/>
      <c r="H111" s="578"/>
      <c r="I111" s="578"/>
      <c r="J111" s="587"/>
      <c r="K111" s="580">
        <f t="shared" si="2"/>
        <v>0</v>
      </c>
      <c r="L111" s="660">
        <f t="shared" si="3"/>
        <v>0</v>
      </c>
      <c r="M111" s="1629"/>
    </row>
    <row r="112" spans="2:13" x14ac:dyDescent="0.35">
      <c r="B112" s="1626"/>
      <c r="C112" s="1626"/>
      <c r="D112" s="62"/>
      <c r="E112" s="64"/>
      <c r="F112" s="64"/>
      <c r="G112" s="659"/>
      <c r="H112" s="578"/>
      <c r="I112" s="578"/>
      <c r="J112" s="587"/>
      <c r="K112" s="580">
        <f t="shared" si="2"/>
        <v>0</v>
      </c>
      <c r="L112" s="660">
        <f t="shared" si="3"/>
        <v>0</v>
      </c>
      <c r="M112" s="1629"/>
    </row>
    <row r="113" spans="2:13" x14ac:dyDescent="0.35">
      <c r="B113" s="1626"/>
      <c r="C113" s="1626"/>
      <c r="D113" s="62"/>
      <c r="E113" s="64"/>
      <c r="F113" s="64"/>
      <c r="G113" s="659"/>
      <c r="H113" s="578"/>
      <c r="I113" s="578"/>
      <c r="J113" s="587"/>
      <c r="K113" s="580">
        <f t="shared" si="2"/>
        <v>0</v>
      </c>
      <c r="L113" s="660">
        <f t="shared" si="3"/>
        <v>0</v>
      </c>
      <c r="M113" s="1629"/>
    </row>
    <row r="114" spans="2:13" x14ac:dyDescent="0.35">
      <c r="B114" s="1626"/>
      <c r="C114" s="1626"/>
      <c r="D114" s="62"/>
      <c r="E114" s="64"/>
      <c r="F114" s="64"/>
      <c r="G114" s="659"/>
      <c r="H114" s="578"/>
      <c r="I114" s="578"/>
      <c r="J114" s="587"/>
      <c r="K114" s="580">
        <f t="shared" si="2"/>
        <v>0</v>
      </c>
      <c r="L114" s="660">
        <f t="shared" si="3"/>
        <v>0</v>
      </c>
      <c r="M114" s="1629"/>
    </row>
    <row r="115" spans="2:13" x14ac:dyDescent="0.35">
      <c r="B115" s="1626"/>
      <c r="C115" s="1626"/>
      <c r="D115" s="62"/>
      <c r="E115" s="64"/>
      <c r="F115" s="64"/>
      <c r="G115" s="659"/>
      <c r="H115" s="578"/>
      <c r="I115" s="578"/>
      <c r="J115" s="587"/>
      <c r="K115" s="580">
        <f t="shared" si="2"/>
        <v>0</v>
      </c>
      <c r="L115" s="660">
        <f t="shared" si="3"/>
        <v>0</v>
      </c>
      <c r="M115" s="1629"/>
    </row>
    <row r="116" spans="2:13" x14ac:dyDescent="0.35">
      <c r="B116" s="1626"/>
      <c r="C116" s="1626"/>
      <c r="D116" s="62"/>
      <c r="E116" s="64"/>
      <c r="F116" s="64"/>
      <c r="G116" s="659"/>
      <c r="H116" s="578"/>
      <c r="I116" s="578"/>
      <c r="J116" s="587"/>
      <c r="K116" s="580">
        <f t="shared" si="2"/>
        <v>0</v>
      </c>
      <c r="L116" s="660">
        <f t="shared" si="3"/>
        <v>0</v>
      </c>
      <c r="M116" s="1629"/>
    </row>
    <row r="117" spans="2:13" x14ac:dyDescent="0.35">
      <c r="B117" s="1626"/>
      <c r="C117" s="1626"/>
      <c r="D117" s="62"/>
      <c r="E117" s="64"/>
      <c r="F117" s="64"/>
      <c r="G117" s="659"/>
      <c r="H117" s="578"/>
      <c r="I117" s="578"/>
      <c r="J117" s="587"/>
      <c r="K117" s="580">
        <f t="shared" si="2"/>
        <v>0</v>
      </c>
      <c r="L117" s="660">
        <f t="shared" si="3"/>
        <v>0</v>
      </c>
      <c r="M117" s="1629"/>
    </row>
    <row r="118" spans="2:13" x14ac:dyDescent="0.35">
      <c r="B118" s="1626"/>
      <c r="C118" s="1626"/>
      <c r="D118" s="62"/>
      <c r="E118" s="64"/>
      <c r="F118" s="64"/>
      <c r="G118" s="659"/>
      <c r="H118" s="578"/>
      <c r="I118" s="578"/>
      <c r="J118" s="587"/>
      <c r="K118" s="580">
        <f t="shared" si="2"/>
        <v>0</v>
      </c>
      <c r="L118" s="660">
        <f t="shared" si="3"/>
        <v>0</v>
      </c>
      <c r="M118" s="1629"/>
    </row>
    <row r="119" spans="2:13" x14ac:dyDescent="0.35">
      <c r="B119" s="1626"/>
      <c r="C119" s="1626"/>
      <c r="D119" s="62"/>
      <c r="E119" s="64"/>
      <c r="F119" s="64"/>
      <c r="G119" s="659"/>
      <c r="H119" s="578"/>
      <c r="I119" s="578"/>
      <c r="J119" s="587"/>
      <c r="K119" s="580">
        <f t="shared" si="2"/>
        <v>0</v>
      </c>
      <c r="L119" s="660">
        <f t="shared" si="3"/>
        <v>0</v>
      </c>
      <c r="M119" s="1629"/>
    </row>
    <row r="120" spans="2:13" ht="15" thickBot="1" x14ac:dyDescent="0.4">
      <c r="B120" s="1626"/>
      <c r="C120" s="1627"/>
      <c r="D120" s="684"/>
      <c r="E120" s="685"/>
      <c r="F120" s="685"/>
      <c r="G120" s="686"/>
      <c r="H120" s="717"/>
      <c r="I120" s="717"/>
      <c r="J120" s="710"/>
      <c r="K120" s="614">
        <f t="shared" si="2"/>
        <v>0</v>
      </c>
      <c r="L120" s="662">
        <f t="shared" si="3"/>
        <v>0</v>
      </c>
      <c r="M120" s="1629"/>
    </row>
    <row r="121" spans="2:13" x14ac:dyDescent="0.35">
      <c r="B121" s="1626"/>
      <c r="C121" s="1641" t="s">
        <v>209</v>
      </c>
      <c r="D121" s="672"/>
      <c r="E121" s="673"/>
      <c r="F121" s="673" t="s">
        <v>376</v>
      </c>
      <c r="G121" s="674"/>
      <c r="H121" s="653">
        <f>6073332</f>
        <v>6073332</v>
      </c>
      <c r="I121" s="653">
        <v>87236</v>
      </c>
      <c r="J121" s="654">
        <v>386476</v>
      </c>
      <c r="K121" s="727">
        <f t="shared" si="2"/>
        <v>6547044</v>
      </c>
      <c r="L121" s="657">
        <f>+((H121*(1+$M$7))*(1+N7)+I121+J121)</f>
        <v>6820343.9399999995</v>
      </c>
      <c r="M121" s="1629"/>
    </row>
    <row r="122" spans="2:13" x14ac:dyDescent="0.35">
      <c r="B122" s="1626"/>
      <c r="C122" s="1642"/>
      <c r="D122" s="194"/>
      <c r="E122" s="549"/>
      <c r="F122" s="549"/>
      <c r="G122" s="676"/>
      <c r="H122" s="593"/>
      <c r="I122" s="593"/>
      <c r="J122" s="594"/>
      <c r="K122" s="728">
        <f t="shared" si="2"/>
        <v>0</v>
      </c>
      <c r="L122" s="660">
        <f t="shared" si="3"/>
        <v>0</v>
      </c>
      <c r="M122" s="1629"/>
    </row>
    <row r="123" spans="2:13" x14ac:dyDescent="0.35">
      <c r="B123" s="1626"/>
      <c r="C123" s="1642"/>
      <c r="D123" s="711"/>
      <c r="E123" s="712"/>
      <c r="F123" s="549"/>
      <c r="G123" s="713"/>
      <c r="H123" s="593"/>
      <c r="I123" s="593"/>
      <c r="J123" s="594"/>
      <c r="K123" s="728">
        <f t="shared" si="2"/>
        <v>0</v>
      </c>
      <c r="L123" s="660">
        <f t="shared" si="3"/>
        <v>0</v>
      </c>
      <c r="M123" s="1629"/>
    </row>
    <row r="124" spans="2:13" x14ac:dyDescent="0.35">
      <c r="B124" s="1626"/>
      <c r="C124" s="1642"/>
      <c r="D124" s="711"/>
      <c r="E124" s="549"/>
      <c r="F124" s="650" t="s">
        <v>409</v>
      </c>
      <c r="G124" s="676"/>
      <c r="H124" s="593"/>
      <c r="I124" s="593"/>
      <c r="J124" s="594"/>
      <c r="K124" s="728">
        <f t="shared" si="2"/>
        <v>0</v>
      </c>
      <c r="L124" s="660">
        <f t="shared" si="3"/>
        <v>0</v>
      </c>
      <c r="M124" s="1629"/>
    </row>
    <row r="125" spans="2:13" x14ac:dyDescent="0.35">
      <c r="B125" s="1626"/>
      <c r="C125" s="1642"/>
      <c r="D125" s="194"/>
      <c r="E125" s="549"/>
      <c r="F125" s="549"/>
      <c r="G125" s="676"/>
      <c r="H125" s="593"/>
      <c r="I125" s="593"/>
      <c r="J125" s="594"/>
      <c r="K125" s="728">
        <f t="shared" si="2"/>
        <v>0</v>
      </c>
      <c r="L125" s="660">
        <f t="shared" si="3"/>
        <v>0</v>
      </c>
      <c r="M125" s="1629"/>
    </row>
    <row r="126" spans="2:13" x14ac:dyDescent="0.35">
      <c r="B126" s="1626"/>
      <c r="C126" s="1642"/>
      <c r="D126" s="194"/>
      <c r="E126" s="549"/>
      <c r="F126" s="549"/>
      <c r="G126" s="676"/>
      <c r="H126" s="593"/>
      <c r="I126" s="593"/>
      <c r="J126" s="594"/>
      <c r="K126" s="728">
        <f t="shared" si="2"/>
        <v>0</v>
      </c>
      <c r="L126" s="660">
        <f t="shared" si="3"/>
        <v>0</v>
      </c>
      <c r="M126" s="1629"/>
    </row>
    <row r="127" spans="2:13" x14ac:dyDescent="0.35">
      <c r="B127" s="1626"/>
      <c r="C127" s="1642"/>
      <c r="D127" s="194"/>
      <c r="E127" s="549"/>
      <c r="F127" s="549"/>
      <c r="G127" s="676"/>
      <c r="H127" s="593"/>
      <c r="I127" s="593"/>
      <c r="J127" s="594"/>
      <c r="K127" s="728">
        <f t="shared" si="2"/>
        <v>0</v>
      </c>
      <c r="L127" s="660">
        <f t="shared" si="3"/>
        <v>0</v>
      </c>
      <c r="M127" s="1629"/>
    </row>
    <row r="128" spans="2:13" x14ac:dyDescent="0.35">
      <c r="B128" s="1626"/>
      <c r="C128" s="1642"/>
      <c r="D128" s="194"/>
      <c r="E128" s="549"/>
      <c r="F128" s="549"/>
      <c r="G128" s="676"/>
      <c r="H128" s="593"/>
      <c r="I128" s="593"/>
      <c r="J128" s="594"/>
      <c r="K128" s="728">
        <f t="shared" si="2"/>
        <v>0</v>
      </c>
      <c r="L128" s="660">
        <f t="shared" si="3"/>
        <v>0</v>
      </c>
      <c r="M128" s="1629"/>
    </row>
    <row r="129" spans="2:13" x14ac:dyDescent="0.35">
      <c r="B129" s="1626"/>
      <c r="C129" s="1642"/>
      <c r="D129" s="194"/>
      <c r="E129" s="549"/>
      <c r="F129" s="549"/>
      <c r="G129" s="676"/>
      <c r="H129" s="593"/>
      <c r="I129" s="593"/>
      <c r="J129" s="594"/>
      <c r="K129" s="728">
        <f t="shared" si="2"/>
        <v>0</v>
      </c>
      <c r="L129" s="660">
        <f t="shared" si="3"/>
        <v>0</v>
      </c>
      <c r="M129" s="1629"/>
    </row>
    <row r="130" spans="2:13" x14ac:dyDescent="0.35">
      <c r="B130" s="1626"/>
      <c r="C130" s="1642"/>
      <c r="D130" s="194"/>
      <c r="E130" s="549"/>
      <c r="F130" s="549"/>
      <c r="G130" s="676"/>
      <c r="H130" s="593"/>
      <c r="I130" s="593"/>
      <c r="J130" s="594"/>
      <c r="K130" s="728">
        <f t="shared" si="2"/>
        <v>0</v>
      </c>
      <c r="L130" s="660">
        <f t="shared" si="3"/>
        <v>0</v>
      </c>
      <c r="M130" s="1629"/>
    </row>
    <row r="131" spans="2:13" ht="15" thickBot="1" x14ac:dyDescent="0.4">
      <c r="B131" s="1627"/>
      <c r="C131" s="1643"/>
      <c r="D131" s="86"/>
      <c r="E131" s="247"/>
      <c r="F131" s="247"/>
      <c r="G131" s="677"/>
      <c r="H131" s="714"/>
      <c r="I131" s="714"/>
      <c r="J131" s="715"/>
      <c r="K131" s="729">
        <f t="shared" si="2"/>
        <v>0</v>
      </c>
      <c r="L131" s="662">
        <f t="shared" si="3"/>
        <v>0</v>
      </c>
      <c r="M131" s="1640"/>
    </row>
    <row r="132" spans="2:13" x14ac:dyDescent="0.35">
      <c r="B132" s="1625" t="str">
        <f>+'B) Reajuste Tarifas y Ocupación'!A43</f>
        <v>Cabañas Hornitos</v>
      </c>
      <c r="C132" s="1625" t="s">
        <v>208</v>
      </c>
      <c r="D132" s="87"/>
      <c r="E132" s="246" t="s">
        <v>407</v>
      </c>
      <c r="F132" s="246" t="s">
        <v>151</v>
      </c>
      <c r="G132" s="682"/>
      <c r="H132" s="716"/>
      <c r="I132" s="716"/>
      <c r="J132" s="716"/>
      <c r="K132" s="579">
        <f t="shared" si="2"/>
        <v>0</v>
      </c>
      <c r="L132" s="657">
        <f t="shared" si="3"/>
        <v>0</v>
      </c>
      <c r="M132" s="1647">
        <f>SUM(L132:L142)</f>
        <v>0</v>
      </c>
    </row>
    <row r="133" spans="2:13" x14ac:dyDescent="0.35">
      <c r="B133" s="1626"/>
      <c r="C133" s="1626"/>
      <c r="D133" s="62"/>
      <c r="E133" s="64"/>
      <c r="F133" s="64"/>
      <c r="G133" s="659"/>
      <c r="H133" s="578"/>
      <c r="I133" s="578"/>
      <c r="J133" s="578"/>
      <c r="K133" s="580">
        <f t="shared" si="2"/>
        <v>0</v>
      </c>
      <c r="L133" s="660">
        <f t="shared" si="3"/>
        <v>0</v>
      </c>
      <c r="M133" s="1629"/>
    </row>
    <row r="134" spans="2:13" x14ac:dyDescent="0.35">
      <c r="B134" s="1626"/>
      <c r="C134" s="1626"/>
      <c r="D134" s="62"/>
      <c r="E134" s="64"/>
      <c r="F134" s="64"/>
      <c r="G134" s="659"/>
      <c r="H134" s="578"/>
      <c r="I134" s="578"/>
      <c r="J134" s="578"/>
      <c r="K134" s="580">
        <f t="shared" si="2"/>
        <v>0</v>
      </c>
      <c r="L134" s="660">
        <f t="shared" si="3"/>
        <v>0</v>
      </c>
      <c r="M134" s="1629"/>
    </row>
    <row r="135" spans="2:13" x14ac:dyDescent="0.35">
      <c r="B135" s="1626"/>
      <c r="C135" s="1626"/>
      <c r="D135" s="62"/>
      <c r="E135" s="64"/>
      <c r="F135" s="64"/>
      <c r="G135" s="659"/>
      <c r="H135" s="578"/>
      <c r="I135" s="578"/>
      <c r="J135" s="578"/>
      <c r="K135" s="580">
        <f t="shared" si="2"/>
        <v>0</v>
      </c>
      <c r="L135" s="660">
        <f t="shared" si="3"/>
        <v>0</v>
      </c>
      <c r="M135" s="1629"/>
    </row>
    <row r="136" spans="2:13" x14ac:dyDescent="0.35">
      <c r="B136" s="1626"/>
      <c r="C136" s="1626"/>
      <c r="D136" s="62"/>
      <c r="E136" s="64"/>
      <c r="F136" s="64"/>
      <c r="G136" s="659"/>
      <c r="H136" s="578"/>
      <c r="I136" s="578"/>
      <c r="J136" s="578"/>
      <c r="K136" s="580">
        <f t="shared" si="2"/>
        <v>0</v>
      </c>
      <c r="L136" s="660">
        <f t="shared" si="3"/>
        <v>0</v>
      </c>
      <c r="M136" s="1629"/>
    </row>
    <row r="137" spans="2:13" x14ac:dyDescent="0.35">
      <c r="B137" s="1626"/>
      <c r="C137" s="1626"/>
      <c r="D137" s="62"/>
      <c r="E137" s="64"/>
      <c r="F137" s="64"/>
      <c r="G137" s="659"/>
      <c r="H137" s="578"/>
      <c r="I137" s="578"/>
      <c r="J137" s="578"/>
      <c r="K137" s="580">
        <f t="shared" si="2"/>
        <v>0</v>
      </c>
      <c r="L137" s="660">
        <f t="shared" si="3"/>
        <v>0</v>
      </c>
      <c r="M137" s="1629"/>
    </row>
    <row r="138" spans="2:13" x14ac:dyDescent="0.35">
      <c r="B138" s="1626"/>
      <c r="C138" s="1626"/>
      <c r="D138" s="62"/>
      <c r="E138" s="64"/>
      <c r="F138" s="64"/>
      <c r="G138" s="659"/>
      <c r="H138" s="578"/>
      <c r="I138" s="578"/>
      <c r="J138" s="578"/>
      <c r="K138" s="580">
        <f t="shared" si="2"/>
        <v>0</v>
      </c>
      <c r="L138" s="660">
        <f t="shared" si="3"/>
        <v>0</v>
      </c>
      <c r="M138" s="1629"/>
    </row>
    <row r="139" spans="2:13" x14ac:dyDescent="0.35">
      <c r="B139" s="1626"/>
      <c r="C139" s="1626"/>
      <c r="D139" s="62"/>
      <c r="E139" s="64"/>
      <c r="F139" s="64"/>
      <c r="G139" s="659"/>
      <c r="H139" s="578"/>
      <c r="I139" s="578"/>
      <c r="J139" s="578"/>
      <c r="K139" s="580">
        <f t="shared" si="2"/>
        <v>0</v>
      </c>
      <c r="L139" s="660">
        <f t="shared" si="3"/>
        <v>0</v>
      </c>
      <c r="M139" s="1629"/>
    </row>
    <row r="140" spans="2:13" x14ac:dyDescent="0.35">
      <c r="B140" s="1626"/>
      <c r="C140" s="1626"/>
      <c r="D140" s="62"/>
      <c r="E140" s="64"/>
      <c r="F140" s="64"/>
      <c r="G140" s="568"/>
      <c r="H140" s="578"/>
      <c r="I140" s="578"/>
      <c r="J140" s="578"/>
      <c r="K140" s="580">
        <f t="shared" ref="K140:K186" si="4">SUM(H140:J140)</f>
        <v>0</v>
      </c>
      <c r="L140" s="660">
        <f t="shared" ref="L140:L186" si="5">+(H140*(1+$M$7))+I140+J140</f>
        <v>0</v>
      </c>
      <c r="M140" s="1629"/>
    </row>
    <row r="141" spans="2:13" x14ac:dyDescent="0.35">
      <c r="B141" s="1626"/>
      <c r="C141" s="1626"/>
      <c r="D141" s="62"/>
      <c r="E141" s="64"/>
      <c r="F141" s="64"/>
      <c r="G141" s="568"/>
      <c r="H141" s="578"/>
      <c r="I141" s="578"/>
      <c r="J141" s="578"/>
      <c r="K141" s="580">
        <f t="shared" si="4"/>
        <v>0</v>
      </c>
      <c r="L141" s="660">
        <f t="shared" si="5"/>
        <v>0</v>
      </c>
      <c r="M141" s="1629"/>
    </row>
    <row r="142" spans="2:13" ht="15" thickBot="1" x14ac:dyDescent="0.4">
      <c r="B142" s="1627"/>
      <c r="C142" s="1627"/>
      <c r="D142" s="60"/>
      <c r="E142" s="65"/>
      <c r="F142" s="65"/>
      <c r="G142" s="569"/>
      <c r="H142" s="705"/>
      <c r="I142" s="705"/>
      <c r="J142" s="705"/>
      <c r="K142" s="614">
        <f t="shared" si="4"/>
        <v>0</v>
      </c>
      <c r="L142" s="662">
        <f t="shared" si="5"/>
        <v>0</v>
      </c>
      <c r="M142" s="1630"/>
    </row>
    <row r="143" spans="2:13" ht="15" customHeight="1" x14ac:dyDescent="0.35">
      <c r="B143" s="1637" t="str">
        <f>+'B) Reajuste Tarifas y Ocupación'!A46</f>
        <v>C. H. Rada Iquique</v>
      </c>
      <c r="C143" s="1644" t="s">
        <v>208</v>
      </c>
      <c r="D143" s="687"/>
      <c r="E143" s="64"/>
      <c r="F143" s="549" t="s">
        <v>371</v>
      </c>
      <c r="G143" s="676"/>
      <c r="H143" s="561">
        <v>19179444</v>
      </c>
      <c r="I143" s="595">
        <v>171208</v>
      </c>
      <c r="J143" s="193">
        <v>217145</v>
      </c>
      <c r="K143" s="579">
        <f t="shared" si="4"/>
        <v>19567797</v>
      </c>
      <c r="L143" s="657">
        <f>+((H143*(1+$M$7)))*(1+N7)+I143+J143</f>
        <v>20430871.98</v>
      </c>
      <c r="M143" s="1628">
        <f>SUM(L143:L164)</f>
        <v>30384991.625</v>
      </c>
    </row>
    <row r="144" spans="2:13" ht="15" customHeight="1" x14ac:dyDescent="0.35">
      <c r="B144" s="1638"/>
      <c r="C144" s="1626"/>
      <c r="D144" s="687"/>
      <c r="E144" s="64"/>
      <c r="F144" s="549" t="s">
        <v>336</v>
      </c>
      <c r="G144" s="570"/>
      <c r="H144" s="593">
        <v>8988681</v>
      </c>
      <c r="I144" s="578">
        <v>174472</v>
      </c>
      <c r="J144" s="587">
        <v>386476</v>
      </c>
      <c r="K144" s="580">
        <f t="shared" si="4"/>
        <v>9549629</v>
      </c>
      <c r="L144" s="660">
        <f>+((H144*(1+$M$7))*(1+N7)+I144+J144)</f>
        <v>9954119.6449999996</v>
      </c>
      <c r="M144" s="1629"/>
    </row>
    <row r="145" spans="2:13" ht="15" customHeight="1" x14ac:dyDescent="0.35">
      <c r="B145" s="1638"/>
      <c r="C145" s="1626"/>
      <c r="D145" s="688"/>
      <c r="E145" s="658"/>
      <c r="F145" s="559"/>
      <c r="G145" s="570"/>
      <c r="H145" s="593"/>
      <c r="I145" s="593"/>
      <c r="J145" s="593"/>
      <c r="K145" s="580">
        <f t="shared" si="4"/>
        <v>0</v>
      </c>
      <c r="L145" s="660">
        <f>+((H145*(1+$M$7))*(1+N7))+I145+J145</f>
        <v>0</v>
      </c>
      <c r="M145" s="1629"/>
    </row>
    <row r="146" spans="2:13" ht="15" customHeight="1" x14ac:dyDescent="0.35">
      <c r="B146" s="1638"/>
      <c r="C146" s="1626"/>
      <c r="D146" s="718"/>
      <c r="E146" s="650"/>
      <c r="F146" s="712"/>
      <c r="G146" s="570"/>
      <c r="H146" s="593"/>
      <c r="I146" s="593"/>
      <c r="J146" s="593"/>
      <c r="K146" s="580">
        <f t="shared" si="4"/>
        <v>0</v>
      </c>
      <c r="L146" s="660">
        <f t="shared" si="5"/>
        <v>0</v>
      </c>
      <c r="M146" s="1629"/>
    </row>
    <row r="147" spans="2:13" ht="15" customHeight="1" x14ac:dyDescent="0.35">
      <c r="B147" s="1638"/>
      <c r="C147" s="1626"/>
      <c r="D147" s="687"/>
      <c r="E147" s="64" t="s">
        <v>377</v>
      </c>
      <c r="F147" s="549"/>
      <c r="G147" s="570"/>
      <c r="H147" s="593"/>
      <c r="I147" s="593"/>
      <c r="J147" s="593"/>
      <c r="K147" s="580">
        <f t="shared" si="4"/>
        <v>0</v>
      </c>
      <c r="L147" s="660">
        <f t="shared" si="5"/>
        <v>0</v>
      </c>
      <c r="M147" s="1629"/>
    </row>
    <row r="148" spans="2:13" ht="15" customHeight="1" x14ac:dyDescent="0.35">
      <c r="B148" s="1638"/>
      <c r="C148" s="1626"/>
      <c r="D148" s="687"/>
      <c r="E148" s="64"/>
      <c r="F148" s="549"/>
      <c r="G148" s="570"/>
      <c r="H148" s="593"/>
      <c r="I148" s="593"/>
      <c r="J148" s="593"/>
      <c r="K148" s="580">
        <f t="shared" si="4"/>
        <v>0</v>
      </c>
      <c r="L148" s="660">
        <f t="shared" si="5"/>
        <v>0</v>
      </c>
      <c r="M148" s="1629"/>
    </row>
    <row r="149" spans="2:13" ht="15" customHeight="1" x14ac:dyDescent="0.35">
      <c r="B149" s="1638"/>
      <c r="C149" s="1626"/>
      <c r="D149" s="687"/>
      <c r="E149" s="64"/>
      <c r="F149" s="549"/>
      <c r="G149" s="570"/>
      <c r="H149" s="593"/>
      <c r="I149" s="593"/>
      <c r="J149" s="593"/>
      <c r="K149" s="580">
        <f t="shared" si="4"/>
        <v>0</v>
      </c>
      <c r="L149" s="660">
        <f t="shared" si="5"/>
        <v>0</v>
      </c>
      <c r="M149" s="1629"/>
    </row>
    <row r="150" spans="2:13" ht="15" customHeight="1" x14ac:dyDescent="0.35">
      <c r="B150" s="1638"/>
      <c r="C150" s="1626"/>
      <c r="D150" s="687"/>
      <c r="E150" s="64"/>
      <c r="F150" s="549"/>
      <c r="G150" s="570"/>
      <c r="H150" s="593"/>
      <c r="I150" s="593"/>
      <c r="J150" s="593"/>
      <c r="K150" s="580">
        <f t="shared" si="4"/>
        <v>0</v>
      </c>
      <c r="L150" s="660">
        <f t="shared" si="5"/>
        <v>0</v>
      </c>
      <c r="M150" s="1629"/>
    </row>
    <row r="151" spans="2:13" ht="15" customHeight="1" x14ac:dyDescent="0.35">
      <c r="B151" s="1638"/>
      <c r="C151" s="1626"/>
      <c r="D151" s="687"/>
      <c r="E151" s="64"/>
      <c r="F151" s="549"/>
      <c r="G151" s="570"/>
      <c r="H151" s="593"/>
      <c r="I151" s="593"/>
      <c r="J151" s="593"/>
      <c r="K151" s="580">
        <f t="shared" si="4"/>
        <v>0</v>
      </c>
      <c r="L151" s="660">
        <f t="shared" si="5"/>
        <v>0</v>
      </c>
      <c r="M151" s="1629"/>
    </row>
    <row r="152" spans="2:13" ht="15" customHeight="1" x14ac:dyDescent="0.35">
      <c r="B152" s="1638"/>
      <c r="C152" s="1626"/>
      <c r="D152" s="687"/>
      <c r="E152" s="64"/>
      <c r="F152" s="549"/>
      <c r="G152" s="570"/>
      <c r="H152" s="593"/>
      <c r="I152" s="593"/>
      <c r="J152" s="593"/>
      <c r="K152" s="580">
        <f t="shared" si="4"/>
        <v>0</v>
      </c>
      <c r="L152" s="660">
        <f t="shared" si="5"/>
        <v>0</v>
      </c>
      <c r="M152" s="1629"/>
    </row>
    <row r="153" spans="2:13" ht="15.75" customHeight="1" thickBot="1" x14ac:dyDescent="0.4">
      <c r="B153" s="1638"/>
      <c r="C153" s="1627"/>
      <c r="D153" s="61"/>
      <c r="E153" s="670"/>
      <c r="F153" s="560"/>
      <c r="G153" s="571"/>
      <c r="H153" s="719"/>
      <c r="I153" s="719"/>
      <c r="J153" s="719"/>
      <c r="K153" s="614">
        <f t="shared" si="4"/>
        <v>0</v>
      </c>
      <c r="L153" s="662">
        <f t="shared" si="5"/>
        <v>0</v>
      </c>
      <c r="M153" s="1629"/>
    </row>
    <row r="154" spans="2:13" ht="15" customHeight="1" x14ac:dyDescent="0.35">
      <c r="B154" s="1638"/>
      <c r="C154" s="1644" t="s">
        <v>209</v>
      </c>
      <c r="D154" s="689"/>
      <c r="E154" s="690"/>
      <c r="F154" s="690"/>
      <c r="G154" s="572"/>
      <c r="H154" s="596"/>
      <c r="I154" s="596"/>
      <c r="J154" s="596"/>
      <c r="K154" s="579">
        <f t="shared" si="4"/>
        <v>0</v>
      </c>
      <c r="L154" s="657">
        <f t="shared" si="5"/>
        <v>0</v>
      </c>
      <c r="M154" s="1629"/>
    </row>
    <row r="155" spans="2:13" ht="15" customHeight="1" x14ac:dyDescent="0.35">
      <c r="B155" s="1638"/>
      <c r="C155" s="1626"/>
      <c r="D155" s="691"/>
      <c r="E155" s="692"/>
      <c r="F155" s="692"/>
      <c r="G155" s="573"/>
      <c r="H155" s="599"/>
      <c r="I155" s="599"/>
      <c r="J155" s="599"/>
      <c r="K155" s="580">
        <f t="shared" si="4"/>
        <v>0</v>
      </c>
      <c r="L155" s="660">
        <f t="shared" si="5"/>
        <v>0</v>
      </c>
      <c r="M155" s="1629"/>
    </row>
    <row r="156" spans="2:13" ht="15" customHeight="1" x14ac:dyDescent="0.35">
      <c r="B156" s="1638"/>
      <c r="C156" s="1626"/>
      <c r="D156" s="691"/>
      <c r="E156" s="692"/>
      <c r="F156" s="692"/>
      <c r="G156" s="573"/>
      <c r="H156" s="599"/>
      <c r="I156" s="599"/>
      <c r="J156" s="599"/>
      <c r="K156" s="580">
        <f t="shared" si="4"/>
        <v>0</v>
      </c>
      <c r="L156" s="660">
        <f t="shared" si="5"/>
        <v>0</v>
      </c>
      <c r="M156" s="1629"/>
    </row>
    <row r="157" spans="2:13" ht="15" customHeight="1" x14ac:dyDescent="0.35">
      <c r="B157" s="1638"/>
      <c r="C157" s="1626"/>
      <c r="D157" s="320"/>
      <c r="E157" s="254"/>
      <c r="F157" s="254"/>
      <c r="G157" s="573"/>
      <c r="H157" s="599"/>
      <c r="I157" s="599"/>
      <c r="J157" s="599"/>
      <c r="K157" s="580">
        <f t="shared" si="4"/>
        <v>0</v>
      </c>
      <c r="L157" s="660">
        <f t="shared" si="5"/>
        <v>0</v>
      </c>
      <c r="M157" s="1629"/>
    </row>
    <row r="158" spans="2:13" ht="15" customHeight="1" x14ac:dyDescent="0.35">
      <c r="B158" s="1638"/>
      <c r="C158" s="1626"/>
      <c r="D158" s="687"/>
      <c r="E158" s="668"/>
      <c r="F158" s="692"/>
      <c r="G158" s="573"/>
      <c r="H158" s="599"/>
      <c r="I158" s="599"/>
      <c r="J158" s="599"/>
      <c r="K158" s="580">
        <f t="shared" si="4"/>
        <v>0</v>
      </c>
      <c r="L158" s="660">
        <f t="shared" si="5"/>
        <v>0</v>
      </c>
      <c r="M158" s="1629"/>
    </row>
    <row r="159" spans="2:13" ht="15" customHeight="1" x14ac:dyDescent="0.35">
      <c r="B159" s="1638"/>
      <c r="C159" s="1626"/>
      <c r="D159" s="720"/>
      <c r="E159" s="652"/>
      <c r="F159" s="692"/>
      <c r="G159" s="573"/>
      <c r="H159" s="599"/>
      <c r="I159" s="599"/>
      <c r="J159" s="599"/>
      <c r="K159" s="580">
        <f t="shared" si="4"/>
        <v>0</v>
      </c>
      <c r="L159" s="660">
        <f t="shared" si="5"/>
        <v>0</v>
      </c>
      <c r="M159" s="1629"/>
    </row>
    <row r="160" spans="2:13" ht="15" customHeight="1" x14ac:dyDescent="0.35">
      <c r="B160" s="1638"/>
      <c r="C160" s="1626"/>
      <c r="D160" s="687"/>
      <c r="E160" s="668"/>
      <c r="F160" s="668"/>
      <c r="G160" s="573"/>
      <c r="H160" s="599"/>
      <c r="I160" s="599"/>
      <c r="J160" s="599"/>
      <c r="K160" s="580">
        <f t="shared" si="4"/>
        <v>0</v>
      </c>
      <c r="L160" s="660">
        <f t="shared" si="5"/>
        <v>0</v>
      </c>
      <c r="M160" s="1629"/>
    </row>
    <row r="161" spans="2:13" ht="15" customHeight="1" x14ac:dyDescent="0.35">
      <c r="B161" s="1638"/>
      <c r="C161" s="1626"/>
      <c r="D161" s="693"/>
      <c r="E161" s="694"/>
      <c r="F161" s="694"/>
      <c r="G161" s="574"/>
      <c r="H161" s="599"/>
      <c r="I161" s="599"/>
      <c r="J161" s="599"/>
      <c r="K161" s="580">
        <f t="shared" si="4"/>
        <v>0</v>
      </c>
      <c r="L161" s="660">
        <f t="shared" si="5"/>
        <v>0</v>
      </c>
      <c r="M161" s="1629"/>
    </row>
    <row r="162" spans="2:13" ht="15" customHeight="1" x14ac:dyDescent="0.35">
      <c r="B162" s="1638"/>
      <c r="C162" s="1626"/>
      <c r="D162" s="687"/>
      <c r="E162" s="668"/>
      <c r="F162" s="668"/>
      <c r="G162" s="573"/>
      <c r="H162" s="599"/>
      <c r="I162" s="599"/>
      <c r="J162" s="599"/>
      <c r="K162" s="580">
        <f t="shared" si="4"/>
        <v>0</v>
      </c>
      <c r="L162" s="660">
        <f t="shared" si="5"/>
        <v>0</v>
      </c>
      <c r="M162" s="1629"/>
    </row>
    <row r="163" spans="2:13" ht="15" customHeight="1" x14ac:dyDescent="0.35">
      <c r="B163" s="1638"/>
      <c r="C163" s="1626"/>
      <c r="D163" s="691"/>
      <c r="E163" s="692"/>
      <c r="F163" s="692"/>
      <c r="G163" s="573"/>
      <c r="H163" s="599"/>
      <c r="I163" s="599"/>
      <c r="J163" s="599"/>
      <c r="K163" s="580">
        <f t="shared" si="4"/>
        <v>0</v>
      </c>
      <c r="L163" s="660">
        <f t="shared" si="5"/>
        <v>0</v>
      </c>
      <c r="M163" s="1629"/>
    </row>
    <row r="164" spans="2:13" ht="15.75" customHeight="1" thickBot="1" x14ac:dyDescent="0.4">
      <c r="B164" s="1638"/>
      <c r="C164" s="1627"/>
      <c r="D164" s="695"/>
      <c r="E164" s="247"/>
      <c r="F164" s="247"/>
      <c r="G164" s="575"/>
      <c r="H164" s="714"/>
      <c r="I164" s="714"/>
      <c r="J164" s="714"/>
      <c r="K164" s="614">
        <f t="shared" si="4"/>
        <v>0</v>
      </c>
      <c r="L164" s="662">
        <f t="shared" si="5"/>
        <v>0</v>
      </c>
      <c r="M164" s="1630"/>
    </row>
    <row r="165" spans="2:13" ht="15" customHeight="1" x14ac:dyDescent="0.35">
      <c r="B165" s="1625" t="str">
        <f>+'B) Reajuste Tarifas y Ocupación'!A58</f>
        <v>C. H. Caleta Angamos</v>
      </c>
      <c r="C165" s="1644" t="s">
        <v>208</v>
      </c>
      <c r="D165" s="696" t="s">
        <v>412</v>
      </c>
      <c r="E165" s="697" t="s">
        <v>413</v>
      </c>
      <c r="F165" s="697" t="s">
        <v>371</v>
      </c>
      <c r="G165" s="597">
        <v>322011</v>
      </c>
      <c r="H165" s="734">
        <v>17136072</v>
      </c>
      <c r="I165" s="598">
        <v>171208</v>
      </c>
      <c r="J165" s="585">
        <v>217145</v>
      </c>
      <c r="K165" s="600">
        <f>SUM(H165:J165)</f>
        <v>17524425</v>
      </c>
      <c r="L165" s="657">
        <f>+((H165*(1+$M$7)))*(1+N7)+I165+J165</f>
        <v>18295548.239999998</v>
      </c>
      <c r="M165" s="1628">
        <f>SUM(L165:L186)</f>
        <v>32728381.494999997</v>
      </c>
    </row>
    <row r="166" spans="2:13" ht="15" customHeight="1" x14ac:dyDescent="0.35">
      <c r="B166" s="1626"/>
      <c r="C166" s="1626"/>
      <c r="D166" s="550" t="s">
        <v>414</v>
      </c>
      <c r="E166" s="549" t="s">
        <v>415</v>
      </c>
      <c r="F166" s="549" t="s">
        <v>336</v>
      </c>
      <c r="G166" s="570">
        <v>322011</v>
      </c>
      <c r="H166" s="593">
        <v>8292189</v>
      </c>
      <c r="I166" s="578">
        <v>174472</v>
      </c>
      <c r="J166" s="587">
        <v>386476</v>
      </c>
      <c r="K166" s="601">
        <f t="shared" si="4"/>
        <v>8853137</v>
      </c>
      <c r="L166" s="660">
        <f>+((H166*(1+$M$7))*(1+N7))+I166+J166</f>
        <v>9226285.504999999</v>
      </c>
      <c r="M166" s="1629"/>
    </row>
    <row r="167" spans="2:13" ht="15" customHeight="1" x14ac:dyDescent="0.35">
      <c r="B167" s="1626"/>
      <c r="C167" s="1626"/>
      <c r="D167" s="550" t="s">
        <v>416</v>
      </c>
      <c r="E167" s="549" t="s">
        <v>417</v>
      </c>
      <c r="F167" s="549" t="s">
        <v>337</v>
      </c>
      <c r="G167" s="570">
        <v>322011</v>
      </c>
      <c r="H167" s="593">
        <v>4445550</v>
      </c>
      <c r="I167" s="578">
        <v>174472</v>
      </c>
      <c r="J167" s="587">
        <v>386476</v>
      </c>
      <c r="K167" s="601">
        <f t="shared" si="4"/>
        <v>5006498</v>
      </c>
      <c r="L167" s="660">
        <f>+((H167*(1+$M$7))*(1+N7))+I167+J167</f>
        <v>5206547.75</v>
      </c>
      <c r="M167" s="1629"/>
    </row>
    <row r="168" spans="2:13" ht="15" customHeight="1" x14ac:dyDescent="0.35">
      <c r="B168" s="1626"/>
      <c r="C168" s="1626"/>
      <c r="D168" s="718"/>
      <c r="E168" s="650"/>
      <c r="F168" s="650"/>
      <c r="G168" s="568"/>
      <c r="H168" s="578"/>
      <c r="I168" s="578"/>
      <c r="J168" s="578"/>
      <c r="K168" s="601">
        <f t="shared" si="4"/>
        <v>0</v>
      </c>
      <c r="L168" s="660">
        <f t="shared" si="5"/>
        <v>0</v>
      </c>
      <c r="M168" s="1629"/>
    </row>
    <row r="169" spans="2:13" ht="15" customHeight="1" x14ac:dyDescent="0.35">
      <c r="B169" s="1626"/>
      <c r="C169" s="1626"/>
      <c r="D169" s="687"/>
      <c r="E169" s="64" t="s">
        <v>377</v>
      </c>
      <c r="F169" s="64"/>
      <c r="G169" s="568"/>
      <c r="H169" s="578"/>
      <c r="I169" s="578"/>
      <c r="J169" s="578"/>
      <c r="K169" s="601">
        <f t="shared" si="4"/>
        <v>0</v>
      </c>
      <c r="L169" s="660">
        <f t="shared" si="5"/>
        <v>0</v>
      </c>
      <c r="M169" s="1629"/>
    </row>
    <row r="170" spans="2:13" ht="15" customHeight="1" x14ac:dyDescent="0.35">
      <c r="B170" s="1626"/>
      <c r="C170" s="1626"/>
      <c r="D170" s="718"/>
      <c r="E170" s="650"/>
      <c r="F170" s="650"/>
      <c r="G170" s="568"/>
      <c r="H170" s="578"/>
      <c r="I170" s="578"/>
      <c r="J170" s="578"/>
      <c r="K170" s="601">
        <f t="shared" si="4"/>
        <v>0</v>
      </c>
      <c r="L170" s="660">
        <f t="shared" si="5"/>
        <v>0</v>
      </c>
      <c r="M170" s="1629"/>
    </row>
    <row r="171" spans="2:13" ht="15" customHeight="1" x14ac:dyDescent="0.35">
      <c r="B171" s="1626"/>
      <c r="C171" s="1626"/>
      <c r="D171" s="687"/>
      <c r="E171" s="64"/>
      <c r="F171" s="64"/>
      <c r="G171" s="568"/>
      <c r="H171" s="578"/>
      <c r="I171" s="578"/>
      <c r="J171" s="578"/>
      <c r="K171" s="601">
        <f t="shared" si="4"/>
        <v>0</v>
      </c>
      <c r="L171" s="660">
        <f t="shared" si="5"/>
        <v>0</v>
      </c>
      <c r="M171" s="1629"/>
    </row>
    <row r="172" spans="2:13" ht="15" customHeight="1" x14ac:dyDescent="0.35">
      <c r="B172" s="1626"/>
      <c r="C172" s="1626"/>
      <c r="D172" s="687"/>
      <c r="E172" s="64"/>
      <c r="F172" s="64"/>
      <c r="G172" s="568"/>
      <c r="H172" s="578"/>
      <c r="I172" s="578"/>
      <c r="J172" s="578"/>
      <c r="K172" s="601">
        <f t="shared" si="4"/>
        <v>0</v>
      </c>
      <c r="L172" s="660">
        <f t="shared" si="5"/>
        <v>0</v>
      </c>
      <c r="M172" s="1629"/>
    </row>
    <row r="173" spans="2:13" ht="15" customHeight="1" x14ac:dyDescent="0.35">
      <c r="B173" s="1626"/>
      <c r="C173" s="1626"/>
      <c r="D173" s="687"/>
      <c r="E173" s="64"/>
      <c r="F173" s="64"/>
      <c r="G173" s="568"/>
      <c r="H173" s="578"/>
      <c r="I173" s="578"/>
      <c r="J173" s="578"/>
      <c r="K173" s="601">
        <f t="shared" si="4"/>
        <v>0</v>
      </c>
      <c r="L173" s="660">
        <f t="shared" si="5"/>
        <v>0</v>
      </c>
      <c r="M173" s="1629"/>
    </row>
    <row r="174" spans="2:13" ht="15" customHeight="1" x14ac:dyDescent="0.35">
      <c r="B174" s="1626"/>
      <c r="C174" s="1626"/>
      <c r="D174" s="687"/>
      <c r="E174" s="64"/>
      <c r="F174" s="64"/>
      <c r="G174" s="568"/>
      <c r="H174" s="578"/>
      <c r="I174" s="578"/>
      <c r="J174" s="578"/>
      <c r="K174" s="601">
        <f t="shared" si="4"/>
        <v>0</v>
      </c>
      <c r="L174" s="660">
        <f t="shared" si="5"/>
        <v>0</v>
      </c>
      <c r="M174" s="1629"/>
    </row>
    <row r="175" spans="2:13" ht="15.75" customHeight="1" thickBot="1" x14ac:dyDescent="0.4">
      <c r="B175" s="1626"/>
      <c r="C175" s="1627"/>
      <c r="D175" s="61"/>
      <c r="E175" s="685"/>
      <c r="F175" s="685"/>
      <c r="G175" s="576"/>
      <c r="H175" s="717"/>
      <c r="I175" s="717"/>
      <c r="J175" s="717"/>
      <c r="K175" s="721">
        <f t="shared" si="4"/>
        <v>0</v>
      </c>
      <c r="L175" s="663">
        <f t="shared" si="5"/>
        <v>0</v>
      </c>
      <c r="M175" s="1629"/>
    </row>
    <row r="176" spans="2:13" ht="15" customHeight="1" x14ac:dyDescent="0.35">
      <c r="B176" s="1626"/>
      <c r="C176" s="1645" t="s">
        <v>209</v>
      </c>
      <c r="D176" s="605"/>
      <c r="E176" s="698"/>
      <c r="F176" s="698"/>
      <c r="G176" s="608"/>
      <c r="H176" s="609"/>
      <c r="I176" s="609"/>
      <c r="J176" s="722"/>
      <c r="K176" s="610">
        <f t="shared" si="4"/>
        <v>0</v>
      </c>
      <c r="L176" s="657">
        <f t="shared" si="5"/>
        <v>0</v>
      </c>
      <c r="M176" s="1629"/>
    </row>
    <row r="177" spans="2:13" ht="15" customHeight="1" x14ac:dyDescent="0.35">
      <c r="B177" s="1626"/>
      <c r="C177" s="1642"/>
      <c r="D177" s="606"/>
      <c r="E177" s="602"/>
      <c r="F177" s="602"/>
      <c r="G177" s="699"/>
      <c r="H177" s="723"/>
      <c r="I177" s="723"/>
      <c r="J177" s="724"/>
      <c r="K177" s="580">
        <f t="shared" si="4"/>
        <v>0</v>
      </c>
      <c r="L177" s="660">
        <f t="shared" si="5"/>
        <v>0</v>
      </c>
      <c r="M177" s="1629"/>
    </row>
    <row r="178" spans="2:13" ht="15" customHeight="1" x14ac:dyDescent="0.35">
      <c r="B178" s="1626"/>
      <c r="C178" s="1642"/>
      <c r="D178" s="606"/>
      <c r="E178" s="602"/>
      <c r="F178" s="602"/>
      <c r="G178" s="699"/>
      <c r="H178" s="723"/>
      <c r="I178" s="723"/>
      <c r="J178" s="724"/>
      <c r="K178" s="580">
        <f t="shared" si="4"/>
        <v>0</v>
      </c>
      <c r="L178" s="660">
        <f t="shared" si="5"/>
        <v>0</v>
      </c>
      <c r="M178" s="1629"/>
    </row>
    <row r="179" spans="2:13" ht="15" customHeight="1" x14ac:dyDescent="0.35">
      <c r="B179" s="1626"/>
      <c r="C179" s="1642"/>
      <c r="D179" s="606"/>
      <c r="E179" s="602"/>
      <c r="F179" s="602"/>
      <c r="G179" s="699"/>
      <c r="H179" s="723"/>
      <c r="I179" s="723"/>
      <c r="J179" s="724"/>
      <c r="K179" s="580">
        <f t="shared" si="4"/>
        <v>0</v>
      </c>
      <c r="L179" s="660">
        <f t="shared" si="5"/>
        <v>0</v>
      </c>
      <c r="M179" s="1629"/>
    </row>
    <row r="180" spans="2:13" ht="15.75" customHeight="1" x14ac:dyDescent="0.35">
      <c r="B180" s="1626"/>
      <c r="C180" s="1642"/>
      <c r="D180" s="607"/>
      <c r="E180" s="700"/>
      <c r="F180" s="700"/>
      <c r="G180" s="699"/>
      <c r="H180" s="723"/>
      <c r="I180" s="723"/>
      <c r="J180" s="724"/>
      <c r="K180" s="580">
        <f t="shared" si="4"/>
        <v>0</v>
      </c>
      <c r="L180" s="660">
        <f t="shared" si="5"/>
        <v>0</v>
      </c>
      <c r="M180" s="1629"/>
    </row>
    <row r="181" spans="2:13" ht="15" customHeight="1" x14ac:dyDescent="0.35">
      <c r="B181" s="1626"/>
      <c r="C181" s="1642"/>
      <c r="D181" s="701"/>
      <c r="E181" s="603"/>
      <c r="F181" s="603"/>
      <c r="G181" s="604"/>
      <c r="H181" s="593"/>
      <c r="I181" s="593"/>
      <c r="J181" s="594"/>
      <c r="K181" s="580">
        <f t="shared" si="4"/>
        <v>0</v>
      </c>
      <c r="L181" s="660">
        <f t="shared" si="5"/>
        <v>0</v>
      </c>
      <c r="M181" s="1629"/>
    </row>
    <row r="182" spans="2:13" ht="15" customHeight="1" x14ac:dyDescent="0.35">
      <c r="B182" s="1626"/>
      <c r="C182" s="1642"/>
      <c r="D182" s="701"/>
      <c r="E182" s="603"/>
      <c r="F182" s="603"/>
      <c r="G182" s="604"/>
      <c r="H182" s="593"/>
      <c r="I182" s="593"/>
      <c r="J182" s="594"/>
      <c r="K182" s="580">
        <f t="shared" si="4"/>
        <v>0</v>
      </c>
      <c r="L182" s="660">
        <f t="shared" si="5"/>
        <v>0</v>
      </c>
      <c r="M182" s="1629"/>
    </row>
    <row r="183" spans="2:13" ht="15" customHeight="1" x14ac:dyDescent="0.35">
      <c r="B183" s="1626"/>
      <c r="C183" s="1642"/>
      <c r="D183" s="701"/>
      <c r="E183" s="603"/>
      <c r="F183" s="603"/>
      <c r="G183" s="604"/>
      <c r="H183" s="593"/>
      <c r="I183" s="593"/>
      <c r="J183" s="594"/>
      <c r="K183" s="580">
        <f t="shared" si="4"/>
        <v>0</v>
      </c>
      <c r="L183" s="660">
        <f t="shared" si="5"/>
        <v>0</v>
      </c>
      <c r="M183" s="1629"/>
    </row>
    <row r="184" spans="2:13" ht="15" customHeight="1" x14ac:dyDescent="0.35">
      <c r="B184" s="1626"/>
      <c r="C184" s="1642"/>
      <c r="D184" s="607"/>
      <c r="E184" s="700"/>
      <c r="F184" s="700"/>
      <c r="G184" s="699"/>
      <c r="H184" s="723"/>
      <c r="I184" s="723"/>
      <c r="J184" s="724"/>
      <c r="K184" s="580">
        <f t="shared" si="4"/>
        <v>0</v>
      </c>
      <c r="L184" s="660">
        <f t="shared" si="5"/>
        <v>0</v>
      </c>
      <c r="M184" s="1629"/>
    </row>
    <row r="185" spans="2:13" ht="15" customHeight="1" x14ac:dyDescent="0.35">
      <c r="B185" s="1626"/>
      <c r="C185" s="1642"/>
      <c r="D185" s="607"/>
      <c r="E185" s="700"/>
      <c r="F185" s="700"/>
      <c r="G185" s="699"/>
      <c r="H185" s="723"/>
      <c r="I185" s="723"/>
      <c r="J185" s="724"/>
      <c r="K185" s="580">
        <f t="shared" si="4"/>
        <v>0</v>
      </c>
      <c r="L185" s="660">
        <f t="shared" si="5"/>
        <v>0</v>
      </c>
      <c r="M185" s="1629"/>
    </row>
    <row r="186" spans="2:13" ht="15.75" customHeight="1" thickBot="1" x14ac:dyDescent="0.4">
      <c r="B186" s="1627"/>
      <c r="C186" s="1643"/>
      <c r="D186" s="702"/>
      <c r="E186" s="703"/>
      <c r="F186" s="703"/>
      <c r="G186" s="704"/>
      <c r="H186" s="725"/>
      <c r="I186" s="725"/>
      <c r="J186" s="726"/>
      <c r="K186" s="614">
        <f t="shared" si="4"/>
        <v>0</v>
      </c>
      <c r="L186" s="662">
        <f t="shared" si="5"/>
        <v>0</v>
      </c>
      <c r="M186" s="1630"/>
    </row>
    <row r="188" spans="2:13" x14ac:dyDescent="0.35">
      <c r="H188" s="621"/>
      <c r="K188" s="621"/>
      <c r="M188" s="620">
        <f>SUM(M11:M186)</f>
        <v>171782602.97</v>
      </c>
    </row>
    <row r="189" spans="2:13" x14ac:dyDescent="0.35">
      <c r="H189" s="621"/>
      <c r="K189" s="953"/>
    </row>
    <row r="190" spans="2:13" x14ac:dyDescent="0.35">
      <c r="G190" s="735"/>
      <c r="H190" s="736"/>
    </row>
  </sheetData>
  <mergeCells count="48">
    <mergeCell ref="B165:B186"/>
    <mergeCell ref="C165:C175"/>
    <mergeCell ref="M165:M186"/>
    <mergeCell ref="C176:C186"/>
    <mergeCell ref="U10:X10"/>
    <mergeCell ref="B132:B142"/>
    <mergeCell ref="C132:C142"/>
    <mergeCell ref="M132:M142"/>
    <mergeCell ref="B143:B164"/>
    <mergeCell ref="C143:C153"/>
    <mergeCell ref="M143:M164"/>
    <mergeCell ref="C154:C164"/>
    <mergeCell ref="B88:B109"/>
    <mergeCell ref="C88:C98"/>
    <mergeCell ref="M88:M109"/>
    <mergeCell ref="C99:C109"/>
    <mergeCell ref="B110:B131"/>
    <mergeCell ref="C110:C120"/>
    <mergeCell ref="M110:M131"/>
    <mergeCell ref="C121:C131"/>
    <mergeCell ref="B55:B65"/>
    <mergeCell ref="C55:C65"/>
    <mergeCell ref="M55:M65"/>
    <mergeCell ref="B66:B87"/>
    <mergeCell ref="C66:C76"/>
    <mergeCell ref="M66:M87"/>
    <mergeCell ref="C77:C87"/>
    <mergeCell ref="B33:B54"/>
    <mergeCell ref="C33:C43"/>
    <mergeCell ref="M33:M54"/>
    <mergeCell ref="C44:C54"/>
    <mergeCell ref="G9:G10"/>
    <mergeCell ref="H9:H10"/>
    <mergeCell ref="K9:K10"/>
    <mergeCell ref="J9:J10"/>
    <mergeCell ref="I9:I10"/>
    <mergeCell ref="L9:L10"/>
    <mergeCell ref="M9:M10"/>
    <mergeCell ref="B11:B32"/>
    <mergeCell ref="C11:C21"/>
    <mergeCell ref="M11:M32"/>
    <mergeCell ref="C22:C32"/>
    <mergeCell ref="B7:F7"/>
    <mergeCell ref="B9:B10"/>
    <mergeCell ref="C9:C10"/>
    <mergeCell ref="D9:D10"/>
    <mergeCell ref="E9:E10"/>
    <mergeCell ref="F9:F10"/>
  </mergeCells>
  <pageMargins left="0.7" right="0.7" top="0.75" bottom="0.75" header="0.3" footer="0.3"/>
  <pageSetup orientation="portrait" r:id="rId1"/>
  <ignoredErrors>
    <ignoredError sqref="L77 L99 L121 L22" 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1" tint="0.499984740745262"/>
  </sheetPr>
  <dimension ref="A1:M75"/>
  <sheetViews>
    <sheetView topLeftCell="A27" workbookViewId="0">
      <selection activeCell="G45" sqref="G45"/>
    </sheetView>
  </sheetViews>
  <sheetFormatPr baseColWidth="10" defaultRowHeight="14.5" x14ac:dyDescent="0.35"/>
  <cols>
    <col min="1" max="1" width="33" style="4" customWidth="1"/>
    <col min="2" max="2" width="44" style="4" bestFit="1" customWidth="1"/>
    <col min="3" max="8" width="14.7265625" style="4" customWidth="1"/>
    <col min="9" max="9" width="33.54296875" style="4" bestFit="1" customWidth="1"/>
    <col min="10" max="10" width="14.7265625" style="4" customWidth="1"/>
    <col min="11" max="11" width="33.54296875" style="4" bestFit="1" customWidth="1"/>
    <col min="12" max="12" width="14.7265625" style="4" customWidth="1"/>
    <col min="13" max="13" width="14.26953125" style="4" customWidth="1"/>
  </cols>
  <sheetData>
    <row r="1" spans="1:13" x14ac:dyDescent="0.35">
      <c r="B1" s="3"/>
      <c r="C1" s="3"/>
      <c r="D1" s="3"/>
      <c r="E1" s="3"/>
      <c r="F1" s="3"/>
      <c r="G1" s="3"/>
      <c r="H1" s="3"/>
      <c r="I1" s="3"/>
      <c r="J1" s="3"/>
      <c r="L1" s="3"/>
    </row>
    <row r="2" spans="1:13" x14ac:dyDescent="0.35">
      <c r="B2" s="3"/>
      <c r="C2" s="3"/>
      <c r="D2" s="3" t="s">
        <v>210</v>
      </c>
      <c r="E2" s="3"/>
      <c r="F2" s="3"/>
      <c r="G2" s="3"/>
      <c r="H2" s="3"/>
      <c r="I2" s="3"/>
      <c r="J2" s="3"/>
      <c r="L2" s="3"/>
    </row>
    <row r="3" spans="1:13" x14ac:dyDescent="0.35">
      <c r="C3" s="2"/>
      <c r="D3" s="2"/>
      <c r="E3" s="2"/>
      <c r="F3" s="2"/>
      <c r="G3" s="2"/>
      <c r="H3" s="2"/>
      <c r="J3" s="2"/>
      <c r="L3" s="2"/>
    </row>
    <row r="4" spans="1:13" ht="15.5" x14ac:dyDescent="0.35">
      <c r="C4" s="88" t="s">
        <v>1</v>
      </c>
      <c r="D4" s="1648" t="s">
        <v>20</v>
      </c>
      <c r="E4" s="1649"/>
      <c r="F4" s="3"/>
      <c r="G4" s="3"/>
      <c r="H4" s="3"/>
      <c r="J4" s="3"/>
      <c r="L4" s="3"/>
    </row>
    <row r="5" spans="1:13" x14ac:dyDescent="0.35">
      <c r="A5" s="5"/>
      <c r="B5" s="5"/>
      <c r="C5" s="3"/>
      <c r="D5" s="3"/>
      <c r="E5" s="3"/>
      <c r="F5" s="3"/>
      <c r="G5" s="3"/>
      <c r="H5" s="3"/>
      <c r="I5" s="3"/>
      <c r="J5" s="3"/>
      <c r="L5" s="3"/>
    </row>
    <row r="6" spans="1:13" x14ac:dyDescent="0.35">
      <c r="A6" s="5"/>
      <c r="B6" s="5"/>
      <c r="C6" s="3"/>
      <c r="D6" s="3"/>
      <c r="E6" s="3"/>
      <c r="F6" s="3"/>
      <c r="G6" s="3"/>
      <c r="H6" s="3"/>
      <c r="I6" s="3"/>
      <c r="J6" s="3"/>
      <c r="L6" s="3"/>
    </row>
    <row r="7" spans="1:13" x14ac:dyDescent="0.35">
      <c r="A7" s="1650" t="s">
        <v>211</v>
      </c>
      <c r="B7" s="1651"/>
      <c r="C7" s="1651"/>
      <c r="D7" s="1651"/>
      <c r="E7" s="1651"/>
      <c r="F7" s="1651"/>
      <c r="G7" s="1651"/>
      <c r="H7" s="1651"/>
      <c r="I7" s="1651"/>
      <c r="J7" s="1651"/>
      <c r="K7" s="1651"/>
      <c r="L7" s="1652"/>
    </row>
    <row r="8" spans="1:13" x14ac:dyDescent="0.35">
      <c r="A8" s="1653"/>
      <c r="B8" s="1654"/>
      <c r="C8" s="1654"/>
      <c r="D8" s="1654"/>
      <c r="E8" s="1654"/>
      <c r="F8" s="1654"/>
      <c r="G8" s="1654"/>
      <c r="H8" s="1654"/>
      <c r="I8" s="1654"/>
      <c r="J8" s="1654"/>
      <c r="K8" s="1654"/>
      <c r="L8" s="1655"/>
    </row>
    <row r="9" spans="1:13" x14ac:dyDescent="0.35">
      <c r="A9" s="1653"/>
      <c r="B9" s="1654"/>
      <c r="C9" s="1654"/>
      <c r="D9" s="1654"/>
      <c r="E9" s="1654"/>
      <c r="F9" s="1654"/>
      <c r="G9" s="1654"/>
      <c r="H9" s="1654"/>
      <c r="I9" s="1654"/>
      <c r="J9" s="1654"/>
      <c r="K9" s="1654"/>
      <c r="L9" s="1655"/>
    </row>
    <row r="10" spans="1:13" x14ac:dyDescent="0.35">
      <c r="A10" s="1656"/>
      <c r="B10" s="1657"/>
      <c r="C10" s="1657"/>
      <c r="D10" s="1657"/>
      <c r="E10" s="1657"/>
      <c r="F10" s="1657"/>
      <c r="G10" s="1657"/>
      <c r="H10" s="1657"/>
      <c r="I10" s="1657"/>
      <c r="J10" s="1657"/>
      <c r="K10" s="1657"/>
      <c r="L10" s="1658"/>
    </row>
    <row r="11" spans="1:13" x14ac:dyDescent="0.35">
      <c r="A11" s="89"/>
      <c r="B11" s="89"/>
      <c r="C11" s="89"/>
      <c r="D11" s="89"/>
      <c r="E11" s="89"/>
      <c r="F11" s="89"/>
      <c r="G11" s="89"/>
      <c r="H11" s="89"/>
      <c r="I11" s="89"/>
      <c r="J11" s="89"/>
      <c r="K11" s="89"/>
      <c r="L11" s="89"/>
    </row>
    <row r="12" spans="1:13" x14ac:dyDescent="0.35">
      <c r="A12" s="89"/>
      <c r="B12" s="89"/>
      <c r="C12" s="89"/>
      <c r="D12" s="89"/>
      <c r="E12" s="89"/>
      <c r="H12" s="89"/>
      <c r="I12" s="89"/>
      <c r="J12" s="89"/>
      <c r="K12" s="89"/>
      <c r="L12" s="89"/>
    </row>
    <row r="13" spans="1:13" ht="15.5" x14ac:dyDescent="0.35">
      <c r="A13" s="1590" t="s">
        <v>212</v>
      </c>
      <c r="B13" s="1590"/>
      <c r="C13" s="1590"/>
      <c r="D13" s="1590"/>
      <c r="E13" s="89"/>
      <c r="F13" s="89"/>
      <c r="G13" s="90"/>
      <c r="H13" s="89"/>
      <c r="I13" s="89"/>
      <c r="J13" s="89"/>
      <c r="K13" s="89"/>
      <c r="L13" s="89"/>
    </row>
    <row r="14" spans="1:13" ht="15" thickBot="1" x14ac:dyDescent="0.4">
      <c r="A14" s="5"/>
      <c r="B14" s="5"/>
      <c r="C14" s="3"/>
      <c r="D14" s="3"/>
      <c r="E14" s="3"/>
      <c r="F14" s="3"/>
      <c r="G14" s="3"/>
      <c r="H14" s="3"/>
      <c r="I14" s="3"/>
      <c r="J14" s="3"/>
      <c r="L14" s="3"/>
    </row>
    <row r="15" spans="1:13" ht="15.5" x14ac:dyDescent="0.35">
      <c r="A15" s="1591" t="s">
        <v>3</v>
      </c>
      <c r="B15" s="1660" t="s">
        <v>21</v>
      </c>
      <c r="C15" s="1662" t="s">
        <v>397</v>
      </c>
      <c r="D15" s="1663"/>
      <c r="E15" s="1663"/>
      <c r="F15" s="1664" t="s">
        <v>213</v>
      </c>
      <c r="G15" s="1665"/>
      <c r="H15" s="1666"/>
      <c r="I15" s="1667" t="s">
        <v>214</v>
      </c>
      <c r="J15" s="1668"/>
      <c r="K15" s="1669" t="s">
        <v>215</v>
      </c>
      <c r="L15" s="1668"/>
      <c r="M15" s="1676" t="s">
        <v>216</v>
      </c>
    </row>
    <row r="16" spans="1:13" ht="26.25" customHeight="1" thickBot="1" x14ac:dyDescent="0.4">
      <c r="A16" s="1659"/>
      <c r="B16" s="1661"/>
      <c r="C16" s="91" t="s">
        <v>199</v>
      </c>
      <c r="D16" s="92" t="s">
        <v>200</v>
      </c>
      <c r="E16" s="93" t="s">
        <v>201</v>
      </c>
      <c r="F16" s="94" t="s">
        <v>199</v>
      </c>
      <c r="G16" s="95" t="s">
        <v>200</v>
      </c>
      <c r="H16" s="96" t="s">
        <v>201</v>
      </c>
      <c r="I16" s="97" t="s">
        <v>217</v>
      </c>
      <c r="J16" s="95" t="s">
        <v>218</v>
      </c>
      <c r="K16" s="98" t="s">
        <v>217</v>
      </c>
      <c r="L16" s="95" t="s">
        <v>218</v>
      </c>
      <c r="M16" s="1677"/>
    </row>
    <row r="17" spans="1:13" x14ac:dyDescent="0.35">
      <c r="A17" s="1672" t="str">
        <f>+'B) Reajuste Tarifas y Ocupación'!A9</f>
        <v>C. R. Faro Limar</v>
      </c>
      <c r="B17" s="304" t="str">
        <f>+'B) Reajuste Tarifas y Ocupación'!B9</f>
        <v>Cabañas</v>
      </c>
      <c r="C17" s="261">
        <f>+'B) Reajuste Tarifas y Ocupación'!M9</f>
        <v>66700</v>
      </c>
      <c r="D17" s="276">
        <f>+'B) Reajuste Tarifas y Ocupación'!N9</f>
        <v>90700</v>
      </c>
      <c r="E17" s="277">
        <f>+'B) Reajuste Tarifas y Ocupación'!O9</f>
        <v>98300</v>
      </c>
      <c r="F17" s="288">
        <f>IFERROR(C17/$M17,0)</f>
        <v>0</v>
      </c>
      <c r="G17" s="101">
        <f>IFERROR(D17/$M17,0)</f>
        <v>0</v>
      </c>
      <c r="H17" s="102">
        <f>IFERROR(E17/$M17,0)</f>
        <v>0</v>
      </c>
      <c r="I17" s="103"/>
      <c r="J17" s="104">
        <v>0</v>
      </c>
      <c r="K17" s="63"/>
      <c r="L17" s="105">
        <v>0</v>
      </c>
      <c r="M17" s="106">
        <f>AVERAGE(J17,L17)</f>
        <v>0</v>
      </c>
    </row>
    <row r="18" spans="1:13" x14ac:dyDescent="0.35">
      <c r="A18" s="1673"/>
      <c r="B18" s="305" t="str">
        <f>+'B) Reajuste Tarifas y Ocupación'!B10</f>
        <v>Late check-out o early check-in</v>
      </c>
      <c r="C18" s="303"/>
      <c r="D18" s="262"/>
      <c r="E18" s="263"/>
      <c r="F18" s="289"/>
      <c r="G18" s="108"/>
      <c r="H18" s="109"/>
      <c r="I18" s="550"/>
      <c r="J18" s="562">
        <v>0</v>
      </c>
      <c r="K18" s="549"/>
      <c r="L18" s="563">
        <v>0</v>
      </c>
      <c r="M18" s="111">
        <f>AVERAGE(J18,L18)</f>
        <v>0</v>
      </c>
    </row>
    <row r="19" spans="1:13" x14ac:dyDescent="0.35">
      <c r="A19" s="1673"/>
      <c r="B19" s="306" t="str">
        <f>+'B) Reajuste Tarifas y Ocupación'!B11</f>
        <v>Cabaña</v>
      </c>
      <c r="C19" s="266">
        <f>+'B) Reajuste Tarifas y Ocupación'!M11</f>
        <v>20100</v>
      </c>
      <c r="D19" s="264">
        <f>+'B) Reajuste Tarifas y Ocupación'!N11</f>
        <v>27300</v>
      </c>
      <c r="E19" s="265">
        <f>+'B) Reajuste Tarifas y Ocupación'!O11</f>
        <v>29500</v>
      </c>
      <c r="F19" s="290">
        <f>IFERROR(C19/$M19,0)</f>
        <v>0</v>
      </c>
      <c r="G19" s="112">
        <f t="shared" ref="G19:H28" si="0">IFERROR(D19/$M19,0)</f>
        <v>0</v>
      </c>
      <c r="H19" s="113">
        <f t="shared" si="0"/>
        <v>0</v>
      </c>
      <c r="I19" s="550"/>
      <c r="J19" s="562">
        <v>0</v>
      </c>
      <c r="K19" s="549"/>
      <c r="L19" s="563">
        <v>0</v>
      </c>
      <c r="M19" s="111">
        <f t="shared" ref="M19:M75" si="1">AVERAGE(J19,L19)</f>
        <v>0</v>
      </c>
    </row>
    <row r="20" spans="1:13" x14ac:dyDescent="0.35">
      <c r="A20" s="1673"/>
      <c r="B20" s="307" t="str">
        <f>+'B) Reajuste Tarifas y Ocupación'!B12</f>
        <v>Camping 5 P.</v>
      </c>
      <c r="C20" s="266">
        <f>+'B) Reajuste Tarifas y Ocupación'!M12</f>
        <v>37700</v>
      </c>
      <c r="D20" s="264">
        <f>+'B) Reajuste Tarifas y Ocupación'!N12</f>
        <v>51200</v>
      </c>
      <c r="E20" s="265">
        <f>+'B) Reajuste Tarifas y Ocupación'!O12</f>
        <v>55400</v>
      </c>
      <c r="F20" s="290">
        <f t="shared" ref="F20:F25" si="2">IFERROR(C20/$M20,0)</f>
        <v>0</v>
      </c>
      <c r="G20" s="112">
        <f t="shared" si="0"/>
        <v>0</v>
      </c>
      <c r="H20" s="113">
        <f t="shared" si="0"/>
        <v>0</v>
      </c>
      <c r="I20" s="550"/>
      <c r="J20" s="562">
        <v>0</v>
      </c>
      <c r="K20" s="549"/>
      <c r="L20" s="563">
        <v>0</v>
      </c>
      <c r="M20" s="111">
        <f t="shared" si="1"/>
        <v>0</v>
      </c>
    </row>
    <row r="21" spans="1:13" x14ac:dyDescent="0.35">
      <c r="A21" s="1673"/>
      <c r="B21" s="307" t="str">
        <f>+'B) Reajuste Tarifas y Ocupación'!B13</f>
        <v>Camping  (P. adicional)</v>
      </c>
      <c r="C21" s="266">
        <f>+'B) Reajuste Tarifas y Ocupación'!M13</f>
        <v>6600</v>
      </c>
      <c r="D21" s="264">
        <f>+'B) Reajuste Tarifas y Ocupación'!N13</f>
        <v>9000</v>
      </c>
      <c r="E21" s="265">
        <f>+'B) Reajuste Tarifas y Ocupación'!O13</f>
        <v>9800</v>
      </c>
      <c r="F21" s="290">
        <f t="shared" si="2"/>
        <v>0</v>
      </c>
      <c r="G21" s="112">
        <f t="shared" si="0"/>
        <v>0</v>
      </c>
      <c r="H21" s="113">
        <f t="shared" si="0"/>
        <v>0</v>
      </c>
      <c r="I21" s="550"/>
      <c r="J21" s="562">
        <v>0</v>
      </c>
      <c r="K21" s="549"/>
      <c r="L21" s="563">
        <v>0</v>
      </c>
      <c r="M21" s="111">
        <f t="shared" si="1"/>
        <v>0</v>
      </c>
    </row>
    <row r="22" spans="1:13" x14ac:dyDescent="0.35">
      <c r="A22" s="1673"/>
      <c r="B22" s="307" t="str">
        <f>+'B) Reajuste Tarifas y Ocupación'!B14</f>
        <v>Quincho chico 8 P.</v>
      </c>
      <c r="C22" s="266">
        <f>+'B) Reajuste Tarifas y Ocupación'!M14</f>
        <v>9400</v>
      </c>
      <c r="D22" s="264">
        <f>+'B) Reajuste Tarifas y Ocupación'!N14</f>
        <v>12600</v>
      </c>
      <c r="E22" s="265">
        <f>+'B) Reajuste Tarifas y Ocupación'!O14</f>
        <v>13600</v>
      </c>
      <c r="F22" s="290">
        <f>IFERROR(C22/$M22,0)</f>
        <v>0</v>
      </c>
      <c r="G22" s="112">
        <f t="shared" si="0"/>
        <v>0</v>
      </c>
      <c r="H22" s="113">
        <f t="shared" si="0"/>
        <v>0</v>
      </c>
      <c r="I22" s="550"/>
      <c r="J22" s="562">
        <v>0</v>
      </c>
      <c r="K22" s="549"/>
      <c r="L22" s="563">
        <v>0</v>
      </c>
      <c r="M22" s="111">
        <f>AVERAGE(J22,L22)</f>
        <v>0</v>
      </c>
    </row>
    <row r="23" spans="1:13" x14ac:dyDescent="0.35">
      <c r="A23" s="1673"/>
      <c r="B23" s="307" t="str">
        <f>+'B) Reajuste Tarifas y Ocupación'!B15</f>
        <v>Quincho chico (P. adicional)</v>
      </c>
      <c r="C23" s="266">
        <f>+'B) Reajuste Tarifas y Ocupación'!M15</f>
        <v>1700</v>
      </c>
      <c r="D23" s="264">
        <f>+'B) Reajuste Tarifas y Ocupación'!N15</f>
        <v>2300</v>
      </c>
      <c r="E23" s="265">
        <f>+'B) Reajuste Tarifas y Ocupación'!O15</f>
        <v>2600</v>
      </c>
      <c r="F23" s="290">
        <f>IFERROR(C23/$M23,0)</f>
        <v>0</v>
      </c>
      <c r="G23" s="112">
        <f t="shared" si="0"/>
        <v>0</v>
      </c>
      <c r="H23" s="113">
        <f t="shared" si="0"/>
        <v>0</v>
      </c>
      <c r="I23" s="550"/>
      <c r="J23" s="562">
        <v>0</v>
      </c>
      <c r="K23" s="549"/>
      <c r="L23" s="563">
        <v>0</v>
      </c>
      <c r="M23" s="111">
        <f t="shared" si="1"/>
        <v>0</v>
      </c>
    </row>
    <row r="24" spans="1:13" x14ac:dyDescent="0.35">
      <c r="A24" s="1673"/>
      <c r="B24" s="307" t="str">
        <f>+'B) Reajuste Tarifas y Ocupación'!B16</f>
        <v>Pérgola OF 60 P. Día</v>
      </c>
      <c r="C24" s="266">
        <f>+'B) Reajuste Tarifas y Ocupación'!M16</f>
        <v>72200</v>
      </c>
      <c r="D24" s="264">
        <f>+'B) Reajuste Tarifas y Ocupación'!N16</f>
        <v>98200</v>
      </c>
      <c r="E24" s="265">
        <f>+'B) Reajuste Tarifas y Ocupación'!O16</f>
        <v>106300</v>
      </c>
      <c r="F24" s="290">
        <f t="shared" si="2"/>
        <v>0</v>
      </c>
      <c r="G24" s="112">
        <f t="shared" si="0"/>
        <v>0</v>
      </c>
      <c r="H24" s="113">
        <f t="shared" si="0"/>
        <v>0</v>
      </c>
      <c r="I24" s="550"/>
      <c r="J24" s="562">
        <v>0</v>
      </c>
      <c r="K24" s="549"/>
      <c r="L24" s="563">
        <v>0</v>
      </c>
      <c r="M24" s="111">
        <f t="shared" si="1"/>
        <v>0</v>
      </c>
    </row>
    <row r="25" spans="1:13" ht="15" thickBot="1" x14ac:dyDescent="0.4">
      <c r="A25" s="1674"/>
      <c r="B25" s="307" t="str">
        <f>+'B) Reajuste Tarifas y Ocupación'!B17</f>
        <v>Pérgola OF 60 P. Noche</v>
      </c>
      <c r="C25" s="267">
        <f>+'B) Reajuste Tarifas y Ocupación'!M17</f>
        <v>138200</v>
      </c>
      <c r="D25" s="270">
        <f>+'B) Reajuste Tarifas y Ocupación'!N17</f>
        <v>187900</v>
      </c>
      <c r="E25" s="271">
        <f>+'B) Reajuste Tarifas y Ocupación'!O17</f>
        <v>203600</v>
      </c>
      <c r="F25" s="291">
        <f t="shared" si="2"/>
        <v>0</v>
      </c>
      <c r="G25" s="183">
        <f t="shared" si="0"/>
        <v>0</v>
      </c>
      <c r="H25" s="184">
        <f t="shared" si="0"/>
        <v>0</v>
      </c>
      <c r="I25" s="564"/>
      <c r="J25" s="565">
        <v>0</v>
      </c>
      <c r="K25" s="560"/>
      <c r="L25" s="566">
        <v>0</v>
      </c>
      <c r="M25" s="185">
        <f t="shared" si="1"/>
        <v>0</v>
      </c>
    </row>
    <row r="26" spans="1:13" x14ac:dyDescent="0.35">
      <c r="A26" s="1678" t="str">
        <f>+'B) Reajuste Tarifas y Ocupación'!A18</f>
        <v>Piscina C.R. Faro Limar</v>
      </c>
      <c r="B26" s="308" t="str">
        <f>+'B) Reajuste Tarifas y Ocupación'!B18</f>
        <v>Piscina adultos</v>
      </c>
      <c r="C26" s="260">
        <f>+'B) Reajuste Tarifas y Ocupación'!M18</f>
        <v>6500</v>
      </c>
      <c r="D26" s="186">
        <f>+'B) Reajuste Tarifas y Ocupación'!N18</f>
        <v>8900</v>
      </c>
      <c r="E26" s="186">
        <f>+'B) Reajuste Tarifas y Ocupación'!O18</f>
        <v>9700</v>
      </c>
      <c r="F26" s="100">
        <f>IFERROR(C26/$M26,0)</f>
        <v>0</v>
      </c>
      <c r="G26" s="188">
        <f t="shared" si="0"/>
        <v>0</v>
      </c>
      <c r="H26" s="292">
        <f t="shared" si="0"/>
        <v>0</v>
      </c>
      <c r="I26" s="623"/>
      <c r="J26" s="104">
        <v>0</v>
      </c>
      <c r="K26" s="297"/>
      <c r="L26" s="105">
        <v>0</v>
      </c>
      <c r="M26" s="106">
        <f t="shared" si="1"/>
        <v>0</v>
      </c>
    </row>
    <row r="27" spans="1:13" ht="15" thickBot="1" x14ac:dyDescent="0.4">
      <c r="A27" s="1679"/>
      <c r="B27" s="311" t="str">
        <f>+'B) Reajuste Tarifas y Ocupación'!B19</f>
        <v>Piscina niños</v>
      </c>
      <c r="C27" s="267">
        <f>+'B) Reajuste Tarifas y Ocupación'!M19</f>
        <v>5100</v>
      </c>
      <c r="D27" s="114">
        <f>+'B) Reajuste Tarifas y Ocupación'!N19</f>
        <v>6800</v>
      </c>
      <c r="E27" s="114">
        <f>+'B) Reajuste Tarifas y Ocupación'!O19</f>
        <v>7400</v>
      </c>
      <c r="F27" s="115">
        <f>IFERROR(C27/$M27,0)</f>
        <v>0</v>
      </c>
      <c r="G27" s="116">
        <f t="shared" si="0"/>
        <v>0</v>
      </c>
      <c r="H27" s="293">
        <f t="shared" si="0"/>
        <v>0</v>
      </c>
      <c r="I27" s="624"/>
      <c r="J27" s="298">
        <v>0</v>
      </c>
      <c r="K27" s="247"/>
      <c r="L27" s="119">
        <v>0</v>
      </c>
      <c r="M27" s="268">
        <f>AVERAGE(J27,L27)</f>
        <v>0</v>
      </c>
    </row>
    <row r="28" spans="1:13" x14ac:dyDescent="0.35">
      <c r="A28" s="1672" t="str">
        <f>+'B) Reajuste Tarifas y Ocupación'!A20</f>
        <v>Cabañas Mamiña</v>
      </c>
      <c r="B28" s="308" t="str">
        <f>+'B) Reajuste Tarifas y Ocupación'!B20</f>
        <v>Cabaña Mamiña</v>
      </c>
      <c r="C28" s="261">
        <f>+'B) Reajuste Tarifas y Ocupación'!M20</f>
        <v>55500</v>
      </c>
      <c r="D28" s="99">
        <f>+'B) Reajuste Tarifas y Ocupación'!N20</f>
        <v>75500</v>
      </c>
      <c r="E28" s="99">
        <f>+'B) Reajuste Tarifas y Ocupación'!O20</f>
        <v>81800</v>
      </c>
      <c r="F28" s="100">
        <f>IFERROR(C28/$M28,0)</f>
        <v>0</v>
      </c>
      <c r="G28" s="188">
        <f t="shared" si="0"/>
        <v>0</v>
      </c>
      <c r="H28" s="189">
        <f t="shared" si="0"/>
        <v>0</v>
      </c>
      <c r="I28" s="245"/>
      <c r="J28" s="294">
        <v>0</v>
      </c>
      <c r="K28" s="246"/>
      <c r="L28" s="295">
        <v>0</v>
      </c>
      <c r="M28" s="296">
        <f t="shared" si="1"/>
        <v>0</v>
      </c>
    </row>
    <row r="29" spans="1:13" x14ac:dyDescent="0.35">
      <c r="A29" s="1673"/>
      <c r="B29" s="312" t="str">
        <f>+'B) Reajuste Tarifas y Ocupación'!B21</f>
        <v>Early check-in/Late check-out</v>
      </c>
      <c r="C29" s="303"/>
      <c r="D29" s="74"/>
      <c r="E29" s="75"/>
      <c r="F29" s="107"/>
      <c r="G29" s="108"/>
      <c r="H29" s="109"/>
      <c r="I29" s="190"/>
      <c r="J29" s="123">
        <v>0</v>
      </c>
      <c r="K29" s="64"/>
      <c r="L29" s="110">
        <v>0</v>
      </c>
      <c r="M29" s="111">
        <f t="shared" si="1"/>
        <v>0</v>
      </c>
    </row>
    <row r="30" spans="1:13" ht="15" thickBot="1" x14ac:dyDescent="0.4">
      <c r="A30" s="1674"/>
      <c r="B30" s="314" t="str">
        <f>+'B) Reajuste Tarifas y Ocupación'!B22</f>
        <v>Cabaña</v>
      </c>
      <c r="C30" s="310">
        <f>+'B) Reajuste Tarifas y Ocupación'!M22</f>
        <v>16700</v>
      </c>
      <c r="D30" s="182">
        <f>+'B) Reajuste Tarifas y Ocupación'!N22</f>
        <v>22700</v>
      </c>
      <c r="E30" s="182">
        <f>+'B) Reajuste Tarifas y Ocupación'!O22</f>
        <v>24600</v>
      </c>
      <c r="F30" s="115">
        <f t="shared" ref="F30:H45" si="3">IFERROR(C30/$M30,0)</f>
        <v>0</v>
      </c>
      <c r="G30" s="116">
        <f t="shared" si="3"/>
        <v>0</v>
      </c>
      <c r="H30" s="117">
        <f t="shared" si="3"/>
        <v>0</v>
      </c>
      <c r="I30" s="124"/>
      <c r="J30" s="125">
        <v>0</v>
      </c>
      <c r="K30" s="65"/>
      <c r="L30" s="119">
        <v>0</v>
      </c>
      <c r="M30" s="120">
        <f t="shared" si="1"/>
        <v>0</v>
      </c>
    </row>
    <row r="31" spans="1:13" x14ac:dyDescent="0.35">
      <c r="A31" s="1670" t="str">
        <f>+'B) Reajuste Tarifas y Ocupación'!A23</f>
        <v>C.R. Huayquique</v>
      </c>
      <c r="B31" s="308" t="str">
        <f>+'B) Reajuste Tarifas y Ocupación'!B23</f>
        <v>Camping 5 P.</v>
      </c>
      <c r="C31" s="261">
        <f>+'B) Reajuste Tarifas y Ocupación'!M23</f>
        <v>35600</v>
      </c>
      <c r="D31" s="276">
        <f>+'B) Reajuste Tarifas y Ocupación'!N23</f>
        <v>48300</v>
      </c>
      <c r="E31" s="277">
        <f>+'B) Reajuste Tarifas y Ocupación'!O23</f>
        <v>52300</v>
      </c>
      <c r="F31" s="299">
        <f t="shared" ref="F31:F47" si="4">IFERROR(C31/$M31,0)</f>
        <v>0</v>
      </c>
      <c r="G31" s="101">
        <f t="shared" si="3"/>
        <v>0</v>
      </c>
      <c r="H31" s="102">
        <f t="shared" si="3"/>
        <v>0</v>
      </c>
      <c r="I31" s="126"/>
      <c r="J31" s="127">
        <v>0</v>
      </c>
      <c r="K31" s="63"/>
      <c r="L31" s="105">
        <v>0</v>
      </c>
      <c r="M31" s="106">
        <f t="shared" si="1"/>
        <v>0</v>
      </c>
    </row>
    <row r="32" spans="1:13" x14ac:dyDescent="0.35">
      <c r="A32" s="1675"/>
      <c r="B32" s="311" t="str">
        <f>+'B) Reajuste Tarifas y Ocupación'!B24</f>
        <v>Camping (P. adicional)</v>
      </c>
      <c r="C32" s="266">
        <f>+'B) Reajuste Tarifas y Ocupación'!M24</f>
        <v>7300</v>
      </c>
      <c r="D32" s="264">
        <f>+'B) Reajuste Tarifas y Ocupación'!N24</f>
        <v>9800</v>
      </c>
      <c r="E32" s="265">
        <f>+'B) Reajuste Tarifas y Ocupación'!O24</f>
        <v>10600</v>
      </c>
      <c r="F32" s="290">
        <f t="shared" si="4"/>
        <v>0</v>
      </c>
      <c r="G32" s="112">
        <f t="shared" si="3"/>
        <v>0</v>
      </c>
      <c r="H32" s="113">
        <f t="shared" si="3"/>
        <v>0</v>
      </c>
      <c r="I32" s="85"/>
      <c r="J32" s="123">
        <v>0</v>
      </c>
      <c r="K32" s="64"/>
      <c r="L32" s="110">
        <v>0</v>
      </c>
      <c r="M32" s="111">
        <f t="shared" si="1"/>
        <v>0</v>
      </c>
    </row>
    <row r="33" spans="1:13" x14ac:dyDescent="0.35">
      <c r="A33" s="1675"/>
      <c r="B33" s="311" t="str">
        <f>+'B) Reajuste Tarifas y Ocupación'!B25</f>
        <v>Quincho chico 8 P.</v>
      </c>
      <c r="C33" s="266">
        <f>+'B) Reajuste Tarifas y Ocupación'!M25</f>
        <v>15600</v>
      </c>
      <c r="D33" s="264">
        <f>+'B) Reajuste Tarifas y Ocupación'!N25</f>
        <v>22300</v>
      </c>
      <c r="E33" s="265">
        <f>+'B) Reajuste Tarifas y Ocupación'!O25</f>
        <v>24200</v>
      </c>
      <c r="F33" s="290">
        <f t="shared" si="4"/>
        <v>0.89142857142857146</v>
      </c>
      <c r="G33" s="112">
        <f t="shared" si="3"/>
        <v>1.2742857142857142</v>
      </c>
      <c r="H33" s="113">
        <f t="shared" si="3"/>
        <v>1.3828571428571428</v>
      </c>
      <c r="I33" s="85" t="s">
        <v>429</v>
      </c>
      <c r="J33" s="128">
        <v>35000</v>
      </c>
      <c r="K33" s="64"/>
      <c r="L33" s="129">
        <v>0</v>
      </c>
      <c r="M33" s="111">
        <f t="shared" si="1"/>
        <v>17500</v>
      </c>
    </row>
    <row r="34" spans="1:13" x14ac:dyDescent="0.35">
      <c r="A34" s="1675"/>
      <c r="B34" s="311" t="str">
        <f>+'B) Reajuste Tarifas y Ocupación'!B26</f>
        <v>Quincho chico  8 P (P. adicional)</v>
      </c>
      <c r="C34" s="266">
        <f>+'B) Reajuste Tarifas y Ocupación'!M26</f>
        <v>1900</v>
      </c>
      <c r="D34" s="264">
        <f>+'B) Reajuste Tarifas y Ocupación'!N26</f>
        <v>2700</v>
      </c>
      <c r="E34" s="265">
        <f>+'B) Reajuste Tarifas y Ocupación'!O26</f>
        <v>2900</v>
      </c>
      <c r="F34" s="290">
        <f t="shared" si="4"/>
        <v>0</v>
      </c>
      <c r="G34" s="112">
        <f t="shared" si="3"/>
        <v>0</v>
      </c>
      <c r="H34" s="113">
        <f t="shared" si="3"/>
        <v>0</v>
      </c>
      <c r="I34" s="85"/>
      <c r="J34" s="123">
        <v>0</v>
      </c>
      <c r="K34" s="64"/>
      <c r="L34" s="110">
        <v>0</v>
      </c>
      <c r="M34" s="111">
        <f t="shared" si="1"/>
        <v>0</v>
      </c>
    </row>
    <row r="35" spans="1:13" x14ac:dyDescent="0.35">
      <c r="A35" s="1675"/>
      <c r="B35" s="311" t="str">
        <f>+'B) Reajuste Tarifas y Ocupación'!B27</f>
        <v>Quincho grande 30 P.  Día</v>
      </c>
      <c r="C35" s="266">
        <f>+'B) Reajuste Tarifas y Ocupación'!M27</f>
        <v>52000</v>
      </c>
      <c r="D35" s="264">
        <f>+'B) Reajuste Tarifas y Ocupación'!N27</f>
        <v>70700</v>
      </c>
      <c r="E35" s="265">
        <f>+'B) Reajuste Tarifas y Ocupación'!O27</f>
        <v>76500</v>
      </c>
      <c r="F35" s="290">
        <f t="shared" si="4"/>
        <v>0</v>
      </c>
      <c r="G35" s="112">
        <f t="shared" si="3"/>
        <v>0</v>
      </c>
      <c r="H35" s="113">
        <f t="shared" si="3"/>
        <v>0</v>
      </c>
      <c r="I35" s="85"/>
      <c r="J35" s="123">
        <v>0</v>
      </c>
      <c r="K35" s="64"/>
      <c r="L35" s="110">
        <v>0</v>
      </c>
      <c r="M35" s="111">
        <f t="shared" si="1"/>
        <v>0</v>
      </c>
    </row>
    <row r="36" spans="1:13" x14ac:dyDescent="0.35">
      <c r="A36" s="1675"/>
      <c r="B36" s="311" t="str">
        <f>+'B) Reajuste Tarifas y Ocupación'!B28</f>
        <v>Quincho grande 30 P. (P. adicional) Día</v>
      </c>
      <c r="C36" s="266">
        <f>+'B) Reajuste Tarifas y Ocupación'!M28</f>
        <v>2500</v>
      </c>
      <c r="D36" s="264">
        <f>+'B) Reajuste Tarifas y Ocupación'!N28</f>
        <v>31400</v>
      </c>
      <c r="E36" s="265">
        <f>+'B) Reajuste Tarifas y Ocupación'!O28</f>
        <v>3500</v>
      </c>
      <c r="F36" s="290">
        <f t="shared" si="4"/>
        <v>0</v>
      </c>
      <c r="G36" s="112">
        <f t="shared" si="3"/>
        <v>0</v>
      </c>
      <c r="H36" s="113">
        <f t="shared" si="3"/>
        <v>0</v>
      </c>
      <c r="I36" s="85"/>
      <c r="J36" s="123">
        <v>0</v>
      </c>
      <c r="K36" s="64"/>
      <c r="L36" s="110">
        <v>0</v>
      </c>
      <c r="M36" s="111">
        <f t="shared" si="1"/>
        <v>0</v>
      </c>
    </row>
    <row r="37" spans="1:13" x14ac:dyDescent="0.35">
      <c r="A37" s="1675"/>
      <c r="B37" s="311" t="str">
        <f>+'B) Reajuste Tarifas y Ocupación'!B29</f>
        <v>Quincho grande 30 P.  Noche</v>
      </c>
      <c r="C37" s="266">
        <f>+'B) Reajuste Tarifas y Ocupación'!M29</f>
        <v>100600</v>
      </c>
      <c r="D37" s="264">
        <f>+'B) Reajuste Tarifas y Ocupación'!N29</f>
        <v>136800</v>
      </c>
      <c r="E37" s="265">
        <f>+'B) Reajuste Tarifas y Ocupación'!O29</f>
        <v>148200</v>
      </c>
      <c r="F37" s="290">
        <f t="shared" si="4"/>
        <v>0</v>
      </c>
      <c r="G37" s="112">
        <f t="shared" si="3"/>
        <v>0</v>
      </c>
      <c r="H37" s="113">
        <f t="shared" si="3"/>
        <v>0</v>
      </c>
      <c r="I37" s="85"/>
      <c r="J37" s="123">
        <v>0</v>
      </c>
      <c r="K37" s="64"/>
      <c r="L37" s="110">
        <v>0</v>
      </c>
      <c r="M37" s="111">
        <f t="shared" si="1"/>
        <v>0</v>
      </c>
    </row>
    <row r="38" spans="1:13" x14ac:dyDescent="0.35">
      <c r="A38" s="1675"/>
      <c r="B38" s="311" t="str">
        <f>+'B) Reajuste Tarifas y Ocupación'!B30</f>
        <v>Quincho grande 30 P. (P. adicional) Noche</v>
      </c>
      <c r="C38" s="266">
        <f>+'B) Reajuste Tarifas y Ocupación'!M30</f>
        <v>4100</v>
      </c>
      <c r="D38" s="264">
        <f>+'B) Reajuste Tarifas y Ocupación'!N30</f>
        <v>5600</v>
      </c>
      <c r="E38" s="265">
        <f>+'B) Reajuste Tarifas y Ocupación'!O30</f>
        <v>6100</v>
      </c>
      <c r="F38" s="290">
        <f t="shared" si="4"/>
        <v>0</v>
      </c>
      <c r="G38" s="112">
        <f t="shared" si="3"/>
        <v>0</v>
      </c>
      <c r="H38" s="113">
        <f>IFERROR(E38/$M38,0)</f>
        <v>0</v>
      </c>
      <c r="I38" s="85"/>
      <c r="J38" s="123">
        <v>0</v>
      </c>
      <c r="K38" s="64"/>
      <c r="L38" s="110">
        <v>0</v>
      </c>
      <c r="M38" s="111">
        <f t="shared" si="1"/>
        <v>0</v>
      </c>
    </row>
    <row r="39" spans="1:13" x14ac:dyDescent="0.35">
      <c r="A39" s="1675"/>
      <c r="B39" s="311" t="str">
        <f>+'B) Reajuste Tarifas y Ocupación'!B31</f>
        <v>Pérgola OF 60 P. Día</v>
      </c>
      <c r="C39" s="266">
        <f>+'B) Reajuste Tarifas y Ocupación'!M31</f>
        <v>134800</v>
      </c>
      <c r="D39" s="264">
        <f>+'B) Reajuste Tarifas y Ocupación'!N31</f>
        <v>183200</v>
      </c>
      <c r="E39" s="265">
        <f>+'B) Reajuste Tarifas y Ocupación'!O31</f>
        <v>198500</v>
      </c>
      <c r="F39" s="290">
        <f t="shared" si="4"/>
        <v>0</v>
      </c>
      <c r="G39" s="112">
        <f t="shared" si="3"/>
        <v>0</v>
      </c>
      <c r="H39" s="113">
        <f t="shared" si="3"/>
        <v>0</v>
      </c>
      <c r="I39" s="85"/>
      <c r="J39" s="123">
        <v>0</v>
      </c>
      <c r="K39" s="64"/>
      <c r="L39" s="110">
        <v>0</v>
      </c>
      <c r="M39" s="111">
        <f t="shared" si="1"/>
        <v>0</v>
      </c>
    </row>
    <row r="40" spans="1:13" x14ac:dyDescent="0.35">
      <c r="A40" s="1675"/>
      <c r="B40" s="311" t="str">
        <f>+'B) Reajuste Tarifas y Ocupación'!B32</f>
        <v>Pérgola OF 60 P. Noche</v>
      </c>
      <c r="C40" s="266">
        <f>+'B) Reajuste Tarifas y Ocupación'!M32</f>
        <v>243400</v>
      </c>
      <c r="D40" s="264">
        <f>+'B) Reajuste Tarifas y Ocupación'!N32</f>
        <v>331100</v>
      </c>
      <c r="E40" s="265">
        <f>+'B) Reajuste Tarifas y Ocupación'!O32</f>
        <v>358700</v>
      </c>
      <c r="F40" s="290">
        <f t="shared" si="4"/>
        <v>0</v>
      </c>
      <c r="G40" s="112">
        <f t="shared" si="3"/>
        <v>0</v>
      </c>
      <c r="H40" s="113">
        <f t="shared" si="3"/>
        <v>0</v>
      </c>
      <c r="I40" s="85"/>
      <c r="J40" s="123">
        <v>0</v>
      </c>
      <c r="K40" s="64"/>
      <c r="L40" s="110">
        <v>0</v>
      </c>
      <c r="M40" s="111">
        <f t="shared" si="1"/>
        <v>0</v>
      </c>
    </row>
    <row r="41" spans="1:13" x14ac:dyDescent="0.35">
      <c r="A41" s="1675"/>
      <c r="B41" s="311" t="str">
        <f>+'B) Reajuste Tarifas y Ocupación'!B33</f>
        <v>Pérgola GM 100 P. Día</v>
      </c>
      <c r="C41" s="266">
        <f>+'B) Reajuste Tarifas y Ocupación'!M33</f>
        <v>157100</v>
      </c>
      <c r="D41" s="264">
        <f>+'B) Reajuste Tarifas y Ocupación'!N33</f>
        <v>213600</v>
      </c>
      <c r="E41" s="265">
        <f>+'B) Reajuste Tarifas y Ocupación'!O33</f>
        <v>231400</v>
      </c>
      <c r="F41" s="290">
        <f t="shared" si="4"/>
        <v>1.2567999999999999</v>
      </c>
      <c r="G41" s="112">
        <f t="shared" si="3"/>
        <v>1.7088000000000001</v>
      </c>
      <c r="H41" s="113">
        <f t="shared" si="3"/>
        <v>1.8512</v>
      </c>
      <c r="I41" s="85" t="s">
        <v>429</v>
      </c>
      <c r="J41" s="123">
        <v>250000</v>
      </c>
      <c r="K41" s="64"/>
      <c r="L41" s="110">
        <v>0</v>
      </c>
      <c r="M41" s="111">
        <f t="shared" si="1"/>
        <v>125000</v>
      </c>
    </row>
    <row r="42" spans="1:13" x14ac:dyDescent="0.35">
      <c r="A42" s="1675"/>
      <c r="B42" s="311" t="str">
        <f>+'B) Reajuste Tarifas y Ocupación'!B34</f>
        <v>Pérgola GM 100 P. (P. adicional) Día</v>
      </c>
      <c r="C42" s="266">
        <f>+'B) Reajuste Tarifas y Ocupación'!M34</f>
        <v>8600</v>
      </c>
      <c r="D42" s="264">
        <f>+'B) Reajuste Tarifas y Ocupación'!N34</f>
        <v>11800</v>
      </c>
      <c r="E42" s="265">
        <f>+'B) Reajuste Tarifas y Ocupación'!O34</f>
        <v>12700</v>
      </c>
      <c r="F42" s="290">
        <f t="shared" si="4"/>
        <v>0</v>
      </c>
      <c r="G42" s="112">
        <f t="shared" si="3"/>
        <v>0</v>
      </c>
      <c r="H42" s="113">
        <f t="shared" si="3"/>
        <v>0</v>
      </c>
      <c r="I42" s="85"/>
      <c r="J42" s="123">
        <v>0</v>
      </c>
      <c r="K42" s="64"/>
      <c r="L42" s="110">
        <v>0</v>
      </c>
      <c r="M42" s="111">
        <f t="shared" si="1"/>
        <v>0</v>
      </c>
    </row>
    <row r="43" spans="1:13" x14ac:dyDescent="0.35">
      <c r="A43" s="1675"/>
      <c r="B43" s="311" t="str">
        <f>+'B) Reajuste Tarifas y Ocupación'!B35</f>
        <v>Pérgola GM 100 P. Noche</v>
      </c>
      <c r="C43" s="266">
        <f>+'B) Reajuste Tarifas y Ocupación'!M35</f>
        <v>264100</v>
      </c>
      <c r="D43" s="264">
        <f>+'B) Reajuste Tarifas y Ocupación'!N35</f>
        <v>359100</v>
      </c>
      <c r="E43" s="265">
        <f>+'B) Reajuste Tarifas y Ocupación'!O35</f>
        <v>389100</v>
      </c>
      <c r="F43" s="290">
        <f t="shared" si="4"/>
        <v>0.81261538461538463</v>
      </c>
      <c r="G43" s="112">
        <f t="shared" si="3"/>
        <v>1.1049230769230769</v>
      </c>
      <c r="H43" s="113">
        <f t="shared" si="3"/>
        <v>1.1972307692307693</v>
      </c>
      <c r="I43" s="85" t="s">
        <v>429</v>
      </c>
      <c r="J43" s="123">
        <v>650000</v>
      </c>
      <c r="K43" s="130"/>
      <c r="L43" s="110">
        <v>0</v>
      </c>
      <c r="M43" s="111">
        <f t="shared" si="1"/>
        <v>325000</v>
      </c>
    </row>
    <row r="44" spans="1:13" x14ac:dyDescent="0.35">
      <c r="A44" s="1675"/>
      <c r="B44" s="311" t="str">
        <f>+'B) Reajuste Tarifas y Ocupación'!B36</f>
        <v>Pérgola GM 100 P. (P. adicional) Noche</v>
      </c>
      <c r="C44" s="266">
        <f>+'B) Reajuste Tarifas y Ocupación'!M36</f>
        <v>10200</v>
      </c>
      <c r="D44" s="264">
        <f>+'B) Reajuste Tarifas y Ocupación'!N36</f>
        <v>13800</v>
      </c>
      <c r="E44" s="265">
        <f>+'B) Reajuste Tarifas y Ocupación'!O36</f>
        <v>15000</v>
      </c>
      <c r="F44" s="290">
        <f t="shared" si="4"/>
        <v>0</v>
      </c>
      <c r="G44" s="112">
        <f t="shared" si="3"/>
        <v>0</v>
      </c>
      <c r="H44" s="113">
        <f t="shared" si="3"/>
        <v>0</v>
      </c>
      <c r="I44" s="62"/>
      <c r="J44" s="68">
        <v>0</v>
      </c>
      <c r="K44" s="64"/>
      <c r="L44" s="110">
        <v>0</v>
      </c>
      <c r="M44" s="111">
        <f t="shared" si="1"/>
        <v>0</v>
      </c>
    </row>
    <row r="45" spans="1:13" x14ac:dyDescent="0.35">
      <c r="A45" s="1675"/>
      <c r="B45" s="311" t="str">
        <f>+'B) Reajuste Tarifas y Ocupación'!B37</f>
        <v>Cancha pasto sintético (Diurno)</v>
      </c>
      <c r="C45" s="266">
        <f>+'B) Reajuste Tarifas y Ocupación'!M37</f>
        <v>37400</v>
      </c>
      <c r="D45" s="264">
        <f>+'B) Reajuste Tarifas y Ocupación'!N37</f>
        <v>50800</v>
      </c>
      <c r="E45" s="265">
        <f>+'B) Reajuste Tarifas y Ocupación'!O37</f>
        <v>55000</v>
      </c>
      <c r="F45" s="290">
        <f t="shared" si="4"/>
        <v>0</v>
      </c>
      <c r="G45" s="112">
        <f t="shared" si="3"/>
        <v>0</v>
      </c>
      <c r="H45" s="113">
        <f t="shared" si="3"/>
        <v>0</v>
      </c>
      <c r="I45" s="62"/>
      <c r="J45" s="68">
        <v>0</v>
      </c>
      <c r="K45" s="64"/>
      <c r="L45" s="110">
        <v>0</v>
      </c>
      <c r="M45" s="111">
        <f t="shared" si="1"/>
        <v>0</v>
      </c>
    </row>
    <row r="46" spans="1:13" ht="15" thickBot="1" x14ac:dyDescent="0.4">
      <c r="A46" s="1671"/>
      <c r="B46" s="311" t="str">
        <f>+'B) Reajuste Tarifas y Ocupación'!B38</f>
        <v>Cancha pasto sintético (Nocturno)</v>
      </c>
      <c r="C46" s="310">
        <f>+'B) Reajuste Tarifas y Ocupación'!M38</f>
        <v>49500</v>
      </c>
      <c r="D46" s="275">
        <f>+'B) Reajuste Tarifas y Ocupación'!N38</f>
        <v>67200</v>
      </c>
      <c r="E46" s="301">
        <f>+'B) Reajuste Tarifas y Ocupación'!O38</f>
        <v>72900</v>
      </c>
      <c r="F46" s="300">
        <f t="shared" si="4"/>
        <v>0</v>
      </c>
      <c r="G46" s="116">
        <f>IFERROR(D46/$M46,0)</f>
        <v>0</v>
      </c>
      <c r="H46" s="117">
        <f>IFERROR(E46/$M46,0)</f>
        <v>0</v>
      </c>
      <c r="I46" s="60"/>
      <c r="J46" s="118">
        <v>0</v>
      </c>
      <c r="K46" s="65"/>
      <c r="L46" s="119">
        <v>0</v>
      </c>
      <c r="M46" s="120">
        <f t="shared" si="1"/>
        <v>0</v>
      </c>
    </row>
    <row r="47" spans="1:13" ht="15" thickBot="1" x14ac:dyDescent="0.4">
      <c r="A47" s="1672" t="str">
        <f>+'B) Reajuste Tarifas y Ocupación'!A39</f>
        <v>Piscina C.R. Huayquique (Oficiales)</v>
      </c>
      <c r="B47" s="308" t="str">
        <f>+'B) Reajuste Tarifas y Ocupación'!B39</f>
        <v>Piscina adultos</v>
      </c>
      <c r="C47" s="261">
        <f>+'B) Reajuste Tarifas y Ocupación'!M39</f>
        <v>6500</v>
      </c>
      <c r="D47" s="276">
        <f>+'B) Reajuste Tarifas y Ocupación'!N39</f>
        <v>8900</v>
      </c>
      <c r="E47" s="277">
        <f>+'B) Reajuste Tarifas y Ocupación'!O39</f>
        <v>9700</v>
      </c>
      <c r="F47" s="299">
        <f t="shared" si="4"/>
        <v>3.25</v>
      </c>
      <c r="G47" s="101">
        <f>IFERROR(D47/$M47,0)</f>
        <v>4.45</v>
      </c>
      <c r="H47" s="102">
        <f>IFERROR(E47/$M47,0)</f>
        <v>4.8499999999999996</v>
      </c>
      <c r="I47" s="85" t="s">
        <v>429</v>
      </c>
      <c r="J47" s="104">
        <v>4000</v>
      </c>
      <c r="K47" s="63"/>
      <c r="L47" s="105">
        <v>0</v>
      </c>
      <c r="M47" s="106">
        <f t="shared" si="1"/>
        <v>2000</v>
      </c>
    </row>
    <row r="48" spans="1:13" ht="15" thickBot="1" x14ac:dyDescent="0.4">
      <c r="A48" s="1674"/>
      <c r="B48" s="309" t="str">
        <f>+'B) Reajuste Tarifas y Ocupación'!B40</f>
        <v xml:space="preserve">Piscina niño </v>
      </c>
      <c r="C48" s="267">
        <f>+'B) Reajuste Tarifas y Ocupación'!M40</f>
        <v>5100</v>
      </c>
      <c r="D48" s="270">
        <f>+'B) Reajuste Tarifas y Ocupación'!N40</f>
        <v>6800</v>
      </c>
      <c r="E48" s="271">
        <f>+'B) Reajuste Tarifas y Ocupación'!O40</f>
        <v>7400</v>
      </c>
      <c r="F48" s="290">
        <f t="shared" ref="F48:H51" si="5">IFERROR(C48/$M48,0)</f>
        <v>2.5499999999999998</v>
      </c>
      <c r="G48" s="112">
        <f t="shared" si="5"/>
        <v>3.4</v>
      </c>
      <c r="H48" s="113">
        <f t="shared" si="5"/>
        <v>3.7</v>
      </c>
      <c r="I48" s="85" t="s">
        <v>429</v>
      </c>
      <c r="J48" s="104">
        <v>4000</v>
      </c>
      <c r="K48" s="65"/>
      <c r="L48" s="119">
        <v>0</v>
      </c>
      <c r="M48" s="120">
        <f t="shared" si="1"/>
        <v>2000</v>
      </c>
    </row>
    <row r="49" spans="1:13" ht="15" thickBot="1" x14ac:dyDescent="0.4">
      <c r="A49" s="1670" t="str">
        <f>+'B) Reajuste Tarifas y Ocupación'!A41</f>
        <v>Piscina C.R. Huayquique (Gente de Mar)</v>
      </c>
      <c r="B49" s="308" t="str">
        <f>+'B) Reajuste Tarifas y Ocupación'!B41</f>
        <v>Piscina adultos</v>
      </c>
      <c r="C49" s="261">
        <f>+'B) Reajuste Tarifas y Ocupación'!M41</f>
        <v>6200</v>
      </c>
      <c r="D49" s="276">
        <f>+'B) Reajuste Tarifas y Ocupación'!N41</f>
        <v>8400</v>
      </c>
      <c r="E49" s="277">
        <f>+'B) Reajuste Tarifas y Ocupación'!O41</f>
        <v>9100</v>
      </c>
      <c r="F49" s="299">
        <f>IFERROR(C49/$M49,0)</f>
        <v>3.1</v>
      </c>
      <c r="G49" s="101">
        <f t="shared" si="5"/>
        <v>4.2</v>
      </c>
      <c r="H49" s="102">
        <f t="shared" si="5"/>
        <v>4.55</v>
      </c>
      <c r="I49" s="85" t="s">
        <v>429</v>
      </c>
      <c r="J49" s="104">
        <v>4000</v>
      </c>
      <c r="K49" s="63"/>
      <c r="L49" s="105">
        <v>0</v>
      </c>
      <c r="M49" s="106">
        <f t="shared" si="1"/>
        <v>2000</v>
      </c>
    </row>
    <row r="50" spans="1:13" ht="15" thickBot="1" x14ac:dyDescent="0.4">
      <c r="A50" s="1671"/>
      <c r="B50" s="309" t="str">
        <f>+'B) Reajuste Tarifas y Ocupación'!B42</f>
        <v xml:space="preserve">Piscina niño </v>
      </c>
      <c r="C50" s="310">
        <f>+'B) Reajuste Tarifas y Ocupación'!M42</f>
        <v>5000</v>
      </c>
      <c r="D50" s="275">
        <f>+'B) Reajuste Tarifas y Ocupación'!N42</f>
        <v>6600</v>
      </c>
      <c r="E50" s="301">
        <f>+'B) Reajuste Tarifas y Ocupación'!O42</f>
        <v>7300</v>
      </c>
      <c r="F50" s="290">
        <f>IFERROR(C50/$M50,0)</f>
        <v>2.5</v>
      </c>
      <c r="G50" s="112">
        <f t="shared" si="5"/>
        <v>3.3</v>
      </c>
      <c r="H50" s="113">
        <f t="shared" si="5"/>
        <v>3.65</v>
      </c>
      <c r="I50" s="85" t="s">
        <v>429</v>
      </c>
      <c r="J50" s="104">
        <v>4000</v>
      </c>
      <c r="K50" s="65"/>
      <c r="L50" s="119">
        <v>0</v>
      </c>
      <c r="M50" s="120">
        <f t="shared" si="1"/>
        <v>2000</v>
      </c>
    </row>
    <row r="51" spans="1:13" x14ac:dyDescent="0.35">
      <c r="A51" s="1672" t="str">
        <f>+'B) Reajuste Tarifas y Ocupación'!A43</f>
        <v>Cabañas Hornitos</v>
      </c>
      <c r="B51" s="308" t="str">
        <f>+'B) Reajuste Tarifas y Ocupación'!B43</f>
        <v>Cabaña Hornitos</v>
      </c>
      <c r="C51" s="261">
        <f>+'B) Reajuste Tarifas y Ocupación'!M43</f>
        <v>66400</v>
      </c>
      <c r="D51" s="276">
        <f>+'B) Reajuste Tarifas y Ocupación'!N43</f>
        <v>90200</v>
      </c>
      <c r="E51" s="277">
        <f>+'B) Reajuste Tarifas y Ocupación'!O43</f>
        <v>97800</v>
      </c>
      <c r="F51" s="299">
        <f>IFERROR(C51/$M51,0)</f>
        <v>0</v>
      </c>
      <c r="G51" s="101">
        <f t="shared" si="5"/>
        <v>0</v>
      </c>
      <c r="H51" s="102">
        <f t="shared" si="5"/>
        <v>0</v>
      </c>
      <c r="I51" s="126"/>
      <c r="J51" s="127">
        <v>0</v>
      </c>
      <c r="K51" s="131"/>
      <c r="L51" s="132">
        <v>0</v>
      </c>
      <c r="M51" s="106">
        <f t="shared" si="1"/>
        <v>0</v>
      </c>
    </row>
    <row r="52" spans="1:13" x14ac:dyDescent="0.35">
      <c r="A52" s="1673"/>
      <c r="B52" s="312" t="str">
        <f>+'B) Reajuste Tarifas y Ocupación'!B44</f>
        <v>Early check-in/Late check-out</v>
      </c>
      <c r="C52" s="303"/>
      <c r="D52" s="262"/>
      <c r="E52" s="263"/>
      <c r="F52" s="289"/>
      <c r="G52" s="108"/>
      <c r="H52" s="109"/>
      <c r="I52" s="62"/>
      <c r="J52" s="68">
        <v>0</v>
      </c>
      <c r="K52" s="64"/>
      <c r="L52" s="110">
        <v>0</v>
      </c>
      <c r="M52" s="111">
        <f t="shared" si="1"/>
        <v>0</v>
      </c>
    </row>
    <row r="53" spans="1:13" ht="15" thickBot="1" x14ac:dyDescent="0.4">
      <c r="A53" s="1674"/>
      <c r="B53" s="313" t="str">
        <f>+'B) Reajuste Tarifas y Ocupación'!B45</f>
        <v>Cabaña Hornitos</v>
      </c>
      <c r="C53" s="310">
        <f>+'B) Reajuste Tarifas y Ocupación'!M45</f>
        <v>20000</v>
      </c>
      <c r="D53" s="275">
        <f>+'B) Reajuste Tarifas y Ocupación'!N45</f>
        <v>27100</v>
      </c>
      <c r="E53" s="301">
        <f>+'B) Reajuste Tarifas y Ocupación'!O45</f>
        <v>29400</v>
      </c>
      <c r="F53" s="290">
        <f t="shared" ref="F53:H59" si="6">IFERROR(C53/$M53,0)</f>
        <v>0</v>
      </c>
      <c r="G53" s="112">
        <f t="shared" si="6"/>
        <v>0</v>
      </c>
      <c r="H53" s="113">
        <f t="shared" si="6"/>
        <v>0</v>
      </c>
      <c r="I53" s="61"/>
      <c r="J53" s="628">
        <v>0</v>
      </c>
      <c r="K53" s="629"/>
      <c r="L53" s="630">
        <v>0</v>
      </c>
      <c r="M53" s="120">
        <f t="shared" si="1"/>
        <v>0</v>
      </c>
    </row>
    <row r="54" spans="1:13" x14ac:dyDescent="0.35">
      <c r="A54" s="1670" t="str">
        <f>+'B) Reajuste Tarifas y Ocupación'!A46</f>
        <v>C. H. Rada Iquique</v>
      </c>
      <c r="B54" s="308" t="str">
        <f>+'B) Reajuste Tarifas y Ocupación'!B46</f>
        <v>Simple</v>
      </c>
      <c r="C54" s="261">
        <f>+'B) Reajuste Tarifas y Ocupación'!M46</f>
        <v>41300</v>
      </c>
      <c r="D54" s="276">
        <f>+'B) Reajuste Tarifas y Ocupación'!N46</f>
        <v>56200</v>
      </c>
      <c r="E54" s="277">
        <f>+'B) Reajuste Tarifas y Ocupación'!O46</f>
        <v>60900</v>
      </c>
      <c r="F54" s="299">
        <f t="shared" ref="F54:F59" si="7">IFERROR(C54/$M54,0)</f>
        <v>0.77016317016317015</v>
      </c>
      <c r="G54" s="188">
        <f t="shared" si="6"/>
        <v>1.048018648018648</v>
      </c>
      <c r="H54" s="625">
        <f t="shared" si="6"/>
        <v>1.1356643356643357</v>
      </c>
      <c r="I54" s="605" t="s">
        <v>338</v>
      </c>
      <c r="J54" s="634">
        <v>53700</v>
      </c>
      <c r="K54" s="131" t="s">
        <v>339</v>
      </c>
      <c r="L54" s="132">
        <v>53550</v>
      </c>
      <c r="M54" s="106">
        <f t="shared" si="1"/>
        <v>53625</v>
      </c>
    </row>
    <row r="55" spans="1:13" x14ac:dyDescent="0.35">
      <c r="A55" s="1675"/>
      <c r="B55" s="311" t="str">
        <f>+'B) Reajuste Tarifas y Ocupación'!B47</f>
        <v>Doble</v>
      </c>
      <c r="C55" s="266">
        <f>+'B) Reajuste Tarifas y Ocupación'!M47</f>
        <v>52700</v>
      </c>
      <c r="D55" s="264">
        <f>+'B) Reajuste Tarifas y Ocupación'!N47</f>
        <v>71700</v>
      </c>
      <c r="E55" s="265">
        <f>+'B) Reajuste Tarifas y Ocupación'!O47</f>
        <v>77700</v>
      </c>
      <c r="F55" s="290">
        <f t="shared" si="7"/>
        <v>0.9827505827505828</v>
      </c>
      <c r="G55" s="112">
        <f t="shared" si="6"/>
        <v>1.337062937062937</v>
      </c>
      <c r="H55" s="626">
        <f t="shared" si="6"/>
        <v>1.4489510489510489</v>
      </c>
      <c r="I55" s="607" t="s">
        <v>338</v>
      </c>
      <c r="J55" s="552">
        <v>53700</v>
      </c>
      <c r="K55" s="559" t="s">
        <v>339</v>
      </c>
      <c r="L55" s="553">
        <v>53550</v>
      </c>
      <c r="M55" s="111">
        <f t="shared" si="1"/>
        <v>53625</v>
      </c>
    </row>
    <row r="56" spans="1:13" x14ac:dyDescent="0.35">
      <c r="A56" s="1675"/>
      <c r="B56" s="311" t="str">
        <f>+'B) Reajuste Tarifas y Ocupación'!B48</f>
        <v>Matrimonial</v>
      </c>
      <c r="C56" s="266">
        <f>+'B) Reajuste Tarifas y Ocupación'!M48</f>
        <v>52700</v>
      </c>
      <c r="D56" s="264">
        <f>+'B) Reajuste Tarifas y Ocupación'!N48</f>
        <v>71700</v>
      </c>
      <c r="E56" s="265">
        <f>+'B) Reajuste Tarifas y Ocupación'!O48</f>
        <v>77700</v>
      </c>
      <c r="F56" s="290">
        <f t="shared" si="7"/>
        <v>0.9827505827505828</v>
      </c>
      <c r="G56" s="112">
        <f t="shared" si="6"/>
        <v>1.337062937062937</v>
      </c>
      <c r="H56" s="626">
        <f t="shared" si="6"/>
        <v>1.4489510489510489</v>
      </c>
      <c r="I56" s="607" t="s">
        <v>338</v>
      </c>
      <c r="J56" s="552">
        <v>53700</v>
      </c>
      <c r="K56" s="559" t="s">
        <v>339</v>
      </c>
      <c r="L56" s="553">
        <v>53550</v>
      </c>
      <c r="M56" s="111">
        <f t="shared" si="1"/>
        <v>53625</v>
      </c>
    </row>
    <row r="57" spans="1:13" x14ac:dyDescent="0.35">
      <c r="A57" s="1675"/>
      <c r="B57" s="311" t="str">
        <f>+'B) Reajuste Tarifas y Ocupación'!B49</f>
        <v>Matrimonial + Camarote (Familiar)</v>
      </c>
      <c r="C57" s="266">
        <f>+'B) Reajuste Tarifas y Ocupación'!M49</f>
        <v>78500</v>
      </c>
      <c r="D57" s="264">
        <f>+'B) Reajuste Tarifas y Ocupación'!N49</f>
        <v>106800</v>
      </c>
      <c r="E57" s="265">
        <f>+'B) Reajuste Tarifas y Ocupación'!O49</f>
        <v>115700</v>
      </c>
      <c r="F57" s="290">
        <f t="shared" si="7"/>
        <v>1.022368378211181</v>
      </c>
      <c r="G57" s="112">
        <f t="shared" si="6"/>
        <v>1.3909419464070589</v>
      </c>
      <c r="H57" s="626">
        <f t="shared" si="6"/>
        <v>1.5068537752743139</v>
      </c>
      <c r="I57" s="607" t="s">
        <v>338</v>
      </c>
      <c r="J57" s="552">
        <v>75300</v>
      </c>
      <c r="K57" s="559" t="s">
        <v>339</v>
      </c>
      <c r="L57" s="553">
        <v>78265</v>
      </c>
      <c r="M57" s="111">
        <f t="shared" si="1"/>
        <v>76782.5</v>
      </c>
    </row>
    <row r="58" spans="1:13" x14ac:dyDescent="0.35">
      <c r="A58" s="1675"/>
      <c r="B58" s="311" t="str">
        <f>+'B) Reajuste Tarifas y Ocupación'!B50</f>
        <v>Superior</v>
      </c>
      <c r="C58" s="266">
        <f>+'B) Reajuste Tarifas y Ocupación'!M50</f>
        <v>61500</v>
      </c>
      <c r="D58" s="264">
        <f>+'B) Reajuste Tarifas y Ocupación'!N50</f>
        <v>83600</v>
      </c>
      <c r="E58" s="265">
        <f>+'B) Reajuste Tarifas y Ocupación'!O50</f>
        <v>90700</v>
      </c>
      <c r="F58" s="290">
        <f t="shared" si="7"/>
        <v>1.7202797202797202</v>
      </c>
      <c r="G58" s="112">
        <f t="shared" si="6"/>
        <v>2.3384615384615386</v>
      </c>
      <c r="H58" s="626">
        <f t="shared" si="6"/>
        <v>2.5370629370629372</v>
      </c>
      <c r="I58" s="607" t="s">
        <v>338</v>
      </c>
      <c r="J58" s="552">
        <v>71500</v>
      </c>
      <c r="K58" s="559" t="s">
        <v>339</v>
      </c>
      <c r="L58" s="553">
        <v>0</v>
      </c>
      <c r="M58" s="111">
        <f t="shared" si="1"/>
        <v>35750</v>
      </c>
    </row>
    <row r="59" spans="1:13" x14ac:dyDescent="0.35">
      <c r="A59" s="1675"/>
      <c r="B59" s="311" t="str">
        <f>+'B) Reajuste Tarifas y Ocupación'!B51</f>
        <v>Sofá cama adiciona (Hasta 7 años)</v>
      </c>
      <c r="C59" s="266">
        <f>+'B) Reajuste Tarifas y Ocupación'!M51</f>
        <v>16800</v>
      </c>
      <c r="D59" s="264">
        <f>+'B) Reajuste Tarifas y Ocupación'!N51</f>
        <v>22800</v>
      </c>
      <c r="E59" s="265">
        <f>+'B) Reajuste Tarifas y Ocupación'!O51</f>
        <v>24700</v>
      </c>
      <c r="F59" s="290">
        <f t="shared" si="7"/>
        <v>0</v>
      </c>
      <c r="G59" s="112">
        <f t="shared" si="6"/>
        <v>0</v>
      </c>
      <c r="H59" s="626">
        <f t="shared" si="6"/>
        <v>0</v>
      </c>
      <c r="I59" s="635"/>
      <c r="J59" s="633">
        <v>0</v>
      </c>
      <c r="K59" s="622"/>
      <c r="L59" s="553">
        <v>0</v>
      </c>
      <c r="M59" s="111">
        <f t="shared" si="1"/>
        <v>0</v>
      </c>
    </row>
    <row r="60" spans="1:13" x14ac:dyDescent="0.35">
      <c r="A60" s="1675"/>
      <c r="B60" s="312" t="str">
        <f>+'B) Reajuste Tarifas y Ocupación'!B52</f>
        <v>Late check-out o early check-in</v>
      </c>
      <c r="C60" s="303"/>
      <c r="D60" s="262"/>
      <c r="E60" s="263"/>
      <c r="F60" s="289"/>
      <c r="G60" s="108"/>
      <c r="H60" s="627"/>
      <c r="I60" s="194"/>
      <c r="J60" s="633">
        <v>0</v>
      </c>
      <c r="K60" s="549"/>
      <c r="L60" s="553">
        <v>0</v>
      </c>
      <c r="M60" s="111">
        <f t="shared" si="1"/>
        <v>0</v>
      </c>
    </row>
    <row r="61" spans="1:13" x14ac:dyDescent="0.35">
      <c r="A61" s="1675"/>
      <c r="B61" s="314" t="str">
        <f>+'B) Reajuste Tarifas y Ocupación'!B53</f>
        <v>Simple</v>
      </c>
      <c r="C61" s="266">
        <f>+'B) Reajuste Tarifas y Ocupación'!M53</f>
        <v>12400</v>
      </c>
      <c r="D61" s="264">
        <f>+'B) Reajuste Tarifas y Ocupación'!N53</f>
        <v>16900</v>
      </c>
      <c r="E61" s="265">
        <f>+'B) Reajuste Tarifas y Ocupación'!O53</f>
        <v>18300</v>
      </c>
      <c r="F61" s="290">
        <f t="shared" ref="F61:H70" si="8">IFERROR(C61/$M61,0)</f>
        <v>0</v>
      </c>
      <c r="G61" s="112">
        <f t="shared" si="8"/>
        <v>0</v>
      </c>
      <c r="H61" s="626">
        <f t="shared" si="8"/>
        <v>0</v>
      </c>
      <c r="I61" s="194"/>
      <c r="J61" s="633">
        <v>0</v>
      </c>
      <c r="K61" s="549"/>
      <c r="L61" s="553">
        <v>0</v>
      </c>
      <c r="M61" s="111">
        <f t="shared" si="1"/>
        <v>0</v>
      </c>
    </row>
    <row r="62" spans="1:13" x14ac:dyDescent="0.35">
      <c r="A62" s="1675"/>
      <c r="B62" s="314" t="str">
        <f>+'B) Reajuste Tarifas y Ocupación'!B54</f>
        <v xml:space="preserve"> Doble</v>
      </c>
      <c r="C62" s="266">
        <f>+'B) Reajuste Tarifas y Ocupación'!M54</f>
        <v>15900</v>
      </c>
      <c r="D62" s="264">
        <f>+'B) Reajuste Tarifas y Ocupación'!N54</f>
        <v>21600</v>
      </c>
      <c r="E62" s="265">
        <f>+'B) Reajuste Tarifas y Ocupación'!O54</f>
        <v>23400</v>
      </c>
      <c r="F62" s="290">
        <f t="shared" si="8"/>
        <v>0</v>
      </c>
      <c r="G62" s="112">
        <f t="shared" si="8"/>
        <v>0</v>
      </c>
      <c r="H62" s="626">
        <f t="shared" si="8"/>
        <v>0</v>
      </c>
      <c r="I62" s="194"/>
      <c r="J62" s="633">
        <v>0</v>
      </c>
      <c r="K62" s="549"/>
      <c r="L62" s="553">
        <v>0</v>
      </c>
      <c r="M62" s="111">
        <f t="shared" si="1"/>
        <v>0</v>
      </c>
    </row>
    <row r="63" spans="1:13" x14ac:dyDescent="0.35">
      <c r="A63" s="1675"/>
      <c r="B63" s="314" t="str">
        <f>+'B) Reajuste Tarifas y Ocupación'!B55</f>
        <v>Matrimonial</v>
      </c>
      <c r="C63" s="266">
        <f>+'B) Reajuste Tarifas y Ocupación'!M55</f>
        <v>15900</v>
      </c>
      <c r="D63" s="264">
        <f>+'B) Reajuste Tarifas y Ocupación'!N55</f>
        <v>21600</v>
      </c>
      <c r="E63" s="265">
        <f>+'B) Reajuste Tarifas y Ocupación'!O55</f>
        <v>23400</v>
      </c>
      <c r="F63" s="290">
        <f t="shared" si="8"/>
        <v>0</v>
      </c>
      <c r="G63" s="112">
        <f t="shared" si="8"/>
        <v>0</v>
      </c>
      <c r="H63" s="626">
        <f t="shared" si="8"/>
        <v>0</v>
      </c>
      <c r="I63" s="194"/>
      <c r="J63" s="633">
        <v>0</v>
      </c>
      <c r="K63" s="549"/>
      <c r="L63" s="553">
        <v>0</v>
      </c>
      <c r="M63" s="111">
        <f t="shared" si="1"/>
        <v>0</v>
      </c>
    </row>
    <row r="64" spans="1:13" x14ac:dyDescent="0.35">
      <c r="A64" s="1675"/>
      <c r="B64" s="314" t="str">
        <f>+'B) Reajuste Tarifas y Ocupación'!B56</f>
        <v>Matrimonial + Camarote</v>
      </c>
      <c r="C64" s="266">
        <f>+'B) Reajuste Tarifas y Ocupación'!M56</f>
        <v>23600</v>
      </c>
      <c r="D64" s="264">
        <f>+'B) Reajuste Tarifas y Ocupación'!N56</f>
        <v>32100</v>
      </c>
      <c r="E64" s="265">
        <f>+'B) Reajuste Tarifas y Ocupación'!O56</f>
        <v>34800</v>
      </c>
      <c r="F64" s="290">
        <f t="shared" si="8"/>
        <v>0</v>
      </c>
      <c r="G64" s="112">
        <f t="shared" si="8"/>
        <v>0</v>
      </c>
      <c r="H64" s="626">
        <f t="shared" si="8"/>
        <v>0</v>
      </c>
      <c r="I64" s="194"/>
      <c r="J64" s="633">
        <v>0</v>
      </c>
      <c r="K64" s="549"/>
      <c r="L64" s="553">
        <v>0</v>
      </c>
      <c r="M64" s="111">
        <f t="shared" si="1"/>
        <v>0</v>
      </c>
    </row>
    <row r="65" spans="1:13" ht="15" thickBot="1" x14ac:dyDescent="0.4">
      <c r="A65" s="1671"/>
      <c r="B65" s="313" t="str">
        <f>+'B) Reajuste Tarifas y Ocupación'!B57</f>
        <v>Superior</v>
      </c>
      <c r="C65" s="310">
        <f>+'B) Reajuste Tarifas y Ocupación'!M57</f>
        <v>18500</v>
      </c>
      <c r="D65" s="275">
        <f>+'B) Reajuste Tarifas y Ocupación'!N57</f>
        <v>25100</v>
      </c>
      <c r="E65" s="301">
        <f>+'B) Reajuste Tarifas y Ocupación'!O57</f>
        <v>27300</v>
      </c>
      <c r="F65" s="300">
        <f t="shared" si="8"/>
        <v>0</v>
      </c>
      <c r="G65" s="116">
        <f t="shared" si="8"/>
        <v>0</v>
      </c>
      <c r="H65" s="293">
        <f t="shared" si="8"/>
        <v>0</v>
      </c>
      <c r="I65" s="86"/>
      <c r="J65" s="636">
        <v>0</v>
      </c>
      <c r="K65" s="247"/>
      <c r="L65" s="134">
        <v>0</v>
      </c>
      <c r="M65" s="120">
        <f t="shared" si="1"/>
        <v>0</v>
      </c>
    </row>
    <row r="66" spans="1:13" x14ac:dyDescent="0.35">
      <c r="A66" s="1675" t="str">
        <f>+'B) Reajuste Tarifas y Ocupación'!A58</f>
        <v>C. H. Caleta Angamos</v>
      </c>
      <c r="B66" s="308" t="str">
        <f>+'B) Reajuste Tarifas y Ocupación'!B58</f>
        <v>Simple</v>
      </c>
      <c r="C66" s="261">
        <f>+'B) Reajuste Tarifas y Ocupación'!M58</f>
        <v>56500</v>
      </c>
      <c r="D66" s="276">
        <f>+'B) Reajuste Tarifas y Ocupación'!N58</f>
        <v>70400</v>
      </c>
      <c r="E66" s="277">
        <f>+'B) Reajuste Tarifas y Ocupación'!O58</f>
        <v>76800</v>
      </c>
      <c r="F66" s="302">
        <f t="shared" si="8"/>
        <v>1.0506936437683638</v>
      </c>
      <c r="G66" s="121">
        <f t="shared" si="8"/>
        <v>1.3091828764830586</v>
      </c>
      <c r="H66" s="122">
        <f t="shared" si="8"/>
        <v>1.4281995016178823</v>
      </c>
      <c r="I66" s="631" t="s">
        <v>338</v>
      </c>
      <c r="J66" s="632">
        <v>53700</v>
      </c>
      <c r="K66" s="590" t="s">
        <v>340</v>
      </c>
      <c r="L66" s="191">
        <v>53848</v>
      </c>
      <c r="M66" s="187">
        <f t="shared" si="1"/>
        <v>53774</v>
      </c>
    </row>
    <row r="67" spans="1:13" x14ac:dyDescent="0.35">
      <c r="A67" s="1675"/>
      <c r="B67" s="311" t="str">
        <f>+'B) Reajuste Tarifas y Ocupación'!B59</f>
        <v>Doble</v>
      </c>
      <c r="C67" s="266">
        <f>+'B) Reajuste Tarifas y Ocupación'!M59</f>
        <v>69200</v>
      </c>
      <c r="D67" s="264">
        <f>+'B) Reajuste Tarifas y Ocupación'!N59</f>
        <v>86300</v>
      </c>
      <c r="E67" s="265">
        <f>+'B) Reajuste Tarifas y Ocupación'!O59</f>
        <v>94100</v>
      </c>
      <c r="F67" s="290">
        <f t="shared" si="8"/>
        <v>1.1291967527434423</v>
      </c>
      <c r="G67" s="112">
        <f t="shared" si="8"/>
        <v>1.4082323664994085</v>
      </c>
      <c r="H67" s="113">
        <f t="shared" si="8"/>
        <v>1.5355117692652878</v>
      </c>
      <c r="I67" s="551" t="s">
        <v>338</v>
      </c>
      <c r="J67" s="552">
        <v>53700</v>
      </c>
      <c r="K67" s="549" t="s">
        <v>340</v>
      </c>
      <c r="L67" s="553">
        <v>68865</v>
      </c>
      <c r="M67" s="111">
        <f t="shared" si="1"/>
        <v>61282.5</v>
      </c>
    </row>
    <row r="68" spans="1:13" x14ac:dyDescent="0.35">
      <c r="A68" s="1675"/>
      <c r="B68" s="311" t="str">
        <f>+'B) Reajuste Tarifas y Ocupación'!B60</f>
        <v>Matrimonial</v>
      </c>
      <c r="C68" s="266">
        <f>+'B) Reajuste Tarifas y Ocupación'!M60</f>
        <v>68300</v>
      </c>
      <c r="D68" s="264">
        <f>+'B) Reajuste Tarifas y Ocupación'!N60</f>
        <v>85000</v>
      </c>
      <c r="E68" s="265">
        <f>+'B) Reajuste Tarifas y Ocupación'!O60</f>
        <v>92700</v>
      </c>
      <c r="F68" s="290">
        <f>IFERROR(C68/$M68,0)</f>
        <v>1.1025198146862742</v>
      </c>
      <c r="G68" s="112">
        <f t="shared" si="8"/>
        <v>1.372096401878965</v>
      </c>
      <c r="H68" s="113">
        <f t="shared" si="8"/>
        <v>1.4963921935785889</v>
      </c>
      <c r="I68" s="551" t="s">
        <v>338</v>
      </c>
      <c r="J68" s="552">
        <v>53700</v>
      </c>
      <c r="K68" s="549" t="s">
        <v>340</v>
      </c>
      <c r="L68" s="553">
        <v>70198</v>
      </c>
      <c r="M68" s="111">
        <f t="shared" si="1"/>
        <v>61949</v>
      </c>
    </row>
    <row r="69" spans="1:13" x14ac:dyDescent="0.35">
      <c r="A69" s="1675"/>
      <c r="B69" s="311" t="str">
        <f>+'B) Reajuste Tarifas y Ocupación'!B61</f>
        <v>Superior</v>
      </c>
      <c r="C69" s="266">
        <f>+'B) Reajuste Tarifas y Ocupación'!M61</f>
        <v>90700</v>
      </c>
      <c r="D69" s="264">
        <f>+'B) Reajuste Tarifas y Ocupación'!N61</f>
        <v>112900</v>
      </c>
      <c r="E69" s="265">
        <f>+'B) Reajuste Tarifas y Ocupación'!O61</f>
        <v>123300</v>
      </c>
      <c r="F69" s="290">
        <f t="shared" si="8"/>
        <v>1.2319687050066557</v>
      </c>
      <c r="G69" s="112">
        <f t="shared" si="8"/>
        <v>1.5335090054603244</v>
      </c>
      <c r="H69" s="113">
        <f t="shared" si="8"/>
        <v>1.6747711281953763</v>
      </c>
      <c r="I69" s="551" t="s">
        <v>338</v>
      </c>
      <c r="J69" s="552">
        <v>71500</v>
      </c>
      <c r="K69" s="549" t="s">
        <v>340</v>
      </c>
      <c r="L69" s="553">
        <v>75744</v>
      </c>
      <c r="M69" s="111">
        <f t="shared" si="1"/>
        <v>73622</v>
      </c>
    </row>
    <row r="70" spans="1:13" x14ac:dyDescent="0.35">
      <c r="A70" s="1675"/>
      <c r="B70" s="311" t="str">
        <f>+'B) Reajuste Tarifas y Ocupación'!B62</f>
        <v>Sofá cama adiciona (Hasta 7 años)</v>
      </c>
      <c r="C70" s="266">
        <f>+'B) Reajuste Tarifas y Ocupación'!M62</f>
        <v>17200</v>
      </c>
      <c r="D70" s="264">
        <f>+'B) Reajuste Tarifas y Ocupación'!N62</f>
        <v>21500</v>
      </c>
      <c r="E70" s="265">
        <f>+'B) Reajuste Tarifas y Ocupación'!O62</f>
        <v>23400</v>
      </c>
      <c r="F70" s="290">
        <f t="shared" si="8"/>
        <v>0</v>
      </c>
      <c r="G70" s="112">
        <f t="shared" si="8"/>
        <v>0</v>
      </c>
      <c r="H70" s="113">
        <f t="shared" si="8"/>
        <v>0</v>
      </c>
      <c r="I70" s="62"/>
      <c r="J70" s="123">
        <v>0</v>
      </c>
      <c r="K70" s="64"/>
      <c r="L70" s="133">
        <v>0</v>
      </c>
      <c r="M70" s="111">
        <f t="shared" si="1"/>
        <v>0</v>
      </c>
    </row>
    <row r="71" spans="1:13" x14ac:dyDescent="0.35">
      <c r="A71" s="1675"/>
      <c r="B71" s="312" t="str">
        <f>+'B) Reajuste Tarifas y Ocupación'!B63</f>
        <v>Late check-out o early check-in</v>
      </c>
      <c r="C71" s="303"/>
      <c r="D71" s="262"/>
      <c r="E71" s="263"/>
      <c r="F71" s="289"/>
      <c r="G71" s="108"/>
      <c r="H71" s="109"/>
      <c r="I71" s="62"/>
      <c r="J71" s="123">
        <v>0</v>
      </c>
      <c r="K71" s="64"/>
      <c r="L71" s="133">
        <v>0</v>
      </c>
      <c r="M71" s="111">
        <f t="shared" si="1"/>
        <v>0</v>
      </c>
    </row>
    <row r="72" spans="1:13" x14ac:dyDescent="0.35">
      <c r="A72" s="1675"/>
      <c r="B72" s="314" t="str">
        <f>+'B) Reajuste Tarifas y Ocupación'!B64</f>
        <v>Simple</v>
      </c>
      <c r="C72" s="266">
        <f>+'B) Reajuste Tarifas y Ocupación'!M64</f>
        <v>17000</v>
      </c>
      <c r="D72" s="264">
        <f>+'B) Reajuste Tarifas y Ocupación'!N64</f>
        <v>21200</v>
      </c>
      <c r="E72" s="265">
        <f>+'B) Reajuste Tarifas y Ocupación'!O64</f>
        <v>23100</v>
      </c>
      <c r="F72" s="290">
        <f t="shared" ref="F72:H75" si="9">IFERROR(C72/$M72,0)</f>
        <v>0</v>
      </c>
      <c r="G72" s="112">
        <f t="shared" si="9"/>
        <v>0</v>
      </c>
      <c r="H72" s="113">
        <f t="shared" si="9"/>
        <v>0</v>
      </c>
      <c r="I72" s="62"/>
      <c r="J72" s="123">
        <v>0</v>
      </c>
      <c r="K72" s="64"/>
      <c r="L72" s="133">
        <v>0</v>
      </c>
      <c r="M72" s="111">
        <f t="shared" si="1"/>
        <v>0</v>
      </c>
    </row>
    <row r="73" spans="1:13" x14ac:dyDescent="0.35">
      <c r="A73" s="1675"/>
      <c r="B73" s="314" t="str">
        <f>+'B) Reajuste Tarifas y Ocupación'!B65</f>
        <v>Doble</v>
      </c>
      <c r="C73" s="266">
        <f>+'B) Reajuste Tarifas y Ocupación'!M65</f>
        <v>20800</v>
      </c>
      <c r="D73" s="264">
        <f>+'B) Reajuste Tarifas y Ocupación'!N65</f>
        <v>25900</v>
      </c>
      <c r="E73" s="265">
        <f>+'B) Reajuste Tarifas y Ocupación'!O65</f>
        <v>28300</v>
      </c>
      <c r="F73" s="290">
        <f t="shared" si="9"/>
        <v>0</v>
      </c>
      <c r="G73" s="112">
        <f t="shared" si="9"/>
        <v>0</v>
      </c>
      <c r="H73" s="113">
        <f t="shared" si="9"/>
        <v>0</v>
      </c>
      <c r="I73" s="62"/>
      <c r="J73" s="123">
        <v>0</v>
      </c>
      <c r="K73" s="64"/>
      <c r="L73" s="133">
        <v>0</v>
      </c>
      <c r="M73" s="111">
        <f t="shared" si="1"/>
        <v>0</v>
      </c>
    </row>
    <row r="74" spans="1:13" x14ac:dyDescent="0.35">
      <c r="A74" s="1675"/>
      <c r="B74" s="314" t="str">
        <f>+'B) Reajuste Tarifas y Ocupación'!B66</f>
        <v>Matrimonial</v>
      </c>
      <c r="C74" s="266">
        <f>+'B) Reajuste Tarifas y Ocupación'!M66</f>
        <v>20500</v>
      </c>
      <c r="D74" s="264">
        <f>+'B) Reajuste Tarifas y Ocupación'!N66</f>
        <v>25500</v>
      </c>
      <c r="E74" s="265">
        <f>+'B) Reajuste Tarifas y Ocupación'!O66</f>
        <v>27900</v>
      </c>
      <c r="F74" s="290">
        <f t="shared" si="9"/>
        <v>0</v>
      </c>
      <c r="G74" s="112">
        <f t="shared" si="9"/>
        <v>0</v>
      </c>
      <c r="H74" s="113">
        <f t="shared" si="9"/>
        <v>0</v>
      </c>
      <c r="I74" s="62"/>
      <c r="J74" s="123">
        <v>0</v>
      </c>
      <c r="K74" s="64"/>
      <c r="L74" s="133">
        <v>0</v>
      </c>
      <c r="M74" s="111">
        <f t="shared" si="1"/>
        <v>0</v>
      </c>
    </row>
    <row r="75" spans="1:13" ht="15" thickBot="1" x14ac:dyDescent="0.4">
      <c r="A75" s="1671"/>
      <c r="B75" s="313" t="str">
        <f>+'B) Reajuste Tarifas y Ocupación'!B67</f>
        <v>Superior</v>
      </c>
      <c r="C75" s="267">
        <f>+'B) Reajuste Tarifas y Ocupación'!M67</f>
        <v>27300</v>
      </c>
      <c r="D75" s="270">
        <f>+'B) Reajuste Tarifas y Ocupación'!N67</f>
        <v>33900</v>
      </c>
      <c r="E75" s="271">
        <f>+'B) Reajuste Tarifas y Ocupación'!O67</f>
        <v>37000</v>
      </c>
      <c r="F75" s="300">
        <f t="shared" si="9"/>
        <v>0</v>
      </c>
      <c r="G75" s="116">
        <f t="shared" si="9"/>
        <v>0</v>
      </c>
      <c r="H75" s="117">
        <f t="shared" si="9"/>
        <v>0</v>
      </c>
      <c r="I75" s="60"/>
      <c r="J75" s="125">
        <v>0</v>
      </c>
      <c r="K75" s="65"/>
      <c r="L75" s="134">
        <v>0</v>
      </c>
      <c r="M75" s="120">
        <f t="shared" si="1"/>
        <v>0</v>
      </c>
    </row>
  </sheetData>
  <sheetProtection algorithmName="SHA-512" hashValue="j8vj74QNSYY4akqTEJuB0aiPzBdOeSX/J6Mrqp76jm8LugEPFv4XJsg0rJ6VtFfw9E6uD880ENBwu8wyHHdcCA==" saltValue="UYYIXJGH/1PlnN4OwZVUkQ==" spinCount="100000" sheet="1" objects="1" scenarios="1"/>
  <mergeCells count="19">
    <mergeCell ref="A49:A50"/>
    <mergeCell ref="A51:A53"/>
    <mergeCell ref="A54:A65"/>
    <mergeCell ref="A66:A75"/>
    <mergeCell ref="M15:M16"/>
    <mergeCell ref="A17:A25"/>
    <mergeCell ref="A26:A27"/>
    <mergeCell ref="A28:A30"/>
    <mergeCell ref="A31:A46"/>
    <mergeCell ref="A47:A48"/>
    <mergeCell ref="D4:E4"/>
    <mergeCell ref="A7:L10"/>
    <mergeCell ref="A13:D13"/>
    <mergeCell ref="A15:A16"/>
    <mergeCell ref="B15:B16"/>
    <mergeCell ref="C15:E15"/>
    <mergeCell ref="F15:H15"/>
    <mergeCell ref="I15:J15"/>
    <mergeCell ref="K15:L15"/>
  </mergeCells>
  <pageMargins left="0.7" right="0.7" top="0.75" bottom="0.75" header="0.3" footer="0.3"/>
  <ignoredErrors>
    <ignoredError sqref="L58" unlockedFormula="1"/>
  </ignoredErrors>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499984740745262"/>
  </sheetPr>
  <dimension ref="A1:U70"/>
  <sheetViews>
    <sheetView workbookViewId="0">
      <selection activeCell="O13" sqref="O13"/>
    </sheetView>
  </sheetViews>
  <sheetFormatPr baseColWidth="10" defaultRowHeight="14.5" x14ac:dyDescent="0.35"/>
  <cols>
    <col min="1" max="1" width="47.7265625" style="135" customWidth="1"/>
    <col min="2" max="2" width="38.453125" style="135" bestFit="1" customWidth="1"/>
    <col min="3" max="15" width="11.453125" style="135"/>
    <col min="16" max="16" width="1.453125" style="135" customWidth="1"/>
    <col min="17" max="17" width="2.7265625" style="135" customWidth="1"/>
    <col min="18" max="18" width="11.453125" style="135" hidden="1" customWidth="1"/>
    <col min="19" max="19" width="41.81640625" style="135" bestFit="1" customWidth="1"/>
    <col min="20" max="20" width="11.453125" style="135"/>
    <col min="21" max="21" width="15.81640625" bestFit="1" customWidth="1"/>
  </cols>
  <sheetData>
    <row r="1" spans="1:21" x14ac:dyDescent="0.35">
      <c r="A1" s="1203"/>
      <c r="B1" s="1203"/>
      <c r="C1" s="1203"/>
      <c r="D1" s="1203"/>
      <c r="E1" s="1203"/>
      <c r="F1" s="1203"/>
      <c r="G1" s="1203"/>
      <c r="H1" s="1203"/>
      <c r="I1" s="1203"/>
      <c r="J1" s="137"/>
      <c r="K1" s="1204"/>
      <c r="L1" s="1203"/>
      <c r="M1" s="1203"/>
      <c r="N1" s="1203"/>
      <c r="O1" s="1203"/>
      <c r="P1" s="1203"/>
      <c r="Q1" s="1203"/>
      <c r="R1" s="1203"/>
      <c r="S1" s="1203"/>
      <c r="T1" s="1203"/>
      <c r="U1" s="136"/>
    </row>
    <row r="2" spans="1:21" x14ac:dyDescent="0.35">
      <c r="A2" s="1203"/>
      <c r="B2" s="1203"/>
      <c r="C2" s="1203"/>
      <c r="D2" s="1203"/>
      <c r="E2" s="1203"/>
      <c r="F2" s="1203"/>
      <c r="G2" s="1203"/>
      <c r="H2" s="1203"/>
      <c r="I2" s="1203"/>
      <c r="J2" s="137" t="s">
        <v>219</v>
      </c>
      <c r="K2" s="1204"/>
      <c r="L2" s="1203"/>
      <c r="M2" s="1203"/>
      <c r="N2" s="1203"/>
      <c r="O2" s="1203"/>
      <c r="P2" s="1203"/>
      <c r="Q2" s="1203"/>
      <c r="R2" s="1203"/>
      <c r="S2" s="1203"/>
      <c r="T2" s="1203"/>
      <c r="U2" s="136"/>
    </row>
    <row r="3" spans="1:21" x14ac:dyDescent="0.35">
      <c r="A3" s="1203"/>
      <c r="B3" s="1203"/>
      <c r="C3" s="1203"/>
      <c r="D3" s="1203"/>
      <c r="E3" s="1203"/>
      <c r="F3" s="1203"/>
      <c r="G3" s="1203"/>
      <c r="H3" s="1203"/>
      <c r="I3" s="1203"/>
      <c r="J3" s="1203"/>
      <c r="K3" s="1203"/>
      <c r="L3" s="1203"/>
      <c r="M3" s="1203"/>
      <c r="N3" s="1203"/>
      <c r="O3" s="1203"/>
      <c r="P3" s="1203"/>
      <c r="Q3" s="1203"/>
      <c r="R3" s="1203"/>
      <c r="S3" s="1203"/>
      <c r="T3" s="1203"/>
      <c r="U3" s="136"/>
    </row>
    <row r="4" spans="1:21" ht="15.5" x14ac:dyDescent="0.35">
      <c r="A4" s="1203"/>
      <c r="B4" s="1203"/>
      <c r="C4" s="1203"/>
      <c r="D4" s="1203"/>
      <c r="E4" s="1203"/>
      <c r="F4" s="1203"/>
      <c r="G4" s="1203"/>
      <c r="H4" s="1203"/>
      <c r="I4" s="141" t="s">
        <v>1</v>
      </c>
      <c r="J4" s="1680" t="s">
        <v>20</v>
      </c>
      <c r="K4" s="1681"/>
      <c r="L4" s="1203"/>
      <c r="M4" s="1203"/>
      <c r="N4" s="1203"/>
      <c r="O4" s="1203"/>
      <c r="P4" s="1203"/>
      <c r="Q4" s="1203"/>
      <c r="R4" s="1203"/>
      <c r="S4" s="1203"/>
      <c r="T4" s="1203"/>
      <c r="U4" s="136"/>
    </row>
    <row r="5" spans="1:21" x14ac:dyDescent="0.35">
      <c r="A5" s="1203"/>
      <c r="B5" s="1203"/>
      <c r="C5" s="1203"/>
      <c r="D5" s="1203"/>
      <c r="E5" s="1203"/>
      <c r="F5" s="1203"/>
      <c r="G5" s="1203"/>
      <c r="H5" s="1203"/>
      <c r="I5" s="1203"/>
      <c r="J5" s="1203"/>
      <c r="K5" s="1203"/>
      <c r="L5" s="1203"/>
      <c r="M5" s="1203"/>
      <c r="N5" s="1203"/>
      <c r="O5" s="1203"/>
      <c r="P5" s="1203"/>
      <c r="Q5" s="1203"/>
      <c r="R5" s="1203"/>
      <c r="S5" s="1203"/>
      <c r="T5" s="1203"/>
      <c r="U5" s="136"/>
    </row>
    <row r="6" spans="1:21" ht="28.5" customHeight="1" x14ac:dyDescent="0.35">
      <c r="A6" s="1682" t="s">
        <v>220</v>
      </c>
      <c r="B6" s="1682"/>
      <c r="C6" s="1682"/>
      <c r="D6" s="1682"/>
      <c r="E6" s="1682"/>
      <c r="F6" s="1682"/>
      <c r="G6" s="1682"/>
      <c r="H6" s="1682"/>
      <c r="I6" s="1682"/>
      <c r="J6" s="1682"/>
      <c r="K6" s="1682"/>
      <c r="L6" s="1682"/>
      <c r="M6" s="1682"/>
      <c r="N6" s="1682"/>
      <c r="O6" s="1682"/>
      <c r="P6" s="1682"/>
      <c r="Q6" s="1682"/>
      <c r="R6" s="1203"/>
      <c r="S6" s="1203"/>
      <c r="T6" s="1203"/>
      <c r="U6" s="136"/>
    </row>
    <row r="7" spans="1:21" x14ac:dyDescent="0.35">
      <c r="A7" s="1205"/>
      <c r="B7" s="1206"/>
      <c r="C7" s="1206"/>
      <c r="D7" s="1206"/>
      <c r="E7" s="1206"/>
      <c r="F7" s="1206"/>
      <c r="G7" s="1206"/>
      <c r="H7" s="1206"/>
      <c r="I7" s="1206"/>
      <c r="J7" s="1206"/>
      <c r="K7" s="1206"/>
      <c r="L7" s="1206"/>
      <c r="M7" s="1206"/>
      <c r="N7" s="1206"/>
      <c r="O7" s="1206"/>
      <c r="P7" s="1206"/>
      <c r="Q7" s="1203"/>
      <c r="R7" s="1203"/>
      <c r="S7" s="1203"/>
      <c r="T7" s="1203"/>
      <c r="U7" s="136"/>
    </row>
    <row r="8" spans="1:21" x14ac:dyDescent="0.35">
      <c r="A8" s="136"/>
      <c r="B8" s="136"/>
      <c r="C8" s="1683"/>
      <c r="D8" s="1683"/>
      <c r="E8" s="1683"/>
      <c r="F8" s="1683"/>
      <c r="G8" s="136"/>
      <c r="H8" s="136"/>
      <c r="I8" s="136"/>
      <c r="J8" s="136"/>
      <c r="K8" s="136"/>
      <c r="L8" s="136"/>
      <c r="M8" s="1206"/>
      <c r="N8" s="1206"/>
      <c r="O8" s="1206"/>
      <c r="P8" s="1206"/>
      <c r="Q8" s="1203"/>
      <c r="R8" s="1203"/>
      <c r="S8" s="1207"/>
      <c r="T8" s="1203"/>
      <c r="U8" s="136"/>
    </row>
    <row r="9" spans="1:21" x14ac:dyDescent="0.35">
      <c r="A9" s="136"/>
      <c r="B9" s="136"/>
      <c r="C9" s="1200"/>
      <c r="D9" s="1200"/>
      <c r="E9" s="1200"/>
      <c r="F9" s="1200"/>
      <c r="G9" s="136"/>
      <c r="H9" s="1200"/>
      <c r="I9" s="1200"/>
      <c r="J9" s="136"/>
      <c r="K9" s="136"/>
      <c r="L9" s="136"/>
      <c r="M9" s="1203"/>
      <c r="N9" s="1203"/>
      <c r="O9" s="1203"/>
      <c r="P9" s="1203"/>
      <c r="Q9" s="1203"/>
      <c r="R9" s="1203"/>
      <c r="S9" s="1203"/>
      <c r="T9" s="1208"/>
      <c r="U9" s="136"/>
    </row>
    <row r="10" spans="1:21" x14ac:dyDescent="0.35">
      <c r="A10" s="136"/>
      <c r="B10" s="136"/>
      <c r="C10" s="1200"/>
      <c r="D10" s="1200"/>
      <c r="E10" s="1200"/>
      <c r="F10" s="1200"/>
      <c r="G10" s="136"/>
      <c r="H10" s="1201"/>
      <c r="I10" s="1201"/>
      <c r="J10" s="1202"/>
      <c r="K10" s="1202"/>
      <c r="L10" s="1202"/>
      <c r="M10" s="1203"/>
      <c r="N10" s="1203"/>
      <c r="O10" s="1203"/>
      <c r="P10" s="1203"/>
      <c r="Q10" s="1203"/>
      <c r="R10" s="1203"/>
      <c r="S10" s="1203"/>
      <c r="T10" s="1208"/>
      <c r="U10" s="136"/>
    </row>
    <row r="11" spans="1:21" x14ac:dyDescent="0.35">
      <c r="A11" s="136"/>
      <c r="B11" s="136"/>
      <c r="C11" s="1200"/>
      <c r="D11" s="1200"/>
      <c r="E11" s="1200"/>
      <c r="F11" s="1200"/>
      <c r="G11" s="136"/>
      <c r="H11" s="1201"/>
      <c r="I11" s="1201"/>
      <c r="J11" s="1202"/>
      <c r="K11" s="1202"/>
      <c r="L11" s="1202"/>
      <c r="M11" s="1203"/>
      <c r="N11" s="1203"/>
      <c r="O11" s="1203"/>
      <c r="P11" s="1203"/>
      <c r="Q11" s="1203"/>
      <c r="R11" s="1203"/>
      <c r="S11" s="1203"/>
      <c r="T11" s="1203"/>
      <c r="U11" s="136"/>
    </row>
    <row r="12" spans="1:21" x14ac:dyDescent="0.35">
      <c r="A12" s="136"/>
      <c r="B12" s="136"/>
      <c r="C12" s="1200"/>
      <c r="D12" s="1200"/>
      <c r="E12" s="1200"/>
      <c r="F12" s="1200"/>
      <c r="G12" s="136"/>
      <c r="H12" s="1201"/>
      <c r="I12" s="1201"/>
      <c r="J12" s="1202"/>
      <c r="K12" s="1202"/>
      <c r="L12" s="1202"/>
      <c r="M12" s="1203"/>
      <c r="N12" s="1203"/>
      <c r="O12" s="1203"/>
      <c r="P12" s="1203"/>
      <c r="Q12" s="1203"/>
      <c r="R12" s="1203"/>
      <c r="S12" s="1203"/>
      <c r="T12" s="1203"/>
      <c r="U12" s="136"/>
    </row>
    <row r="13" spans="1:21" x14ac:dyDescent="0.35">
      <c r="A13" s="136"/>
      <c r="B13" s="136"/>
      <c r="C13" s="1200"/>
      <c r="D13" s="1200"/>
      <c r="E13" s="1200"/>
      <c r="F13" s="1200"/>
      <c r="G13" s="136"/>
      <c r="H13" s="1201"/>
      <c r="I13" s="1201"/>
      <c r="J13" s="1202"/>
      <c r="K13" s="1202"/>
      <c r="L13" s="1202"/>
      <c r="M13" s="1203"/>
      <c r="N13" s="1203"/>
      <c r="O13" s="1203"/>
      <c r="P13" s="1203"/>
      <c r="Q13" s="1203"/>
      <c r="R13" s="1203"/>
      <c r="S13" s="1203"/>
      <c r="T13" s="1203"/>
      <c r="U13" s="136"/>
    </row>
    <row r="14" spans="1:21" x14ac:dyDescent="0.35">
      <c r="A14" s="136"/>
      <c r="B14" s="136"/>
      <c r="C14" s="1200"/>
      <c r="D14" s="1200"/>
      <c r="E14" s="1200"/>
      <c r="F14" s="1200"/>
      <c r="G14" s="136"/>
      <c r="H14" s="1201"/>
      <c r="I14" s="1201"/>
      <c r="J14" s="1202"/>
      <c r="K14" s="1202"/>
      <c r="L14" s="1202"/>
      <c r="M14" s="1209"/>
      <c r="N14" s="1209"/>
      <c r="O14" s="1209"/>
      <c r="P14" s="1209"/>
      <c r="Q14" s="1209"/>
      <c r="R14" s="1209"/>
      <c r="S14" s="1209"/>
      <c r="T14" s="1209"/>
      <c r="U14" s="136"/>
    </row>
    <row r="15" spans="1:21" x14ac:dyDescent="0.35">
      <c r="A15" s="136"/>
      <c r="B15" s="136"/>
      <c r="C15" s="1200"/>
      <c r="D15" s="1200"/>
      <c r="E15" s="1200"/>
      <c r="F15" s="1200"/>
      <c r="G15" s="136"/>
      <c r="H15" s="1201"/>
      <c r="I15" s="1201"/>
      <c r="J15" s="1202"/>
      <c r="K15" s="1202"/>
      <c r="L15" s="1202"/>
      <c r="M15" s="1203"/>
      <c r="N15" s="1203"/>
      <c r="O15" s="1203"/>
      <c r="P15" s="1203"/>
      <c r="Q15" s="1203"/>
      <c r="R15" s="1203"/>
      <c r="S15" s="1203"/>
      <c r="T15" s="1203"/>
      <c r="U15" s="136"/>
    </row>
    <row r="16" spans="1:21" x14ac:dyDescent="0.35">
      <c r="A16" s="136"/>
      <c r="B16" s="136"/>
      <c r="C16" s="1200"/>
      <c r="D16" s="1200"/>
      <c r="E16" s="1200"/>
      <c r="F16" s="1200"/>
      <c r="G16" s="136"/>
      <c r="H16" s="1201"/>
      <c r="I16" s="1201"/>
      <c r="J16" s="1202"/>
      <c r="K16" s="1202"/>
      <c r="L16" s="1202"/>
      <c r="M16" s="1203"/>
      <c r="N16" s="1203"/>
      <c r="O16" s="1203"/>
      <c r="P16" s="1203"/>
      <c r="Q16" s="1203"/>
      <c r="R16" s="1203"/>
      <c r="S16" s="1203"/>
      <c r="T16" s="1203"/>
      <c r="U16" s="136"/>
    </row>
    <row r="17" spans="1:21" x14ac:dyDescent="0.35">
      <c r="A17" s="136"/>
      <c r="B17" s="136"/>
      <c r="C17" s="1200"/>
      <c r="D17" s="1200"/>
      <c r="E17" s="1200"/>
      <c r="F17" s="1200"/>
      <c r="G17" s="136"/>
      <c r="H17" s="1201"/>
      <c r="I17" s="1201"/>
      <c r="J17" s="1202"/>
      <c r="K17" s="1202"/>
      <c r="L17" s="1202"/>
      <c r="M17" s="1203"/>
      <c r="N17" s="1203"/>
      <c r="O17" s="1203"/>
      <c r="P17" s="1203"/>
      <c r="Q17" s="1203"/>
      <c r="R17" s="1203"/>
      <c r="S17" s="1203"/>
      <c r="T17" s="1203"/>
      <c r="U17" s="136"/>
    </row>
    <row r="18" spans="1:21" x14ac:dyDescent="0.35">
      <c r="A18" s="136"/>
      <c r="B18" s="136"/>
      <c r="C18" s="1200"/>
      <c r="D18" s="1200"/>
      <c r="E18" s="1200"/>
      <c r="F18" s="1200"/>
      <c r="G18" s="136"/>
      <c r="H18" s="1201"/>
      <c r="I18" s="1201"/>
      <c r="J18" s="1202"/>
      <c r="K18" s="1202"/>
      <c r="L18" s="1202"/>
      <c r="M18" s="1203"/>
      <c r="N18" s="1203"/>
      <c r="O18" s="1203"/>
      <c r="P18" s="1203"/>
      <c r="Q18" s="1203"/>
      <c r="R18" s="1203"/>
      <c r="S18" s="1203"/>
      <c r="T18" s="1203"/>
      <c r="U18" s="136"/>
    </row>
    <row r="19" spans="1:21" x14ac:dyDescent="0.35">
      <c r="A19" s="136"/>
      <c r="B19" s="136"/>
      <c r="C19" s="1200"/>
      <c r="D19" s="1200"/>
      <c r="E19" s="1200"/>
      <c r="F19" s="1200"/>
      <c r="G19" s="136"/>
      <c r="H19" s="1201"/>
      <c r="I19" s="1201"/>
      <c r="J19" s="1202"/>
      <c r="K19" s="1202"/>
      <c r="L19" s="1202"/>
      <c r="M19" s="1203"/>
      <c r="N19" s="1203"/>
      <c r="O19" s="1203"/>
      <c r="P19" s="1203"/>
      <c r="Q19" s="1203"/>
      <c r="R19" s="1203"/>
      <c r="S19" s="1203"/>
      <c r="T19" s="1203"/>
      <c r="U19" s="136"/>
    </row>
    <row r="20" spans="1:21" x14ac:dyDescent="0.35">
      <c r="A20" s="136"/>
      <c r="B20" s="136"/>
      <c r="C20" s="1200"/>
      <c r="D20" s="1200"/>
      <c r="E20" s="1200"/>
      <c r="F20" s="1200"/>
      <c r="G20" s="136"/>
      <c r="H20" s="1201"/>
      <c r="I20" s="1201"/>
      <c r="J20" s="1202"/>
      <c r="K20" s="1202"/>
      <c r="L20" s="1202"/>
      <c r="M20" s="1203"/>
      <c r="N20" s="1203"/>
      <c r="O20" s="1203"/>
      <c r="P20" s="1203"/>
      <c r="Q20" s="1203"/>
      <c r="R20" s="1203"/>
      <c r="S20" s="1203"/>
      <c r="T20" s="1203"/>
      <c r="U20" s="136"/>
    </row>
    <row r="21" spans="1:21" x14ac:dyDescent="0.35">
      <c r="A21" s="136"/>
      <c r="B21" s="136"/>
      <c r="C21" s="1200"/>
      <c r="D21" s="1200"/>
      <c r="E21" s="1200"/>
      <c r="F21" s="1200"/>
      <c r="G21" s="136"/>
      <c r="H21" s="1201"/>
      <c r="I21" s="1201"/>
      <c r="J21" s="1202"/>
      <c r="K21" s="1202"/>
      <c r="L21" s="1202"/>
      <c r="M21" s="1203"/>
      <c r="N21" s="1203"/>
      <c r="O21" s="1203"/>
      <c r="P21" s="1203"/>
      <c r="Q21" s="1203"/>
      <c r="R21" s="1203"/>
      <c r="S21" s="1203"/>
      <c r="T21" s="1203"/>
      <c r="U21" s="136"/>
    </row>
    <row r="22" spans="1:21" x14ac:dyDescent="0.35">
      <c r="A22" s="136"/>
      <c r="B22" s="136"/>
      <c r="C22" s="1200"/>
      <c r="D22" s="1200"/>
      <c r="E22" s="1200"/>
      <c r="F22" s="1200"/>
      <c r="G22" s="136"/>
      <c r="H22" s="1201"/>
      <c r="I22" s="1201"/>
      <c r="J22" s="1202"/>
      <c r="K22" s="1202"/>
      <c r="L22" s="1202"/>
      <c r="M22" s="1203"/>
      <c r="N22" s="1203"/>
      <c r="O22" s="1203"/>
      <c r="P22" s="1203"/>
      <c r="Q22" s="1203"/>
      <c r="R22" s="1203"/>
      <c r="S22" s="1203"/>
      <c r="T22" s="1203"/>
      <c r="U22" s="136"/>
    </row>
    <row r="23" spans="1:21" x14ac:dyDescent="0.35">
      <c r="A23" s="136"/>
      <c r="B23" s="136"/>
      <c r="C23" s="1200"/>
      <c r="D23" s="1200"/>
      <c r="E23" s="1200"/>
      <c r="F23" s="1200"/>
      <c r="G23" s="136"/>
      <c r="H23" s="1201"/>
      <c r="I23" s="1201"/>
      <c r="J23" s="1202"/>
      <c r="K23" s="1202"/>
      <c r="L23" s="1202"/>
      <c r="M23" s="1203"/>
      <c r="N23" s="1203"/>
      <c r="O23" s="1203"/>
      <c r="P23" s="1203"/>
      <c r="Q23" s="1203"/>
      <c r="R23" s="1203"/>
      <c r="S23" s="1203"/>
      <c r="T23" s="1203"/>
      <c r="U23" s="136"/>
    </row>
    <row r="24" spans="1:21" x14ac:dyDescent="0.35">
      <c r="A24" s="136"/>
      <c r="B24" s="136"/>
      <c r="C24" s="1200"/>
      <c r="D24" s="1200"/>
      <c r="E24" s="1200"/>
      <c r="F24" s="1200"/>
      <c r="G24" s="136"/>
      <c r="H24" s="1201"/>
      <c r="I24" s="1201"/>
      <c r="J24" s="1202"/>
      <c r="K24" s="1202"/>
      <c r="L24" s="1202"/>
      <c r="M24" s="1203"/>
      <c r="N24" s="1203"/>
      <c r="O24" s="1203"/>
      <c r="P24" s="1203"/>
      <c r="Q24" s="1203"/>
      <c r="R24" s="1203"/>
      <c r="S24" s="1203"/>
      <c r="T24" s="1203"/>
      <c r="U24" s="136"/>
    </row>
    <row r="25" spans="1:21" x14ac:dyDescent="0.35">
      <c r="A25" s="136"/>
      <c r="B25" s="136"/>
      <c r="C25" s="1200"/>
      <c r="D25" s="1200"/>
      <c r="E25" s="1200"/>
      <c r="F25" s="1200"/>
      <c r="G25" s="136"/>
      <c r="H25" s="1201"/>
      <c r="I25" s="1201"/>
      <c r="J25" s="1202"/>
      <c r="K25" s="1202"/>
      <c r="L25" s="1202"/>
      <c r="M25" s="1203"/>
      <c r="N25" s="1203"/>
      <c r="O25" s="1203"/>
      <c r="P25" s="1203"/>
      <c r="Q25" s="1203"/>
      <c r="R25" s="1203"/>
      <c r="S25" s="1203"/>
      <c r="T25" s="1203"/>
      <c r="U25" s="136"/>
    </row>
    <row r="26" spans="1:21" x14ac:dyDescent="0.35">
      <c r="A26" s="136"/>
      <c r="B26" s="136"/>
      <c r="C26" s="1200"/>
      <c r="D26" s="1200"/>
      <c r="E26" s="1200"/>
      <c r="F26" s="1200"/>
      <c r="G26" s="136"/>
      <c r="H26" s="1201"/>
      <c r="I26" s="1201"/>
      <c r="J26" s="1202"/>
      <c r="K26" s="1202"/>
      <c r="L26" s="1202"/>
      <c r="M26" s="1203"/>
      <c r="N26" s="1203"/>
      <c r="O26" s="1203"/>
      <c r="P26" s="1203"/>
      <c r="Q26" s="1203"/>
      <c r="R26" s="1203"/>
      <c r="S26" s="1207"/>
      <c r="T26" s="1203"/>
      <c r="U26" s="136"/>
    </row>
    <row r="27" spans="1:21" x14ac:dyDescent="0.35">
      <c r="A27" s="136"/>
      <c r="B27" s="136"/>
      <c r="C27" s="1200"/>
      <c r="D27" s="1200"/>
      <c r="E27" s="1200"/>
      <c r="F27" s="1200"/>
      <c r="G27" s="136"/>
      <c r="H27" s="1201"/>
      <c r="I27" s="1201"/>
      <c r="J27" s="1202"/>
      <c r="K27" s="1202"/>
      <c r="L27" s="1202"/>
      <c r="M27" s="1203"/>
      <c r="N27" s="1203"/>
      <c r="O27" s="1203"/>
      <c r="P27" s="1203"/>
      <c r="Q27" s="1203"/>
      <c r="R27" s="1203"/>
      <c r="S27" s="1203"/>
      <c r="T27" s="1208"/>
      <c r="U27" s="136"/>
    </row>
    <row r="28" spans="1:21" x14ac:dyDescent="0.35">
      <c r="A28" s="136"/>
      <c r="B28" s="136"/>
      <c r="C28" s="1200"/>
      <c r="D28" s="1200"/>
      <c r="E28" s="1200"/>
      <c r="F28" s="1200"/>
      <c r="G28" s="136"/>
      <c r="H28" s="1201"/>
      <c r="I28" s="1201"/>
      <c r="J28" s="1202"/>
      <c r="K28" s="1202"/>
      <c r="L28" s="1202"/>
      <c r="M28" s="1203"/>
      <c r="N28" s="1203"/>
      <c r="O28" s="1203"/>
      <c r="P28" s="1203"/>
      <c r="Q28" s="1203"/>
      <c r="R28" s="1203"/>
      <c r="S28" s="1203"/>
      <c r="T28" s="1208"/>
      <c r="U28" s="136"/>
    </row>
    <row r="29" spans="1:21" x14ac:dyDescent="0.35">
      <c r="A29" s="136"/>
      <c r="B29" s="136"/>
      <c r="C29" s="1200"/>
      <c r="D29" s="1200"/>
      <c r="E29" s="1200"/>
      <c r="F29" s="1200"/>
      <c r="G29" s="136"/>
      <c r="H29" s="1201"/>
      <c r="I29" s="1201"/>
      <c r="J29" s="1202"/>
      <c r="K29" s="1202"/>
      <c r="L29" s="1202"/>
      <c r="M29" s="1203"/>
      <c r="N29" s="1203"/>
      <c r="O29" s="1203"/>
      <c r="P29" s="1203"/>
      <c r="Q29" s="1203"/>
      <c r="R29" s="1203"/>
      <c r="S29" s="1203"/>
      <c r="T29" s="1203"/>
      <c r="U29" s="136"/>
    </row>
    <row r="30" spans="1:21" x14ac:dyDescent="0.35">
      <c r="A30" s="136"/>
      <c r="B30" s="136"/>
      <c r="C30" s="1200"/>
      <c r="D30" s="1200"/>
      <c r="E30" s="1200"/>
      <c r="F30" s="1200"/>
      <c r="G30" s="136"/>
      <c r="H30" s="1201"/>
      <c r="I30" s="1201"/>
      <c r="J30" s="1202"/>
      <c r="K30" s="1202"/>
      <c r="L30" s="1202"/>
      <c r="M30" s="1203"/>
      <c r="N30" s="1203"/>
      <c r="O30" s="1203"/>
      <c r="P30" s="1203"/>
      <c r="Q30" s="1203"/>
      <c r="R30" s="1203"/>
      <c r="S30" s="1203"/>
      <c r="T30" s="1203"/>
      <c r="U30" s="136"/>
    </row>
    <row r="31" spans="1:21" x14ac:dyDescent="0.35">
      <c r="A31" s="136"/>
      <c r="B31" s="136"/>
      <c r="C31" s="1200"/>
      <c r="D31" s="1200"/>
      <c r="E31" s="1200"/>
      <c r="F31" s="1200"/>
      <c r="G31" s="136"/>
      <c r="H31" s="1201"/>
      <c r="I31" s="1201"/>
      <c r="J31" s="1202"/>
      <c r="K31" s="1202"/>
      <c r="L31" s="1202"/>
      <c r="M31" s="1203"/>
      <c r="N31" s="1203"/>
      <c r="O31" s="1203"/>
      <c r="P31" s="1203"/>
      <c r="Q31" s="1203"/>
      <c r="R31" s="1203"/>
      <c r="S31" s="1203"/>
      <c r="T31" s="1203"/>
      <c r="U31" s="136"/>
    </row>
    <row r="32" spans="1:21" x14ac:dyDescent="0.35">
      <c r="A32" s="136"/>
      <c r="B32" s="136"/>
      <c r="C32" s="1200"/>
      <c r="D32" s="1200"/>
      <c r="E32" s="1200"/>
      <c r="F32" s="1200"/>
      <c r="G32" s="136"/>
      <c r="H32" s="1201"/>
      <c r="I32" s="1201"/>
      <c r="J32" s="1202"/>
      <c r="K32" s="1202"/>
      <c r="L32" s="1202"/>
      <c r="M32" s="1203"/>
      <c r="N32" s="1203"/>
      <c r="O32" s="1203"/>
      <c r="P32" s="1203"/>
      <c r="Q32" s="1203"/>
      <c r="R32" s="1203"/>
      <c r="S32" s="1203"/>
      <c r="T32" s="1203"/>
      <c r="U32" s="136"/>
    </row>
    <row r="33" spans="1:21" x14ac:dyDescent="0.35">
      <c r="A33" s="136"/>
      <c r="B33" s="136"/>
      <c r="C33" s="1200"/>
      <c r="D33" s="1200"/>
      <c r="E33" s="1200"/>
      <c r="F33" s="1200"/>
      <c r="G33" s="136"/>
      <c r="H33" s="1201"/>
      <c r="I33" s="1201"/>
      <c r="J33" s="1202"/>
      <c r="K33" s="1202"/>
      <c r="L33" s="1202"/>
      <c r="M33" s="1203"/>
      <c r="N33" s="1203"/>
      <c r="O33" s="1203"/>
      <c r="P33" s="1203"/>
      <c r="Q33" s="1203"/>
      <c r="R33" s="1203"/>
      <c r="S33" s="1203"/>
      <c r="T33" s="1203"/>
      <c r="U33" s="136"/>
    </row>
    <row r="34" spans="1:21" x14ac:dyDescent="0.35">
      <c r="A34" s="136"/>
      <c r="B34" s="136"/>
      <c r="C34" s="1200"/>
      <c r="D34" s="1200"/>
      <c r="E34" s="1200"/>
      <c r="F34" s="1200"/>
      <c r="G34" s="136"/>
      <c r="H34" s="1201"/>
      <c r="I34" s="1201"/>
      <c r="J34" s="1202"/>
      <c r="K34" s="1202"/>
      <c r="L34" s="1202"/>
      <c r="M34" s="1203"/>
      <c r="N34" s="1203"/>
      <c r="O34" s="1203"/>
      <c r="P34" s="1203"/>
      <c r="Q34" s="1203"/>
      <c r="R34" s="1203"/>
      <c r="S34" s="1203"/>
      <c r="T34" s="1203"/>
      <c r="U34" s="136"/>
    </row>
    <row r="35" spans="1:21" x14ac:dyDescent="0.35">
      <c r="A35" s="136"/>
      <c r="B35" s="136"/>
      <c r="C35" s="1200"/>
      <c r="D35" s="1200"/>
      <c r="E35" s="1200"/>
      <c r="F35" s="1200"/>
      <c r="G35" s="136"/>
      <c r="H35" s="1201"/>
      <c r="I35" s="1201"/>
      <c r="J35" s="1202"/>
      <c r="K35" s="1202"/>
      <c r="L35" s="1202"/>
      <c r="M35" s="1203"/>
      <c r="N35" s="1203"/>
      <c r="O35" s="1203"/>
      <c r="P35" s="1203"/>
      <c r="Q35" s="1203"/>
      <c r="R35" s="1203"/>
      <c r="S35" s="1203"/>
      <c r="T35" s="1203"/>
      <c r="U35" s="136"/>
    </row>
    <row r="36" spans="1:21" x14ac:dyDescent="0.35">
      <c r="A36" s="136"/>
      <c r="B36" s="136"/>
      <c r="C36" s="1200"/>
      <c r="D36" s="1200"/>
      <c r="E36" s="1200"/>
      <c r="F36" s="1200"/>
      <c r="G36" s="136"/>
      <c r="H36" s="1201"/>
      <c r="I36" s="1201"/>
      <c r="J36" s="1202"/>
      <c r="K36" s="1202"/>
      <c r="L36" s="1202"/>
      <c r="M36" s="1203"/>
      <c r="N36" s="1203"/>
      <c r="O36" s="1203"/>
      <c r="P36" s="1203"/>
      <c r="Q36" s="1203"/>
      <c r="R36" s="1203"/>
      <c r="S36" s="1203"/>
      <c r="T36" s="1203"/>
      <c r="U36" s="136"/>
    </row>
    <row r="37" spans="1:21" x14ac:dyDescent="0.35">
      <c r="A37" s="136"/>
      <c r="B37" s="136"/>
      <c r="C37" s="1200"/>
      <c r="D37" s="1200"/>
      <c r="E37" s="1200"/>
      <c r="F37" s="1200"/>
      <c r="G37" s="136"/>
      <c r="H37" s="1201"/>
      <c r="I37" s="1201"/>
      <c r="J37" s="1202"/>
      <c r="K37" s="1202"/>
      <c r="L37" s="1202"/>
      <c r="M37" s="1203"/>
      <c r="N37" s="1203"/>
      <c r="O37" s="1203"/>
      <c r="P37" s="1203"/>
      <c r="Q37" s="1203"/>
      <c r="R37" s="1203"/>
      <c r="S37" s="1203"/>
      <c r="T37" s="1203"/>
      <c r="U37" s="136"/>
    </row>
    <row r="38" spans="1:21" x14ac:dyDescent="0.35">
      <c r="A38" s="136"/>
      <c r="B38" s="136"/>
      <c r="C38" s="1200"/>
      <c r="D38" s="1200"/>
      <c r="E38" s="1200"/>
      <c r="F38" s="1200"/>
      <c r="G38" s="136"/>
      <c r="H38" s="1201"/>
      <c r="I38" s="1201"/>
      <c r="J38" s="1202"/>
      <c r="K38" s="1202"/>
      <c r="L38" s="1202"/>
      <c r="M38" s="1203"/>
      <c r="N38" s="1203"/>
      <c r="O38" s="1203"/>
      <c r="P38" s="1203"/>
      <c r="Q38" s="1203"/>
      <c r="R38" s="1203"/>
      <c r="S38" s="1203"/>
      <c r="T38" s="1203"/>
      <c r="U38" s="136"/>
    </row>
    <row r="39" spans="1:21" x14ac:dyDescent="0.35">
      <c r="A39" s="136"/>
      <c r="B39" s="136"/>
      <c r="C39" s="1200"/>
      <c r="D39" s="1200"/>
      <c r="E39" s="1200"/>
      <c r="F39" s="1200"/>
      <c r="G39" s="136"/>
      <c r="H39" s="1201"/>
      <c r="I39" s="1201"/>
      <c r="J39" s="1202"/>
      <c r="K39" s="1202"/>
      <c r="L39" s="1202"/>
      <c r="M39" s="1203"/>
      <c r="N39" s="1203"/>
      <c r="O39" s="1203"/>
      <c r="P39" s="1203"/>
      <c r="Q39" s="1203"/>
      <c r="R39" s="1203"/>
      <c r="S39" s="1203"/>
      <c r="T39" s="1203"/>
      <c r="U39" s="136"/>
    </row>
    <row r="40" spans="1:21" x14ac:dyDescent="0.35">
      <c r="A40" s="136"/>
      <c r="B40" s="136"/>
      <c r="C40" s="1200"/>
      <c r="D40" s="1200"/>
      <c r="E40" s="1200"/>
      <c r="F40" s="1200"/>
      <c r="G40" s="136"/>
      <c r="H40" s="1201"/>
      <c r="I40" s="1201"/>
      <c r="J40" s="1202"/>
      <c r="K40" s="1202"/>
      <c r="L40" s="1202"/>
      <c r="M40" s="1203"/>
      <c r="N40" s="1203"/>
      <c r="O40" s="1203"/>
      <c r="P40" s="1203"/>
      <c r="Q40" s="1203"/>
      <c r="R40" s="1203"/>
      <c r="S40" s="1203"/>
      <c r="T40" s="1203"/>
      <c r="U40" s="136"/>
    </row>
    <row r="41" spans="1:21" x14ac:dyDescent="0.35">
      <c r="A41" s="136"/>
      <c r="B41" s="136"/>
      <c r="C41" s="1200"/>
      <c r="D41" s="1200"/>
      <c r="E41" s="1200"/>
      <c r="F41" s="1200"/>
      <c r="G41" s="136"/>
      <c r="H41" s="1201"/>
      <c r="I41" s="1201"/>
      <c r="J41" s="1202"/>
      <c r="K41" s="1202"/>
      <c r="L41" s="1202"/>
      <c r="M41" s="1203"/>
      <c r="N41" s="1203"/>
      <c r="O41" s="1203"/>
      <c r="P41" s="1203"/>
      <c r="Q41" s="1203"/>
      <c r="R41" s="1203"/>
      <c r="S41" s="1203"/>
      <c r="T41" s="1203"/>
      <c r="U41" s="136"/>
    </row>
    <row r="42" spans="1:21" x14ac:dyDescent="0.35">
      <c r="A42" s="136"/>
      <c r="B42" s="136"/>
      <c r="C42" s="1200"/>
      <c r="D42" s="1200"/>
      <c r="E42" s="1200"/>
      <c r="F42" s="1200"/>
      <c r="G42" s="136"/>
      <c r="H42" s="1201"/>
      <c r="I42" s="1201"/>
      <c r="J42" s="1202"/>
      <c r="K42" s="1202"/>
      <c r="L42" s="1202"/>
      <c r="M42" s="1203"/>
      <c r="N42" s="1203"/>
      <c r="O42" s="1203"/>
      <c r="P42" s="1203"/>
      <c r="Q42" s="1203"/>
      <c r="R42" s="1203"/>
      <c r="S42" s="1203"/>
      <c r="T42" s="1203"/>
      <c r="U42" s="136"/>
    </row>
    <row r="43" spans="1:21" x14ac:dyDescent="0.35">
      <c r="A43" s="136"/>
      <c r="B43" s="136"/>
      <c r="C43" s="1200"/>
      <c r="D43" s="1200"/>
      <c r="E43" s="1200"/>
      <c r="F43" s="1200"/>
      <c r="G43" s="136"/>
      <c r="H43" s="1201"/>
      <c r="I43" s="1201"/>
      <c r="J43" s="1202"/>
      <c r="K43" s="1202"/>
      <c r="L43" s="1202"/>
      <c r="M43" s="1203"/>
      <c r="N43" s="1203"/>
      <c r="O43" s="1203"/>
      <c r="P43" s="1203"/>
      <c r="Q43" s="1203"/>
      <c r="R43" s="1203"/>
      <c r="S43" s="1203"/>
      <c r="T43" s="1203"/>
      <c r="U43" s="136"/>
    </row>
    <row r="44" spans="1:21" x14ac:dyDescent="0.35">
      <c r="A44" s="136"/>
      <c r="B44" s="136"/>
      <c r="C44" s="1200"/>
      <c r="D44" s="1200"/>
      <c r="E44" s="1200"/>
      <c r="F44" s="1200"/>
      <c r="G44" s="136"/>
      <c r="H44" s="1201"/>
      <c r="I44" s="1201"/>
      <c r="J44" s="1202"/>
      <c r="K44" s="1202"/>
      <c r="L44" s="1202"/>
      <c r="M44" s="1203"/>
      <c r="N44" s="1203"/>
      <c r="O44" s="1203"/>
      <c r="P44" s="1203"/>
      <c r="Q44" s="1203"/>
      <c r="R44" s="1203"/>
      <c r="S44" s="1203"/>
      <c r="T44" s="1203"/>
      <c r="U44" s="136"/>
    </row>
    <row r="45" spans="1:21" x14ac:dyDescent="0.35">
      <c r="A45" s="136"/>
      <c r="B45" s="136"/>
      <c r="C45" s="1200"/>
      <c r="D45" s="1200"/>
      <c r="E45" s="1200"/>
      <c r="F45" s="1200"/>
      <c r="G45" s="136"/>
      <c r="H45" s="1201"/>
      <c r="I45" s="1201"/>
      <c r="J45" s="1202"/>
      <c r="K45" s="1202"/>
      <c r="L45" s="1202"/>
      <c r="M45" s="1203"/>
      <c r="N45" s="1203"/>
      <c r="O45" s="1203"/>
      <c r="P45" s="1203"/>
      <c r="Q45" s="1203"/>
      <c r="R45" s="1203"/>
      <c r="S45" s="1203"/>
      <c r="T45" s="1203"/>
      <c r="U45" s="136"/>
    </row>
    <row r="46" spans="1:21" x14ac:dyDescent="0.35">
      <c r="A46" s="136"/>
      <c r="B46" s="136"/>
      <c r="C46" s="1200"/>
      <c r="D46" s="1200"/>
      <c r="E46" s="1200"/>
      <c r="F46" s="1200"/>
      <c r="G46" s="136"/>
      <c r="H46" s="1201"/>
      <c r="I46" s="1201"/>
      <c r="J46" s="1202"/>
      <c r="K46" s="1202"/>
      <c r="L46" s="1202"/>
      <c r="M46" s="1203"/>
      <c r="N46" s="1203"/>
      <c r="O46" s="1203"/>
      <c r="P46" s="1203"/>
      <c r="Q46" s="1203"/>
      <c r="R46" s="1203"/>
      <c r="S46" s="1203"/>
      <c r="T46" s="1203"/>
      <c r="U46" s="136"/>
    </row>
    <row r="47" spans="1:21" x14ac:dyDescent="0.35">
      <c r="A47" s="136"/>
      <c r="B47" s="136"/>
      <c r="C47" s="1200"/>
      <c r="D47" s="1200"/>
      <c r="E47" s="1200"/>
      <c r="F47" s="1200"/>
      <c r="G47" s="136"/>
      <c r="H47" s="1201"/>
      <c r="I47" s="1201"/>
      <c r="J47" s="1202"/>
      <c r="K47" s="1202"/>
      <c r="L47" s="1202"/>
      <c r="M47" s="1203"/>
      <c r="N47" s="1203"/>
      <c r="O47" s="1203"/>
      <c r="P47" s="1203"/>
      <c r="Q47" s="1203"/>
      <c r="R47" s="1203"/>
      <c r="S47" s="1203"/>
      <c r="T47" s="1203"/>
      <c r="U47" s="136"/>
    </row>
    <row r="48" spans="1:21" x14ac:dyDescent="0.35">
      <c r="A48" s="136"/>
      <c r="B48" s="136"/>
      <c r="C48" s="1200"/>
      <c r="D48" s="1200"/>
      <c r="E48" s="1200"/>
      <c r="F48" s="1200"/>
      <c r="G48" s="136"/>
      <c r="H48" s="1201"/>
      <c r="I48" s="1201"/>
      <c r="J48" s="1202"/>
      <c r="K48" s="1202"/>
      <c r="L48" s="1202"/>
      <c r="M48" s="1203"/>
      <c r="N48" s="1203"/>
      <c r="O48" s="1203"/>
      <c r="P48" s="1203"/>
      <c r="Q48" s="1203"/>
      <c r="R48" s="1203"/>
      <c r="S48" s="1203"/>
      <c r="T48" s="1203"/>
      <c r="U48" s="136"/>
    </row>
    <row r="49" spans="1:21" x14ac:dyDescent="0.35">
      <c r="A49" s="136"/>
      <c r="B49" s="136"/>
      <c r="C49" s="1200"/>
      <c r="D49" s="1200"/>
      <c r="E49" s="1200"/>
      <c r="F49" s="1200"/>
      <c r="G49" s="136"/>
      <c r="H49" s="1201"/>
      <c r="I49" s="1201"/>
      <c r="J49" s="1202"/>
      <c r="K49" s="1202"/>
      <c r="L49" s="1202"/>
      <c r="M49" s="1203"/>
      <c r="N49" s="1203"/>
      <c r="O49" s="1203"/>
      <c r="P49" s="1203"/>
      <c r="Q49" s="1203"/>
      <c r="R49" s="1203"/>
      <c r="S49" s="1203"/>
      <c r="T49" s="1203"/>
      <c r="U49" s="136"/>
    </row>
    <row r="50" spans="1:21" x14ac:dyDescent="0.35">
      <c r="A50" s="136"/>
      <c r="B50" s="136"/>
      <c r="C50" s="1200"/>
      <c r="D50" s="1200"/>
      <c r="E50" s="1200"/>
      <c r="F50" s="1200"/>
      <c r="G50" s="136"/>
      <c r="H50" s="1201"/>
      <c r="I50" s="1201"/>
      <c r="J50" s="1202"/>
      <c r="K50" s="1202"/>
      <c r="L50" s="1202"/>
      <c r="M50" s="1203"/>
      <c r="N50" s="1203"/>
      <c r="O50" s="1203"/>
      <c r="P50" s="1203"/>
      <c r="Q50" s="1203"/>
      <c r="R50" s="1203"/>
      <c r="S50" s="1203"/>
      <c r="T50" s="1203"/>
      <c r="U50" s="136"/>
    </row>
    <row r="51" spans="1:21" x14ac:dyDescent="0.35">
      <c r="A51" s="136"/>
      <c r="B51" s="136"/>
      <c r="C51" s="1200"/>
      <c r="D51" s="1200"/>
      <c r="E51" s="1200"/>
      <c r="F51" s="1200"/>
      <c r="G51" s="136"/>
      <c r="H51" s="1201"/>
      <c r="I51" s="1201"/>
      <c r="J51" s="1202"/>
      <c r="K51" s="1202"/>
      <c r="L51" s="1202"/>
      <c r="M51" s="1203"/>
      <c r="N51" s="1203"/>
      <c r="O51" s="1203"/>
      <c r="P51" s="1203"/>
      <c r="Q51" s="1203"/>
      <c r="R51" s="1203"/>
      <c r="S51" s="1207"/>
      <c r="T51" s="1207"/>
      <c r="U51" s="136"/>
    </row>
    <row r="52" spans="1:21" x14ac:dyDescent="0.35">
      <c r="A52" s="136"/>
      <c r="B52" s="136"/>
      <c r="C52" s="1200"/>
      <c r="D52" s="1200"/>
      <c r="E52" s="1200"/>
      <c r="F52" s="1200"/>
      <c r="G52" s="136"/>
      <c r="H52" s="1201"/>
      <c r="I52" s="1201"/>
      <c r="J52" s="1202"/>
      <c r="K52" s="1202"/>
      <c r="L52" s="1202"/>
      <c r="M52" s="1203"/>
      <c r="N52" s="1203"/>
      <c r="O52" s="1203"/>
      <c r="P52" s="1203"/>
      <c r="Q52" s="1203"/>
      <c r="R52" s="1203"/>
      <c r="S52" s="1203"/>
      <c r="T52" s="1203"/>
      <c r="U52" s="136"/>
    </row>
    <row r="53" spans="1:21" x14ac:dyDescent="0.35">
      <c r="A53" s="136"/>
      <c r="B53" s="136"/>
      <c r="C53" s="1200"/>
      <c r="D53" s="1200"/>
      <c r="E53" s="1200"/>
      <c r="F53" s="1200"/>
      <c r="G53" s="136"/>
      <c r="H53" s="1201"/>
      <c r="I53" s="1201"/>
      <c r="J53" s="1202"/>
      <c r="K53" s="1202"/>
      <c r="L53" s="1202"/>
      <c r="M53" s="1203"/>
      <c r="N53" s="1203"/>
      <c r="O53" s="1203"/>
      <c r="P53" s="1203"/>
      <c r="Q53" s="1203"/>
      <c r="R53" s="1203"/>
      <c r="S53" s="1203"/>
      <c r="T53" s="1203"/>
      <c r="U53" s="136"/>
    </row>
    <row r="54" spans="1:21" x14ac:dyDescent="0.35">
      <c r="A54" s="136"/>
      <c r="B54" s="136"/>
      <c r="C54" s="1200"/>
      <c r="D54" s="1200"/>
      <c r="E54" s="1200"/>
      <c r="F54" s="1200"/>
      <c r="G54" s="136"/>
      <c r="H54" s="1201"/>
      <c r="I54" s="1201"/>
      <c r="J54" s="1202"/>
      <c r="K54" s="1202"/>
      <c r="L54" s="1202"/>
      <c r="M54" s="1203"/>
      <c r="N54" s="1203"/>
      <c r="O54" s="1203"/>
      <c r="P54" s="1203"/>
      <c r="Q54" s="1203"/>
      <c r="R54" s="1203"/>
      <c r="S54" s="1203"/>
      <c r="T54" s="1203"/>
      <c r="U54" s="136"/>
    </row>
    <row r="55" spans="1:21" x14ac:dyDescent="0.35">
      <c r="A55" s="136"/>
      <c r="B55" s="136"/>
      <c r="C55" s="1200"/>
      <c r="D55" s="1200"/>
      <c r="E55" s="1200"/>
      <c r="F55" s="1200"/>
      <c r="G55" s="136"/>
      <c r="H55" s="1201"/>
      <c r="I55" s="1201"/>
      <c r="J55" s="1202"/>
      <c r="K55" s="1202"/>
      <c r="L55" s="1202"/>
      <c r="M55" s="1203"/>
      <c r="N55" s="1203"/>
      <c r="O55" s="1203"/>
      <c r="P55" s="1203"/>
      <c r="Q55" s="1203"/>
      <c r="R55" s="1203"/>
      <c r="S55" s="1203"/>
      <c r="T55" s="1203"/>
      <c r="U55" s="136"/>
    </row>
    <row r="56" spans="1:21" x14ac:dyDescent="0.35">
      <c r="A56" s="136"/>
      <c r="B56" s="136"/>
      <c r="C56" s="1200"/>
      <c r="D56" s="1200"/>
      <c r="E56" s="1200"/>
      <c r="F56" s="1200"/>
      <c r="G56" s="136"/>
      <c r="H56" s="1201"/>
      <c r="I56" s="1201"/>
      <c r="J56" s="1202"/>
      <c r="K56" s="1202"/>
      <c r="L56" s="1202"/>
      <c r="M56" s="1203"/>
      <c r="N56" s="1203"/>
      <c r="O56" s="1203"/>
      <c r="P56" s="1203"/>
      <c r="Q56" s="1203"/>
      <c r="R56" s="1203"/>
      <c r="S56" s="1203"/>
      <c r="T56" s="1203"/>
      <c r="U56" s="136"/>
    </row>
    <row r="57" spans="1:21" x14ac:dyDescent="0.35">
      <c r="A57" s="136"/>
      <c r="B57" s="136"/>
      <c r="C57" s="1200"/>
      <c r="D57" s="1200"/>
      <c r="E57" s="1200"/>
      <c r="F57" s="1200"/>
      <c r="G57" s="136"/>
      <c r="H57" s="1201"/>
      <c r="I57" s="1201"/>
      <c r="J57" s="1202"/>
      <c r="K57" s="1202"/>
      <c r="L57" s="1202"/>
      <c r="M57" s="1203"/>
      <c r="N57" s="1203"/>
      <c r="O57" s="1203"/>
      <c r="P57" s="1203"/>
      <c r="Q57" s="1203"/>
      <c r="R57" s="1203"/>
      <c r="S57" s="1203"/>
      <c r="T57" s="1203"/>
      <c r="U57" s="136"/>
    </row>
    <row r="58" spans="1:21" x14ac:dyDescent="0.35">
      <c r="A58" s="136"/>
      <c r="B58" s="136"/>
      <c r="C58" s="1200"/>
      <c r="D58" s="1200"/>
      <c r="E58" s="1200"/>
      <c r="F58" s="1200"/>
      <c r="G58" s="136"/>
      <c r="H58" s="1201"/>
      <c r="I58" s="1201"/>
      <c r="J58" s="1202"/>
      <c r="K58" s="1202"/>
      <c r="L58" s="1202"/>
      <c r="M58" s="1203"/>
      <c r="N58" s="1203"/>
      <c r="O58" s="1203"/>
      <c r="P58" s="1203"/>
      <c r="Q58" s="1203"/>
      <c r="R58" s="1203"/>
      <c r="S58" s="1203"/>
      <c r="T58" s="1203"/>
      <c r="U58" s="136"/>
    </row>
    <row r="59" spans="1:21" x14ac:dyDescent="0.35">
      <c r="A59" s="136"/>
      <c r="B59" s="136"/>
      <c r="C59" s="1200"/>
      <c r="D59" s="1200"/>
      <c r="E59" s="1200"/>
      <c r="F59" s="1200"/>
      <c r="G59" s="136"/>
      <c r="H59" s="1201"/>
      <c r="I59" s="1201"/>
      <c r="J59" s="1202"/>
      <c r="K59" s="1202"/>
      <c r="L59" s="1202"/>
      <c r="M59" s="1203"/>
      <c r="N59" s="1203"/>
      <c r="O59" s="1203"/>
      <c r="P59" s="1203"/>
      <c r="Q59" s="1203"/>
      <c r="R59" s="1203"/>
      <c r="S59" s="1203"/>
      <c r="T59" s="1203"/>
      <c r="U59" s="136"/>
    </row>
    <row r="60" spans="1:21" x14ac:dyDescent="0.35">
      <c r="A60" s="136"/>
      <c r="B60" s="136"/>
      <c r="C60" s="1200"/>
      <c r="D60" s="1200"/>
      <c r="E60" s="1200"/>
      <c r="F60" s="1200"/>
      <c r="G60" s="136"/>
      <c r="H60" s="1201"/>
      <c r="I60" s="1201"/>
      <c r="J60" s="1202"/>
      <c r="K60" s="1202"/>
      <c r="L60" s="1202"/>
      <c r="M60" s="1203"/>
      <c r="N60" s="1203"/>
      <c r="O60" s="1203"/>
      <c r="P60" s="1203"/>
      <c r="Q60" s="1203"/>
      <c r="R60" s="1203"/>
      <c r="S60" s="1203"/>
      <c r="T60" s="1203"/>
      <c r="U60" s="136"/>
    </row>
    <row r="61" spans="1:21" x14ac:dyDescent="0.35">
      <c r="A61" s="136"/>
      <c r="B61" s="136"/>
      <c r="C61" s="1200"/>
      <c r="D61" s="1200"/>
      <c r="E61" s="1200"/>
      <c r="F61" s="1200"/>
      <c r="G61" s="136"/>
      <c r="H61" s="1201"/>
      <c r="I61" s="1201"/>
      <c r="J61" s="1202"/>
      <c r="K61" s="1202"/>
      <c r="L61" s="1202"/>
      <c r="M61" s="1203"/>
      <c r="N61" s="1203"/>
      <c r="O61" s="1203"/>
      <c r="P61" s="1203"/>
      <c r="Q61" s="1203"/>
      <c r="R61" s="1203"/>
      <c r="S61" s="1203"/>
      <c r="T61" s="1203"/>
      <c r="U61" s="136"/>
    </row>
    <row r="62" spans="1:21" x14ac:dyDescent="0.35">
      <c r="A62" s="136"/>
      <c r="B62" s="136"/>
      <c r="C62" s="1200"/>
      <c r="D62" s="1200"/>
      <c r="E62" s="1200"/>
      <c r="F62" s="1200"/>
      <c r="G62" s="136"/>
      <c r="H62" s="1201"/>
      <c r="I62" s="1201"/>
      <c r="J62" s="1202"/>
      <c r="K62" s="1202"/>
      <c r="L62" s="1202"/>
      <c r="M62" s="1203"/>
      <c r="N62" s="1203"/>
      <c r="O62" s="1203"/>
      <c r="P62" s="1203"/>
      <c r="Q62" s="1203"/>
      <c r="R62" s="1203"/>
      <c r="S62" s="1203"/>
      <c r="T62" s="1203"/>
      <c r="U62" s="136"/>
    </row>
    <row r="63" spans="1:21" x14ac:dyDescent="0.35">
      <c r="A63" s="136"/>
      <c r="B63" s="136"/>
      <c r="C63" s="1200"/>
      <c r="D63" s="1200"/>
      <c r="E63" s="1200"/>
      <c r="F63" s="1200"/>
      <c r="G63" s="136"/>
      <c r="H63" s="1201"/>
      <c r="I63" s="1201"/>
      <c r="J63" s="1202"/>
      <c r="K63" s="1202"/>
      <c r="L63" s="1202"/>
      <c r="M63" s="1203"/>
      <c r="N63" s="1203"/>
      <c r="O63" s="1203"/>
      <c r="P63" s="1203"/>
      <c r="Q63" s="1203"/>
      <c r="R63" s="1203"/>
      <c r="S63" s="1203"/>
      <c r="T63" s="1203"/>
      <c r="U63" s="136"/>
    </row>
    <row r="64" spans="1:21" x14ac:dyDescent="0.35">
      <c r="A64" s="136"/>
      <c r="B64" s="136"/>
      <c r="C64" s="1200"/>
      <c r="D64" s="1200"/>
      <c r="E64" s="1200"/>
      <c r="F64" s="1200"/>
      <c r="G64" s="136"/>
      <c r="H64" s="1201"/>
      <c r="I64" s="1201"/>
      <c r="J64" s="1202"/>
      <c r="K64" s="1202"/>
      <c r="L64" s="1202"/>
      <c r="M64" s="1203"/>
      <c r="N64" s="1203"/>
      <c r="O64" s="1203"/>
      <c r="P64" s="1203"/>
      <c r="Q64" s="1203"/>
      <c r="R64" s="1203"/>
      <c r="S64" s="1203"/>
      <c r="T64" s="1203"/>
      <c r="U64" s="136"/>
    </row>
    <row r="65" spans="1:21" x14ac:dyDescent="0.35">
      <c r="A65" s="136"/>
      <c r="B65" s="136"/>
      <c r="C65" s="1200"/>
      <c r="D65" s="1200"/>
      <c r="E65" s="1200"/>
      <c r="F65" s="1200"/>
      <c r="G65" s="136"/>
      <c r="H65" s="1201"/>
      <c r="I65" s="1201"/>
      <c r="J65" s="1202"/>
      <c r="K65" s="1202"/>
      <c r="L65" s="1202"/>
      <c r="M65" s="1203"/>
      <c r="N65" s="1203"/>
      <c r="O65" s="1203"/>
      <c r="P65" s="1203"/>
      <c r="Q65" s="1203"/>
      <c r="R65" s="1203"/>
      <c r="S65" s="1203"/>
      <c r="T65" s="1203"/>
      <c r="U65" s="136"/>
    </row>
    <row r="66" spans="1:21" x14ac:dyDescent="0.35">
      <c r="A66" s="136"/>
      <c r="B66" s="136"/>
      <c r="C66" s="1200"/>
      <c r="D66" s="1200"/>
      <c r="E66" s="1200"/>
      <c r="F66" s="1200"/>
      <c r="G66" s="136"/>
      <c r="H66" s="1201"/>
      <c r="I66" s="1201"/>
      <c r="J66" s="1202"/>
      <c r="K66" s="1202"/>
      <c r="L66" s="1202"/>
      <c r="M66" s="1203"/>
      <c r="N66" s="1203"/>
      <c r="O66" s="1203"/>
      <c r="P66" s="1203"/>
      <c r="Q66" s="1203"/>
      <c r="R66" s="1203"/>
      <c r="S66" s="1203"/>
      <c r="T66" s="1203"/>
      <c r="U66" s="136"/>
    </row>
    <row r="67" spans="1:21" x14ac:dyDescent="0.35">
      <c r="A67" s="136"/>
      <c r="B67" s="136"/>
      <c r="C67" s="1200"/>
      <c r="D67" s="1200"/>
      <c r="E67" s="1200"/>
      <c r="F67" s="1200"/>
      <c r="G67" s="136"/>
      <c r="H67" s="1201"/>
      <c r="I67" s="1201"/>
      <c r="J67" s="1202"/>
      <c r="K67" s="1202"/>
      <c r="L67" s="1202"/>
    </row>
    <row r="68" spans="1:21" x14ac:dyDescent="0.35">
      <c r="A68" s="136"/>
      <c r="B68" s="136"/>
      <c r="C68" s="1200"/>
      <c r="D68" s="1200"/>
      <c r="E68" s="1200"/>
      <c r="F68" s="1200"/>
      <c r="G68" s="136"/>
      <c r="H68" s="1201"/>
      <c r="I68" s="1201"/>
      <c r="J68" s="1202"/>
      <c r="K68" s="1202"/>
      <c r="L68" s="1202"/>
    </row>
    <row r="69" spans="1:21" x14ac:dyDescent="0.35">
      <c r="A69" s="1203"/>
      <c r="B69" s="1203"/>
      <c r="C69" s="1203"/>
      <c r="D69" s="1203"/>
      <c r="E69" s="1203"/>
      <c r="F69" s="1203"/>
      <c r="G69" s="1203"/>
      <c r="H69" s="1203"/>
      <c r="I69" s="1203"/>
      <c r="J69" s="1203"/>
      <c r="K69" s="1202"/>
      <c r="L69" s="1202"/>
    </row>
    <row r="70" spans="1:21" x14ac:dyDescent="0.35">
      <c r="A70" s="1203"/>
      <c r="B70" s="1203"/>
      <c r="C70" s="1203"/>
      <c r="D70" s="1203"/>
      <c r="E70" s="1203"/>
      <c r="F70" s="1203"/>
      <c r="G70" s="1203"/>
      <c r="H70" s="1203"/>
      <c r="I70" s="1203"/>
      <c r="J70" s="1203"/>
      <c r="K70" s="1202"/>
      <c r="L70" s="1202"/>
    </row>
  </sheetData>
  <mergeCells count="3">
    <mergeCell ref="J4:K4"/>
    <mergeCell ref="A6:Q6"/>
    <mergeCell ref="C8:F8"/>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59999389629810485"/>
  </sheetPr>
  <dimension ref="A2:P35"/>
  <sheetViews>
    <sheetView topLeftCell="D10" workbookViewId="0">
      <selection activeCell="L27" sqref="L27"/>
    </sheetView>
  </sheetViews>
  <sheetFormatPr baseColWidth="10" defaultRowHeight="14.5" x14ac:dyDescent="0.35"/>
  <cols>
    <col min="1" max="1" width="11.453125" style="136"/>
    <col min="2" max="2" width="32.1796875" style="136" bestFit="1" customWidth="1"/>
    <col min="3" max="3" width="11.453125" style="136" bestFit="1"/>
    <col min="4" max="4" width="14.1796875" style="136" bestFit="1" customWidth="1"/>
    <col min="5" max="5" width="18" style="136" customWidth="1"/>
    <col min="6" max="6" width="20.7265625" style="136" customWidth="1"/>
    <col min="7" max="7" width="28.54296875" style="136" customWidth="1"/>
    <col min="8" max="10" width="19.26953125" style="136" customWidth="1"/>
    <col min="11" max="14" width="11.453125" style="136"/>
  </cols>
  <sheetData>
    <row r="2" spans="1:16" x14ac:dyDescent="0.35">
      <c r="C2" s="137"/>
      <c r="D2" s="1685" t="s">
        <v>221</v>
      </c>
      <c r="E2" s="1685"/>
      <c r="F2" s="1685"/>
      <c r="G2" s="137"/>
      <c r="H2" s="137"/>
    </row>
    <row r="3" spans="1:16" x14ac:dyDescent="0.35">
      <c r="C3" s="138"/>
      <c r="D3" s="139"/>
      <c r="E3" s="139"/>
      <c r="F3" s="139"/>
      <c r="G3" s="139"/>
      <c r="H3" s="139"/>
    </row>
    <row r="4" spans="1:16" ht="15.5" x14ac:dyDescent="0.35">
      <c r="C4" s="138"/>
      <c r="D4" s="140" t="s">
        <v>1</v>
      </c>
      <c r="E4" s="1686" t="s">
        <v>20</v>
      </c>
      <c r="F4" s="1687"/>
      <c r="G4" s="137"/>
      <c r="H4" s="137"/>
    </row>
    <row r="5" spans="1:16" x14ac:dyDescent="0.35">
      <c r="C5" s="141"/>
      <c r="D5" s="137"/>
      <c r="E5" s="137"/>
      <c r="F5" s="137"/>
      <c r="G5" s="137"/>
      <c r="H5" s="137"/>
    </row>
    <row r="7" spans="1:16" x14ac:dyDescent="0.35">
      <c r="B7" s="1688" t="s">
        <v>222</v>
      </c>
      <c r="C7" s="1689"/>
      <c r="D7" s="1689"/>
      <c r="E7" s="1689"/>
      <c r="F7" s="1689"/>
      <c r="G7" s="1689"/>
      <c r="H7" s="1689"/>
      <c r="I7" s="1689"/>
      <c r="J7" s="1689"/>
      <c r="K7" s="1689"/>
      <c r="L7" s="1689"/>
      <c r="M7" s="1690"/>
    </row>
    <row r="8" spans="1:16" x14ac:dyDescent="0.35">
      <c r="B8" s="1653"/>
      <c r="C8" s="1654"/>
      <c r="D8" s="1654"/>
      <c r="E8" s="1654"/>
      <c r="F8" s="1654"/>
      <c r="G8" s="1654"/>
      <c r="H8" s="1654"/>
      <c r="I8" s="1654"/>
      <c r="J8" s="1654"/>
      <c r="K8" s="1654"/>
      <c r="L8" s="1654"/>
      <c r="M8" s="1691"/>
    </row>
    <row r="9" spans="1:16" x14ac:dyDescent="0.35">
      <c r="B9" s="1653"/>
      <c r="C9" s="1654"/>
      <c r="D9" s="1654"/>
      <c r="E9" s="1654"/>
      <c r="F9" s="1654"/>
      <c r="G9" s="1654"/>
      <c r="H9" s="1654"/>
      <c r="I9" s="1654"/>
      <c r="J9" s="1654"/>
      <c r="K9" s="1654"/>
      <c r="L9" s="1654"/>
      <c r="M9" s="1691"/>
    </row>
    <row r="10" spans="1:16" x14ac:dyDescent="0.35">
      <c r="B10" s="1656"/>
      <c r="C10" s="1692"/>
      <c r="D10" s="1692"/>
      <c r="E10" s="1692"/>
      <c r="F10" s="1692"/>
      <c r="G10" s="1692"/>
      <c r="H10" s="1692"/>
      <c r="I10" s="1692"/>
      <c r="J10" s="1692"/>
      <c r="K10" s="1692"/>
      <c r="L10" s="1692"/>
      <c r="M10" s="1658"/>
    </row>
    <row r="12" spans="1:16" ht="16" thickBot="1" x14ac:dyDescent="0.4">
      <c r="B12" s="1693" t="s">
        <v>223</v>
      </c>
      <c r="C12" s="1693"/>
      <c r="D12" s="1693"/>
      <c r="E12" s="142"/>
    </row>
    <row r="13" spans="1:16" ht="23.25" customHeight="1" thickBot="1" x14ac:dyDescent="0.4">
      <c r="B13" s="1694" t="s">
        <v>332</v>
      </c>
      <c r="C13" s="1695"/>
      <c r="D13" s="1695"/>
      <c r="E13" s="1696"/>
      <c r="G13" s="1694" t="s">
        <v>333</v>
      </c>
      <c r="H13" s="1695"/>
      <c r="I13" s="1695"/>
      <c r="J13" s="1696"/>
      <c r="M13" s="737"/>
      <c r="N13" s="742"/>
      <c r="O13" s="738"/>
      <c r="P13" s="743"/>
    </row>
    <row r="14" spans="1:16" x14ac:dyDescent="0.35">
      <c r="A14" s="143"/>
      <c r="B14" s="558" t="s">
        <v>224</v>
      </c>
      <c r="C14" s="558" t="s">
        <v>225</v>
      </c>
      <c r="D14" s="558" t="s">
        <v>101</v>
      </c>
      <c r="E14" s="558" t="s">
        <v>102</v>
      </c>
      <c r="F14" s="143"/>
      <c r="G14" s="558" t="s">
        <v>224</v>
      </c>
      <c r="H14" s="558" t="s">
        <v>225</v>
      </c>
      <c r="I14" s="558" t="s">
        <v>101</v>
      </c>
      <c r="J14" s="558" t="s">
        <v>102</v>
      </c>
      <c r="K14" s="143"/>
      <c r="L14" s="143"/>
      <c r="M14" s="737"/>
      <c r="N14" s="742"/>
      <c r="O14" s="738"/>
      <c r="P14" s="743"/>
    </row>
    <row r="15" spans="1:16" x14ac:dyDescent="0.35">
      <c r="B15" s="554" t="s">
        <v>314</v>
      </c>
      <c r="C15" s="555">
        <v>105</v>
      </c>
      <c r="D15" s="144">
        <v>2</v>
      </c>
      <c r="E15" s="145">
        <f>C15*D15</f>
        <v>210</v>
      </c>
      <c r="G15" s="554" t="s">
        <v>314</v>
      </c>
      <c r="H15" s="555">
        <v>215</v>
      </c>
      <c r="I15" s="556">
        <v>1</v>
      </c>
      <c r="J15" s="557">
        <v>215</v>
      </c>
      <c r="M15" s="737"/>
      <c r="N15" s="742"/>
      <c r="O15" s="738"/>
      <c r="P15" s="743"/>
    </row>
    <row r="16" spans="1:16" x14ac:dyDescent="0.35">
      <c r="B16" s="554" t="s">
        <v>315</v>
      </c>
      <c r="C16" s="555">
        <v>190</v>
      </c>
      <c r="D16" s="144">
        <v>1</v>
      </c>
      <c r="E16" s="145">
        <f t="shared" ref="E16:E27" si="0">C16*D16</f>
        <v>190</v>
      </c>
      <c r="G16" s="554" t="s">
        <v>315</v>
      </c>
      <c r="H16" s="555">
        <v>190</v>
      </c>
      <c r="I16" s="556">
        <v>1</v>
      </c>
      <c r="J16" s="557">
        <v>190</v>
      </c>
      <c r="M16" s="737"/>
      <c r="N16" s="742"/>
      <c r="O16" s="738"/>
      <c r="P16" s="743"/>
    </row>
    <row r="17" spans="2:16" x14ac:dyDescent="0.35">
      <c r="B17" s="554" t="s">
        <v>316</v>
      </c>
      <c r="C17" s="555">
        <v>330</v>
      </c>
      <c r="D17" s="144">
        <v>1</v>
      </c>
      <c r="E17" s="145">
        <f t="shared" si="0"/>
        <v>330</v>
      </c>
      <c r="G17" s="554" t="s">
        <v>316</v>
      </c>
      <c r="H17" s="555">
        <v>330</v>
      </c>
      <c r="I17" s="556">
        <v>1</v>
      </c>
      <c r="J17" s="557">
        <v>330</v>
      </c>
      <c r="M17" s="737"/>
      <c r="N17" s="742"/>
      <c r="O17" s="738"/>
      <c r="P17" s="743"/>
    </row>
    <row r="18" spans="2:16" x14ac:dyDescent="0.35">
      <c r="B18" s="554" t="s">
        <v>418</v>
      </c>
      <c r="C18" s="555">
        <v>150</v>
      </c>
      <c r="D18" s="144">
        <v>1</v>
      </c>
      <c r="E18" s="145">
        <f t="shared" si="0"/>
        <v>150</v>
      </c>
      <c r="G18" s="554" t="s">
        <v>326</v>
      </c>
      <c r="H18" s="555">
        <v>170</v>
      </c>
      <c r="I18" s="556">
        <v>1</v>
      </c>
      <c r="J18" s="557">
        <v>170</v>
      </c>
      <c r="M18" s="737"/>
      <c r="N18" s="742"/>
      <c r="O18" s="738"/>
      <c r="P18" s="743"/>
    </row>
    <row r="19" spans="2:16" x14ac:dyDescent="0.35">
      <c r="B19" s="554" t="s">
        <v>317</v>
      </c>
      <c r="C19" s="555">
        <v>260</v>
      </c>
      <c r="D19" s="144">
        <v>1</v>
      </c>
      <c r="E19" s="145">
        <f t="shared" si="0"/>
        <v>260</v>
      </c>
      <c r="G19" s="554" t="s">
        <v>327</v>
      </c>
      <c r="H19" s="555">
        <v>270</v>
      </c>
      <c r="I19" s="556">
        <v>1</v>
      </c>
      <c r="J19" s="557">
        <v>270</v>
      </c>
      <c r="M19" s="737"/>
      <c r="N19" s="742"/>
      <c r="O19" s="738"/>
      <c r="P19" s="743"/>
    </row>
    <row r="20" spans="2:16" x14ac:dyDescent="0.35">
      <c r="B20" s="554" t="s">
        <v>318</v>
      </c>
      <c r="C20" s="555">
        <v>10</v>
      </c>
      <c r="D20" s="144">
        <v>1</v>
      </c>
      <c r="E20" s="145">
        <f t="shared" si="0"/>
        <v>10</v>
      </c>
      <c r="G20" s="554" t="s">
        <v>419</v>
      </c>
      <c r="H20" s="555">
        <v>280</v>
      </c>
      <c r="I20" s="556">
        <v>1</v>
      </c>
      <c r="J20" s="557">
        <v>280</v>
      </c>
      <c r="M20" s="737"/>
      <c r="N20" s="742"/>
      <c r="O20" s="738"/>
      <c r="P20" s="743"/>
    </row>
    <row r="21" spans="2:16" x14ac:dyDescent="0.35">
      <c r="B21" s="554" t="s">
        <v>319</v>
      </c>
      <c r="C21" s="555">
        <v>22</v>
      </c>
      <c r="D21" s="144">
        <v>1</v>
      </c>
      <c r="E21" s="145">
        <f t="shared" si="0"/>
        <v>22</v>
      </c>
      <c r="G21" s="554" t="s">
        <v>328</v>
      </c>
      <c r="H21" s="555">
        <v>30</v>
      </c>
      <c r="I21" s="556">
        <v>1</v>
      </c>
      <c r="J21" s="557">
        <v>30</v>
      </c>
      <c r="M21" s="737"/>
      <c r="N21" s="742"/>
      <c r="O21" s="738"/>
      <c r="P21" s="743"/>
    </row>
    <row r="22" spans="2:16" x14ac:dyDescent="0.35">
      <c r="B22" s="554" t="s">
        <v>320</v>
      </c>
      <c r="C22" s="555">
        <v>54</v>
      </c>
      <c r="D22" s="144">
        <v>1</v>
      </c>
      <c r="E22" s="145">
        <f t="shared" si="0"/>
        <v>54</v>
      </c>
      <c r="G22" s="554" t="s">
        <v>329</v>
      </c>
      <c r="H22" s="555">
        <v>127</v>
      </c>
      <c r="I22" s="556">
        <v>1</v>
      </c>
      <c r="J22" s="557">
        <v>127</v>
      </c>
      <c r="M22" s="737"/>
      <c r="N22" s="742"/>
      <c r="O22" s="738"/>
      <c r="P22" s="743"/>
    </row>
    <row r="23" spans="2:16" x14ac:dyDescent="0.35">
      <c r="B23" s="554" t="s">
        <v>321</v>
      </c>
      <c r="C23" s="555">
        <v>124</v>
      </c>
      <c r="D23" s="144">
        <v>1</v>
      </c>
      <c r="E23" s="145">
        <f t="shared" si="0"/>
        <v>124</v>
      </c>
      <c r="G23" s="554" t="s">
        <v>330</v>
      </c>
      <c r="H23" s="555">
        <v>48</v>
      </c>
      <c r="I23" s="556">
        <v>1</v>
      </c>
      <c r="J23" s="557">
        <v>48</v>
      </c>
      <c r="M23" s="737"/>
      <c r="N23" s="742"/>
      <c r="O23" s="738"/>
      <c r="P23" s="743"/>
    </row>
    <row r="24" spans="2:16" x14ac:dyDescent="0.35">
      <c r="B24" s="554" t="s">
        <v>322</v>
      </c>
      <c r="C24" s="555">
        <v>20</v>
      </c>
      <c r="D24" s="144">
        <v>1</v>
      </c>
      <c r="E24" s="145">
        <f t="shared" si="0"/>
        <v>20</v>
      </c>
      <c r="G24" s="554" t="s">
        <v>331</v>
      </c>
      <c r="H24" s="555">
        <v>20</v>
      </c>
      <c r="I24" s="556">
        <v>1</v>
      </c>
      <c r="J24" s="557">
        <v>20</v>
      </c>
      <c r="M24" s="737"/>
      <c r="N24" s="742"/>
      <c r="O24" s="738"/>
      <c r="P24" s="743"/>
    </row>
    <row r="25" spans="2:16" x14ac:dyDescent="0.35">
      <c r="B25" s="554" t="s">
        <v>323</v>
      </c>
      <c r="C25" s="555">
        <v>250</v>
      </c>
      <c r="D25" s="144">
        <v>1</v>
      </c>
      <c r="E25" s="145">
        <f t="shared" si="0"/>
        <v>250</v>
      </c>
      <c r="G25" s="554" t="s">
        <v>322</v>
      </c>
      <c r="H25" s="555">
        <v>20</v>
      </c>
      <c r="I25" s="556">
        <v>1</v>
      </c>
      <c r="J25" s="557">
        <v>20</v>
      </c>
      <c r="M25" s="737"/>
      <c r="N25" s="742"/>
      <c r="O25" s="738"/>
      <c r="P25" s="743"/>
    </row>
    <row r="26" spans="2:16" x14ac:dyDescent="0.35">
      <c r="B26" s="554" t="s">
        <v>324</v>
      </c>
      <c r="C26" s="555">
        <v>230</v>
      </c>
      <c r="D26" s="144">
        <v>1</v>
      </c>
      <c r="E26" s="145">
        <f t="shared" si="0"/>
        <v>230</v>
      </c>
      <c r="G26" s="554"/>
      <c r="H26" s="555"/>
      <c r="I26" s="556"/>
      <c r="J26" s="557"/>
    </row>
    <row r="27" spans="2:16" x14ac:dyDescent="0.35">
      <c r="B27" s="554" t="s">
        <v>325</v>
      </c>
      <c r="C27" s="555">
        <v>150</v>
      </c>
      <c r="D27" s="144">
        <v>1</v>
      </c>
      <c r="E27" s="145">
        <f t="shared" si="0"/>
        <v>150</v>
      </c>
      <c r="G27" s="554"/>
      <c r="H27" s="555"/>
      <c r="I27" s="556"/>
      <c r="J27" s="557"/>
    </row>
    <row r="28" spans="2:16" ht="15" thickBot="1" x14ac:dyDescent="0.4"/>
    <row r="29" spans="2:16" ht="15" thickBot="1" x14ac:dyDescent="0.4">
      <c r="D29" s="146" t="s">
        <v>102</v>
      </c>
      <c r="E29" s="147">
        <f>SUM(E15:E27)</f>
        <v>2000</v>
      </c>
      <c r="I29" s="146" t="s">
        <v>102</v>
      </c>
      <c r="J29" s="147">
        <f>SUM(J15:J27)</f>
        <v>1700</v>
      </c>
    </row>
    <row r="35" spans="2:8" x14ac:dyDescent="0.35">
      <c r="B35" s="1684"/>
      <c r="C35" s="1684"/>
      <c r="D35" s="1684"/>
      <c r="E35" s="1684"/>
      <c r="F35" s="1684"/>
      <c r="G35" s="1684"/>
      <c r="H35" s="1684"/>
    </row>
  </sheetData>
  <mergeCells count="7">
    <mergeCell ref="B35:H35"/>
    <mergeCell ref="D2:F2"/>
    <mergeCell ref="E4:F4"/>
    <mergeCell ref="B7:M10"/>
    <mergeCell ref="B12:D12"/>
    <mergeCell ref="B13:E13"/>
    <mergeCell ref="G13:J13"/>
  </mergeCells>
  <pageMargins left="0.7" right="0.7" top="0.75" bottom="0.75" header="0.3" footer="0.3"/>
  <pageSetup paperSize="9" orientation="portrait" horizontalDpi="0"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7030A0"/>
  </sheetPr>
  <dimension ref="A1:AV107"/>
  <sheetViews>
    <sheetView workbookViewId="0">
      <selection activeCell="F3" sqref="F3"/>
    </sheetView>
  </sheetViews>
  <sheetFormatPr baseColWidth="10" defaultRowHeight="14.5" x14ac:dyDescent="0.35"/>
  <cols>
    <col min="1" max="1" width="11.453125" style="136"/>
    <col min="2" max="2" width="61.81640625" style="136" bestFit="1" customWidth="1"/>
    <col min="3" max="14" width="14" style="136" customWidth="1"/>
    <col min="15" max="15" width="23.7265625" style="136" customWidth="1"/>
    <col min="16" max="16" width="27.26953125" style="136" bestFit="1" customWidth="1"/>
    <col min="17" max="17" width="13" style="136" bestFit="1" customWidth="1"/>
    <col min="18" max="48" width="11.453125" style="136"/>
  </cols>
  <sheetData>
    <row r="1" spans="2:18" x14ac:dyDescent="0.35">
      <c r="D1" s="1204"/>
      <c r="E1" s="1145"/>
      <c r="F1" s="1204"/>
      <c r="G1" s="1203"/>
      <c r="Q1" s="1211"/>
      <c r="R1" s="1212"/>
    </row>
    <row r="2" spans="2:18" x14ac:dyDescent="0.35">
      <c r="D2" s="1204"/>
      <c r="E2" s="1145"/>
      <c r="F2" s="1204"/>
      <c r="G2" s="1203"/>
      <c r="Q2" s="1699"/>
      <c r="R2" s="1700"/>
    </row>
    <row r="3" spans="2:18" x14ac:dyDescent="0.35">
      <c r="D3" s="1203"/>
      <c r="E3" s="1203"/>
      <c r="F3" s="1203"/>
      <c r="G3" s="1203"/>
      <c r="Q3" s="1699"/>
      <c r="R3" s="1700"/>
    </row>
    <row r="4" spans="2:18" ht="15.5" x14ac:dyDescent="0.35">
      <c r="D4" s="330"/>
      <c r="E4" s="1697"/>
      <c r="F4" s="1697"/>
      <c r="G4" s="1203"/>
      <c r="Q4" s="1211"/>
      <c r="R4" s="1212"/>
    </row>
    <row r="5" spans="2:18" x14ac:dyDescent="0.35">
      <c r="Q5" s="1211"/>
      <c r="R5" s="1212"/>
    </row>
    <row r="6" spans="2:18" x14ac:dyDescent="0.35">
      <c r="B6" s="1330" t="s">
        <v>272</v>
      </c>
      <c r="C6" s="1330"/>
      <c r="D6" s="1330"/>
      <c r="E6" s="1330"/>
      <c r="F6" s="1330"/>
      <c r="G6" s="1330"/>
      <c r="H6" s="1330"/>
      <c r="I6" s="1330"/>
      <c r="J6" s="1330"/>
      <c r="K6" s="1330"/>
      <c r="Q6" s="1211"/>
      <c r="R6" s="1212"/>
    </row>
    <row r="7" spans="2:18" ht="15" thickBot="1" x14ac:dyDescent="0.4">
      <c r="E7" s="148"/>
      <c r="F7" s="148"/>
      <c r="G7" s="148"/>
      <c r="H7" s="148"/>
      <c r="I7" s="148"/>
      <c r="J7" s="148"/>
      <c r="K7" s="148"/>
      <c r="L7" s="148"/>
      <c r="M7" s="148"/>
      <c r="N7" s="148"/>
      <c r="P7" s="1211"/>
      <c r="Q7" s="1211"/>
      <c r="R7" s="1212"/>
    </row>
    <row r="8" spans="2:18" ht="15" thickBot="1" x14ac:dyDescent="0.4">
      <c r="B8" s="331" t="s">
        <v>226</v>
      </c>
      <c r="C8" s="316" t="s">
        <v>77</v>
      </c>
      <c r="D8" s="315" t="s">
        <v>78</v>
      </c>
      <c r="E8" s="316" t="s">
        <v>79</v>
      </c>
      <c r="F8" s="315" t="s">
        <v>80</v>
      </c>
      <c r="G8" s="316" t="s">
        <v>81</v>
      </c>
      <c r="H8" s="315" t="s">
        <v>82</v>
      </c>
      <c r="I8" s="316" t="s">
        <v>83</v>
      </c>
      <c r="J8" s="317" t="s">
        <v>84</v>
      </c>
      <c r="K8" s="316" t="s">
        <v>85</v>
      </c>
      <c r="L8" s="315" t="s">
        <v>86</v>
      </c>
      <c r="M8" s="315" t="s">
        <v>87</v>
      </c>
      <c r="N8" s="351" t="s">
        <v>88</v>
      </c>
      <c r="O8" s="334" t="s">
        <v>335</v>
      </c>
      <c r="P8" s="318"/>
    </row>
    <row r="9" spans="2:18" x14ac:dyDescent="0.35">
      <c r="B9" s="348" t="s">
        <v>227</v>
      </c>
      <c r="C9" s="344">
        <f>+'A) Resumen Ingresos y Egresos'!$D$9*C16</f>
        <v>3389531.6972459755</v>
      </c>
      <c r="D9" s="342">
        <f>+'A) Resumen Ingresos y Egresos'!$D$9*'J)ESTRUCTURA ECONOMICA MENS.'!D16</f>
        <v>2606802.2354885242</v>
      </c>
      <c r="E9" s="342">
        <f>+'A) Resumen Ingresos y Egresos'!$D$9*'J)ESTRUCTURA ECONOMICA MENS.'!E16</f>
        <v>438555.76151941245</v>
      </c>
      <c r="F9" s="342">
        <f>+'A) Resumen Ingresos y Egresos'!$D$9*'J)ESTRUCTURA ECONOMICA MENS.'!F16</f>
        <v>604208.81042132899</v>
      </c>
      <c r="G9" s="342">
        <f>+'A) Resumen Ingresos y Egresos'!$D$9*'J)ESTRUCTURA ECONOMICA MENS.'!G16</f>
        <v>829417.85167805699</v>
      </c>
      <c r="H9" s="342">
        <f>+'A) Resumen Ingresos y Egresos'!$D$9*'J)ESTRUCTURA ECONOMICA MENS.'!H16</f>
        <v>462602.78686589986</v>
      </c>
      <c r="I9" s="342">
        <f>+'A) Resumen Ingresos y Egresos'!$D$9*'J)ESTRUCTURA ECONOMICA MENS.'!I16</f>
        <v>1682633.1415864204</v>
      </c>
      <c r="J9" s="342">
        <f>+'A) Resumen Ingresos y Egresos'!$D$9*'J)ESTRUCTURA ECONOMICA MENS.'!J16</f>
        <v>1889112.7496664047</v>
      </c>
      <c r="K9" s="342">
        <f>+'A) Resumen Ingresos y Egresos'!$D$9*'J)ESTRUCTURA ECONOMICA MENS.'!K16</f>
        <v>1165840.4853635989</v>
      </c>
      <c r="L9" s="342">
        <f>+'A) Resumen Ingresos y Egresos'!$D$9*'J)ESTRUCTURA ECONOMICA MENS.'!L16</f>
        <v>1009751.4760942267</v>
      </c>
      <c r="M9" s="342">
        <f>+'A) Resumen Ingresos y Egresos'!$D$9*'J)ESTRUCTURA ECONOMICA MENS.'!M16</f>
        <v>2105766.4992184862</v>
      </c>
      <c r="N9" s="611">
        <f>+'A) Resumen Ingresos y Egresos'!$D$9*'J)ESTRUCTURA ECONOMICA MENS.'!N16</f>
        <v>6375276.5048516532</v>
      </c>
      <c r="O9" s="355">
        <f t="shared" ref="O9:O14" si="0">SUM(C9:N9)</f>
        <v>22559499.999999989</v>
      </c>
      <c r="P9" s="318"/>
    </row>
    <row r="10" spans="2:18" x14ac:dyDescent="0.35">
      <c r="B10" s="349" t="s">
        <v>228</v>
      </c>
      <c r="C10" s="345">
        <f>(SUM('F) Remuneraciones'!$L$11:$L$21)-SUM('F) Remuneraciones'!$I$11:$J$21))/12</f>
        <v>1575989.2316666665</v>
      </c>
      <c r="D10" s="345">
        <f>(SUM('F) Remuneraciones'!$L$11:$L$21)-SUM('F) Remuneraciones'!$I$11:$J$21))/12</f>
        <v>1575989.2316666665</v>
      </c>
      <c r="E10" s="345">
        <f>(SUM('F) Remuneraciones'!$L$11:$L$21)-SUM('F) Remuneraciones'!$I$11:$J$21))/12</f>
        <v>1575989.2316666665</v>
      </c>
      <c r="F10" s="345">
        <f>(SUM('F) Remuneraciones'!$L$11:$L$21)-SUM('F) Remuneraciones'!$I$11:$J$21))/12</f>
        <v>1575989.2316666665</v>
      </c>
      <c r="G10" s="345">
        <f>(SUM('F) Remuneraciones'!$L$11:$L$21)-SUM('F) Remuneraciones'!$I$11:$J$21))/12</f>
        <v>1575989.2316666665</v>
      </c>
      <c r="H10" s="345">
        <f>(SUM('F) Remuneraciones'!$L$11:$L$21)-SUM('F) Remuneraciones'!$I$11:$J$21))/12</f>
        <v>1575989.2316666665</v>
      </c>
      <c r="I10" s="345">
        <f>(SUM('F) Remuneraciones'!$L$11:$L$21)-SUM('F) Remuneraciones'!$I$11:$J$21))/12</f>
        <v>1575989.2316666665</v>
      </c>
      <c r="J10" s="345">
        <f>(SUM('F) Remuneraciones'!$L$11:$L$21)-SUM('F) Remuneraciones'!$I$11:$J$21))/12</f>
        <v>1575989.2316666665</v>
      </c>
      <c r="K10" s="345">
        <f>(SUM('F) Remuneraciones'!$L$11:$L$21)-SUM('F) Remuneraciones'!$I$11:$J$21))/12</f>
        <v>1575989.2316666665</v>
      </c>
      <c r="L10" s="345">
        <f>(SUM('F) Remuneraciones'!$L$11:$L$21)-SUM('F) Remuneraciones'!$I$11:$J$21))/12</f>
        <v>1575989.2316666665</v>
      </c>
      <c r="M10" s="345">
        <f>(SUM('F) Remuneraciones'!$L$11:$L$21)-SUM('F) Remuneraciones'!$I$11:$J$21))/12</f>
        <v>1575989.2316666665</v>
      </c>
      <c r="N10" s="345">
        <f>(SUM('F) Remuneraciones'!$L$11:$L$21)-SUM('F) Remuneraciones'!$I$11:$J$21))/12</f>
        <v>1575989.2316666665</v>
      </c>
      <c r="O10" s="356">
        <f t="shared" si="0"/>
        <v>18911870.779999994</v>
      </c>
      <c r="P10" s="1698"/>
    </row>
    <row r="11" spans="2:18" x14ac:dyDescent="0.35">
      <c r="B11" s="349" t="s">
        <v>229</v>
      </c>
      <c r="C11" s="345">
        <f>(SUM('F) Remuneraciones'!$L$22:$L$32)-SUM('F) Remuneraciones'!$I$22:$J$32))/4</f>
        <v>1160481.3824999998</v>
      </c>
      <c r="D11" s="345">
        <f>(SUM('F) Remuneraciones'!$L$22:$L$32)-SUM('F) Remuneraciones'!$I$22:$J$32))/4</f>
        <v>1160481.3824999998</v>
      </c>
      <c r="E11" s="345">
        <f>(SUM('F) Remuneraciones'!$L$22:$L$32)-SUM('F) Remuneraciones'!$I$22:$J$32))/4</f>
        <v>1160481.3824999998</v>
      </c>
      <c r="F11" s="336">
        <v>0</v>
      </c>
      <c r="G11" s="336">
        <v>0</v>
      </c>
      <c r="H11" s="336">
        <v>0</v>
      </c>
      <c r="I11" s="336">
        <v>0</v>
      </c>
      <c r="J11" s="336">
        <v>0</v>
      </c>
      <c r="K11" s="336">
        <v>0</v>
      </c>
      <c r="L11" s="336">
        <v>0</v>
      </c>
      <c r="M11" s="336">
        <v>0</v>
      </c>
      <c r="N11" s="345">
        <f>(SUM('F) Remuneraciones'!$L$22:$L$32)-SUM('F) Remuneraciones'!$I$22:$J$32))/4</f>
        <v>1160481.3824999998</v>
      </c>
      <c r="O11" s="356">
        <f t="shared" si="0"/>
        <v>4641925.5299999993</v>
      </c>
      <c r="P11" s="1698"/>
    </row>
    <row r="12" spans="2:18" x14ac:dyDescent="0.35">
      <c r="B12" s="349" t="s">
        <v>230</v>
      </c>
      <c r="C12" s="345">
        <f>SUM('F) Remuneraciones'!J11:J32)/2</f>
        <v>301810.5</v>
      </c>
      <c r="D12" s="336">
        <v>0</v>
      </c>
      <c r="E12" s="336">
        <v>0</v>
      </c>
      <c r="F12" s="336">
        <v>0</v>
      </c>
      <c r="G12" s="336">
        <v>0</v>
      </c>
      <c r="H12" s="336">
        <v>0</v>
      </c>
      <c r="I12" s="336">
        <v>0</v>
      </c>
      <c r="J12" s="336">
        <v>0</v>
      </c>
      <c r="K12" s="345">
        <f>SUM('F) Remuneraciones'!I11:I32)/2</f>
        <v>129222</v>
      </c>
      <c r="L12" s="336">
        <v>0</v>
      </c>
      <c r="M12" s="336">
        <v>0</v>
      </c>
      <c r="N12" s="353">
        <f>+C12+K12</f>
        <v>431032.5</v>
      </c>
      <c r="O12" s="356">
        <f t="shared" si="0"/>
        <v>862065</v>
      </c>
      <c r="P12" s="318"/>
    </row>
    <row r="13" spans="2:18" x14ac:dyDescent="0.35">
      <c r="B13" s="349" t="s">
        <v>231</v>
      </c>
      <c r="C13" s="345">
        <f>('C) Costos Directos'!$H$11-'C) Costos Directos'!$H$12)*C17</f>
        <v>212661.42619774039</v>
      </c>
      <c r="D13" s="345">
        <f>('C) Costos Directos'!$H$11-'C) Costos Directos'!$H$12)*D17</f>
        <v>1136650.8479267221</v>
      </c>
      <c r="E13" s="345">
        <f>('C) Costos Directos'!$H$11-'C) Costos Directos'!$H$12)*E17</f>
        <v>1174589.9726950685</v>
      </c>
      <c r="F13" s="345">
        <f>('C) Costos Directos'!$H$11-'C) Costos Directos'!$H$12)*F17</f>
        <v>148468.67727961193</v>
      </c>
      <c r="G13" s="345">
        <f>('C) Costos Directos'!$H$11-'C) Costos Directos'!$H$12)*G17</f>
        <v>0</v>
      </c>
      <c r="H13" s="345">
        <f>('C) Costos Directos'!$H$11-'C) Costos Directos'!$H$12)*H17</f>
        <v>917778.18518888392</v>
      </c>
      <c r="I13" s="345">
        <f>('C) Costos Directos'!$H$11-'C) Costos Directos'!$H$12)*I17</f>
        <v>677276.33251161152</v>
      </c>
      <c r="J13" s="345">
        <f>('C) Costos Directos'!$H$11-'C) Costos Directos'!$H$12)*J17</f>
        <v>719306.87819702306</v>
      </c>
      <c r="K13" s="345">
        <f>('C) Costos Directos'!$H$11-'C) Costos Directos'!$H$12)*K17</f>
        <v>1595620.1644607144</v>
      </c>
      <c r="L13" s="345">
        <f>('C) Costos Directos'!$H$11-'C) Costos Directos'!$H$12)*L17</f>
        <v>501967.98840516328</v>
      </c>
      <c r="M13" s="345">
        <f>('C) Costos Directos'!$H$11-'C) Costos Directos'!$H$12)*M17</f>
        <v>1263652.1428737899</v>
      </c>
      <c r="N13" s="612">
        <f>('C) Costos Directos'!$H$11-'C) Costos Directos'!$H$12)*N17</f>
        <v>2422114.3842636705</v>
      </c>
      <c r="O13" s="356">
        <f t="shared" si="0"/>
        <v>10770087</v>
      </c>
      <c r="P13" s="318"/>
    </row>
    <row r="14" spans="2:18" ht="15" thickBot="1" x14ac:dyDescent="0.4">
      <c r="B14" s="335" t="s">
        <v>248</v>
      </c>
      <c r="C14" s="346">
        <f>'C) Costos Directos'!$H$39*C18</f>
        <v>43383.034648033456</v>
      </c>
      <c r="D14" s="346">
        <f>'C) Costos Directos'!$H$39*D18</f>
        <v>231877.32726136243</v>
      </c>
      <c r="E14" s="346">
        <f>'C) Costos Directos'!$H$39*E18</f>
        <v>239616.92721500329</v>
      </c>
      <c r="F14" s="346">
        <f>'C) Costos Directos'!$H$39*F18</f>
        <v>30287.682565337422</v>
      </c>
      <c r="G14" s="346">
        <f>'C) Costos Directos'!$H$39*G18</f>
        <v>0</v>
      </c>
      <c r="H14" s="346">
        <f>'C) Costos Directos'!$H$39*H18</f>
        <v>187227.19733025855</v>
      </c>
      <c r="I14" s="346">
        <f>'C) Costos Directos'!$H$39*I18</f>
        <v>138164.70210410177</v>
      </c>
      <c r="J14" s="346">
        <f>'C) Costos Directos'!$H$39*J18</f>
        <v>146738.95391999284</v>
      </c>
      <c r="K14" s="346">
        <f>'C) Costos Directos'!$H$39*K18</f>
        <v>325507.29164928093</v>
      </c>
      <c r="L14" s="346">
        <f>'C) Costos Directos'!$H$39*L18</f>
        <v>102401.71441780828</v>
      </c>
      <c r="M14" s="346">
        <f>'C) Costos Directos'!$H$39*M18</f>
        <v>257785.65336235747</v>
      </c>
      <c r="N14" s="613">
        <f>'C) Costos Directos'!$H$39*N18</f>
        <v>494112.51552646357</v>
      </c>
      <c r="O14" s="357">
        <f t="shared" si="0"/>
        <v>2197103</v>
      </c>
      <c r="P14" s="318"/>
    </row>
    <row r="15" spans="2:18" ht="15" thickBot="1" x14ac:dyDescent="0.4">
      <c r="B15" s="350" t="s">
        <v>232</v>
      </c>
      <c r="C15" s="347">
        <f>C9-(C10+C11+C12+C13+C14)</f>
        <v>95206.122233535629</v>
      </c>
      <c r="D15" s="328">
        <f t="shared" ref="D15:O15" si="1">D9-(D10+D11+D12+D13+D14)</f>
        <v>-1498196.5538662267</v>
      </c>
      <c r="E15" s="328">
        <f t="shared" si="1"/>
        <v>-3712121.7525573256</v>
      </c>
      <c r="F15" s="328">
        <f t="shared" si="1"/>
        <v>-1150536.781090287</v>
      </c>
      <c r="G15" s="328">
        <f t="shared" si="1"/>
        <v>-746571.37998860946</v>
      </c>
      <c r="H15" s="328">
        <f t="shared" si="1"/>
        <v>-2218391.8273199094</v>
      </c>
      <c r="I15" s="328">
        <f t="shared" si="1"/>
        <v>-708797.12469595927</v>
      </c>
      <c r="J15" s="328">
        <f t="shared" si="1"/>
        <v>-552922.31411727774</v>
      </c>
      <c r="K15" s="328">
        <f t="shared" si="1"/>
        <v>-2460498.202413063</v>
      </c>
      <c r="L15" s="328">
        <f t="shared" si="1"/>
        <v>-1170607.4583954113</v>
      </c>
      <c r="M15" s="328">
        <f t="shared" si="1"/>
        <v>-991660.52868432784</v>
      </c>
      <c r="N15" s="341">
        <f t="shared" si="1"/>
        <v>291546.49089485314</v>
      </c>
      <c r="O15" s="329">
        <f t="shared" si="1"/>
        <v>-14823551.310000006</v>
      </c>
      <c r="P15" s="318"/>
    </row>
    <row r="16" spans="2:18" x14ac:dyDescent="0.35">
      <c r="B16" s="286" t="s">
        <v>233</v>
      </c>
      <c r="C16" s="1210">
        <v>0.15024852932228</v>
      </c>
      <c r="D16" s="1210">
        <v>0.11555230548055251</v>
      </c>
      <c r="E16" s="1210">
        <v>1.9439959286305656E-2</v>
      </c>
      <c r="F16" s="1210">
        <v>2.6782899019097452E-2</v>
      </c>
      <c r="G16" s="1210">
        <v>3.6765790539597817E-2</v>
      </c>
      <c r="H16" s="1210">
        <v>2.0505897154897045E-2</v>
      </c>
      <c r="I16" s="1210">
        <v>7.4586455443889282E-2</v>
      </c>
      <c r="J16" s="1210">
        <v>8.3739123192730539E-2</v>
      </c>
      <c r="K16" s="1210">
        <v>5.1678471835084949E-2</v>
      </c>
      <c r="L16" s="1210">
        <v>4.4759479425263267E-2</v>
      </c>
      <c r="M16" s="1210">
        <v>9.3342782385180803E-2</v>
      </c>
      <c r="N16" s="1210">
        <v>0.28259830691512017</v>
      </c>
      <c r="O16" s="319"/>
    </row>
    <row r="17" spans="2:17" x14ac:dyDescent="0.35">
      <c r="B17" s="287" t="s">
        <v>234</v>
      </c>
      <c r="C17" s="1210">
        <v>1.9745562519387298E-2</v>
      </c>
      <c r="D17" s="1210">
        <v>0.10553775915892993</v>
      </c>
      <c r="E17" s="1210">
        <v>0.10906039781248457</v>
      </c>
      <c r="F17" s="1210">
        <v>1.3785281147646433E-2</v>
      </c>
      <c r="G17" s="1210">
        <v>0</v>
      </c>
      <c r="H17" s="1210">
        <v>8.5215484813528794E-2</v>
      </c>
      <c r="I17" s="1210">
        <v>6.2884945359458239E-2</v>
      </c>
      <c r="J17" s="1210">
        <v>6.6787471465831527E-2</v>
      </c>
      <c r="K17" s="1210">
        <v>0.148152950339279</v>
      </c>
      <c r="L17" s="1210">
        <v>4.6607607571337473E-2</v>
      </c>
      <c r="M17" s="1210">
        <v>0.11732979899547608</v>
      </c>
      <c r="N17" s="1210">
        <v>0.22489274081664062</v>
      </c>
      <c r="O17" s="319"/>
    </row>
    <row r="18" spans="2:17" ht="15" thickBot="1" x14ac:dyDescent="0.4">
      <c r="B18" s="287" t="s">
        <v>249</v>
      </c>
      <c r="C18" s="1210">
        <v>1.9745562519387326E-2</v>
      </c>
      <c r="D18" s="1210">
        <v>0.10553775915892993</v>
      </c>
      <c r="E18" s="1210">
        <v>0.10906039781248457</v>
      </c>
      <c r="F18" s="1210">
        <v>1.3785281147646433E-2</v>
      </c>
      <c r="G18" s="1210">
        <v>0</v>
      </c>
      <c r="H18" s="1210">
        <v>8.5215484813528794E-2</v>
      </c>
      <c r="I18" s="1210">
        <v>6.2884945359458239E-2</v>
      </c>
      <c r="J18" s="1210">
        <v>6.6787471465831527E-2</v>
      </c>
      <c r="K18" s="1210">
        <v>0.148152950339279</v>
      </c>
      <c r="L18" s="1210">
        <v>4.6607607571337473E-2</v>
      </c>
      <c r="M18" s="1210">
        <v>0.11732979899547608</v>
      </c>
      <c r="N18" s="1210">
        <v>0.22489274081664062</v>
      </c>
      <c r="O18" s="319"/>
    </row>
    <row r="19" spans="2:17" ht="15" thickBot="1" x14ac:dyDescent="0.4">
      <c r="B19" s="331" t="s">
        <v>235</v>
      </c>
      <c r="C19" s="316" t="s">
        <v>77</v>
      </c>
      <c r="D19" s="332" t="s">
        <v>78</v>
      </c>
      <c r="E19" s="332" t="s">
        <v>79</v>
      </c>
      <c r="F19" s="332" t="s">
        <v>80</v>
      </c>
      <c r="G19" s="332" t="s">
        <v>81</v>
      </c>
      <c r="H19" s="332" t="s">
        <v>82</v>
      </c>
      <c r="I19" s="332" t="s">
        <v>83</v>
      </c>
      <c r="J19" s="343" t="s">
        <v>84</v>
      </c>
      <c r="K19" s="332" t="s">
        <v>85</v>
      </c>
      <c r="L19" s="332" t="s">
        <v>86</v>
      </c>
      <c r="M19" s="332" t="s">
        <v>87</v>
      </c>
      <c r="N19" s="333" t="s">
        <v>88</v>
      </c>
      <c r="O19" s="334" t="s">
        <v>335</v>
      </c>
      <c r="P19" s="318"/>
      <c r="Q19" s="1211">
        <f>+O10+O11+O12</f>
        <v>24415861.309999995</v>
      </c>
    </row>
    <row r="20" spans="2:17" x14ac:dyDescent="0.35">
      <c r="B20" s="348" t="s">
        <v>227</v>
      </c>
      <c r="C20" s="344">
        <f>+'A) Resumen Ingresos y Egresos'!$D$10*'J)ESTRUCTURA ECONOMICA MENS.'!C27</f>
        <v>1086998</v>
      </c>
      <c r="D20" s="342">
        <f>+'A) Resumen Ingresos y Egresos'!$D$10*'J)ESTRUCTURA ECONOMICA MENS.'!D27</f>
        <v>839953.00000000012</v>
      </c>
      <c r="E20" s="342">
        <f>+'A) Resumen Ingresos y Egresos'!$D$10*'J)ESTRUCTURA ECONOMICA MENS.'!E27</f>
        <v>296454</v>
      </c>
      <c r="F20" s="342">
        <f>+'A) Resumen Ingresos y Egresos'!$D$10*'J)ESTRUCTURA ECONOMICA MENS.'!F27</f>
        <v>98818</v>
      </c>
      <c r="G20" s="342">
        <f>+'A) Resumen Ingresos y Egresos'!$D$10*'J)ESTRUCTURA ECONOMICA MENS.'!G27</f>
        <v>49409</v>
      </c>
      <c r="H20" s="342">
        <f>+'A) Resumen Ingresos y Egresos'!$D$10*'J)ESTRUCTURA ECONOMICA MENS.'!H27</f>
        <v>0</v>
      </c>
      <c r="I20" s="342">
        <f>+'A) Resumen Ingresos y Egresos'!$D$10*'J)ESTRUCTURA ECONOMICA MENS.'!I27</f>
        <v>0</v>
      </c>
      <c r="J20" s="342">
        <f>+'A) Resumen Ingresos y Egresos'!$D$10*'J)ESTRUCTURA ECONOMICA MENS.'!J27</f>
        <v>0</v>
      </c>
      <c r="K20" s="342">
        <f>+'A) Resumen Ingresos y Egresos'!$D$10*'J)ESTRUCTURA ECONOMICA MENS.'!K27</f>
        <v>49409</v>
      </c>
      <c r="L20" s="342">
        <f>+'A) Resumen Ingresos y Egresos'!$D$10*'J)ESTRUCTURA ECONOMICA MENS.'!L27</f>
        <v>98818</v>
      </c>
      <c r="M20" s="342">
        <f>+'A) Resumen Ingresos y Egresos'!$D$10*'J)ESTRUCTURA ECONOMICA MENS.'!M27</f>
        <v>543499</v>
      </c>
      <c r="N20" s="352">
        <f>+'A) Resumen Ingresos y Egresos'!$D$10*'J)ESTRUCTURA ECONOMICA MENS.'!N27</f>
        <v>1877542</v>
      </c>
      <c r="O20" s="355">
        <f t="shared" ref="O20:O26" si="2">SUM(C20:N20)</f>
        <v>4940900</v>
      </c>
      <c r="P20" s="318"/>
      <c r="Q20" s="891">
        <v>23497566.101600002</v>
      </c>
    </row>
    <row r="21" spans="2:17" x14ac:dyDescent="0.35">
      <c r="B21" s="349" t="s">
        <v>228</v>
      </c>
      <c r="C21" s="345">
        <f>((SUM('F) Remuneraciones'!$H$33:$H$43)*(1+'F) Remuneraciones'!$M$7))*(1+'F) Remuneraciones'!$N$7))/12</f>
        <v>0</v>
      </c>
      <c r="D21" s="345">
        <f>((SUM('F) Remuneraciones'!$H$33:$H$43)*(1+'F) Remuneraciones'!$M$7))*(1+'F) Remuneraciones'!$N$7))/12</f>
        <v>0</v>
      </c>
      <c r="E21" s="345">
        <f>((SUM('F) Remuneraciones'!$H$33:$H$43)*(1+'F) Remuneraciones'!$M$7))*(1+'F) Remuneraciones'!$N$7))/12</f>
        <v>0</v>
      </c>
      <c r="F21" s="345">
        <f>((SUM('F) Remuneraciones'!$H$33:$H$43)*(1+'F) Remuneraciones'!$M$7))*(1+'F) Remuneraciones'!$N$7))/12</f>
        <v>0</v>
      </c>
      <c r="G21" s="345">
        <f>((SUM('F) Remuneraciones'!$H$33:$H$43)*(1+'F) Remuneraciones'!$M$7))*(1+'F) Remuneraciones'!$N$7))/12</f>
        <v>0</v>
      </c>
      <c r="H21" s="345">
        <f>((SUM('F) Remuneraciones'!$H$33:$H$43)*(1+'F) Remuneraciones'!$M$7))*(1+'F) Remuneraciones'!$N$7))/12</f>
        <v>0</v>
      </c>
      <c r="I21" s="345">
        <f>((SUM('F) Remuneraciones'!$H$33:$H$43)*(1+'F) Remuneraciones'!$M$7))*(1+'F) Remuneraciones'!$N$7))/12</f>
        <v>0</v>
      </c>
      <c r="J21" s="345">
        <f>((SUM('F) Remuneraciones'!$H$33:$H$43)*(1+'F) Remuneraciones'!$M$7))*(1+'F) Remuneraciones'!$N$7))/12</f>
        <v>0</v>
      </c>
      <c r="K21" s="345">
        <f>((SUM('F) Remuneraciones'!$H$33:$H$43)*(1+'F) Remuneraciones'!$M$7))*(1+'F) Remuneraciones'!$N$7))/12</f>
        <v>0</v>
      </c>
      <c r="L21" s="345">
        <f>((SUM('F) Remuneraciones'!$H$33:$H$43)*(1+'F) Remuneraciones'!$M$7))*(1+'F) Remuneraciones'!$N$7))/12</f>
        <v>0</v>
      </c>
      <c r="M21" s="345">
        <f>((SUM('F) Remuneraciones'!$H$33:$H$43)*(1+'F) Remuneraciones'!$M$7))*(1+'F) Remuneraciones'!$N$7))/12</f>
        <v>0</v>
      </c>
      <c r="N21" s="345">
        <f>((SUM('F) Remuneraciones'!$H$33:$H$43)*(1+'F) Remuneraciones'!$M$7))*(1+'F) Remuneraciones'!$N$7))/12</f>
        <v>0</v>
      </c>
      <c r="O21" s="356">
        <f t="shared" si="2"/>
        <v>0</v>
      </c>
      <c r="P21" s="1698"/>
      <c r="Q21" s="1201">
        <f>+Q19-Q20</f>
        <v>918295.20839999244</v>
      </c>
    </row>
    <row r="22" spans="2:17" x14ac:dyDescent="0.35">
      <c r="B22" s="349" t="s">
        <v>229</v>
      </c>
      <c r="C22" s="345">
        <f>(SUM('F) Remuneraciones'!$L$33:$L$54)-SUM('F) Remuneraciones'!$I$33:$J$54))/6</f>
        <v>1057771.99</v>
      </c>
      <c r="D22" s="345">
        <f>(SUM('F) Remuneraciones'!$L$33:$L$54)-SUM('F) Remuneraciones'!$I$33:$J$54))/6</f>
        <v>1057771.99</v>
      </c>
      <c r="E22" s="345">
        <f>(SUM('F) Remuneraciones'!$L$33:$L$54)-SUM('F) Remuneraciones'!$I$33:$J$54))/6</f>
        <v>1057771.99</v>
      </c>
      <c r="F22" s="336">
        <v>0</v>
      </c>
      <c r="G22" s="336">
        <v>0</v>
      </c>
      <c r="H22" s="336">
        <v>0</v>
      </c>
      <c r="I22" s="336">
        <v>0</v>
      </c>
      <c r="J22" s="336">
        <v>0</v>
      </c>
      <c r="K22" s="336">
        <v>0</v>
      </c>
      <c r="L22" s="345">
        <f>(SUM('F) Remuneraciones'!$L$33:$L$54)-SUM('F) Remuneraciones'!$I$33:$J$54))/6</f>
        <v>1057771.99</v>
      </c>
      <c r="M22" s="345">
        <f>(SUM('F) Remuneraciones'!$L$33:$L$54)-SUM('F) Remuneraciones'!$I$33:$J$54))/6</f>
        <v>1057771.99</v>
      </c>
      <c r="N22" s="345">
        <f>(SUM('F) Remuneraciones'!$L$33:$L$54)-SUM('F) Remuneraciones'!$I$33:$J$54))/6</f>
        <v>1057771.99</v>
      </c>
      <c r="O22" s="356">
        <f t="shared" si="2"/>
        <v>6346631.9400000004</v>
      </c>
      <c r="P22" s="1698"/>
    </row>
    <row r="23" spans="2:17" x14ac:dyDescent="0.35">
      <c r="B23" s="349" t="s">
        <v>230</v>
      </c>
      <c r="C23" s="345">
        <f>SUM('F) Remuneraciones'!J44:J54)/2</f>
        <v>193238</v>
      </c>
      <c r="D23" s="336">
        <v>0</v>
      </c>
      <c r="E23" s="336">
        <v>0</v>
      </c>
      <c r="F23" s="336">
        <v>0</v>
      </c>
      <c r="G23" s="336">
        <v>0</v>
      </c>
      <c r="H23" s="336">
        <v>0</v>
      </c>
      <c r="I23" s="336">
        <v>0</v>
      </c>
      <c r="J23" s="336">
        <v>0</v>
      </c>
      <c r="K23" s="345">
        <f>SUM('F) Remuneraciones'!I44:I54)/2</f>
        <v>43618</v>
      </c>
      <c r="L23" s="336">
        <v>0</v>
      </c>
      <c r="M23" s="336">
        <v>0</v>
      </c>
      <c r="N23" s="353">
        <f>+C23+K23</f>
        <v>236856</v>
      </c>
      <c r="O23" s="356">
        <f t="shared" si="2"/>
        <v>473712</v>
      </c>
      <c r="P23" s="318"/>
    </row>
    <row r="24" spans="2:17" x14ac:dyDescent="0.35">
      <c r="B24" s="349" t="s">
        <v>231</v>
      </c>
      <c r="C24" s="345">
        <f>('C) Costos Directos'!$H$83-'C) Costos Directos'!$H$84)*'J)ESTRUCTURA ECONOMICA MENS.'!C28</f>
        <v>0</v>
      </c>
      <c r="D24" s="345">
        <f>('C) Costos Directos'!$H$83-'C) Costos Directos'!$H$84)*'J)ESTRUCTURA ECONOMICA MENS.'!D28</f>
        <v>0</v>
      </c>
      <c r="E24" s="345">
        <f>('C) Costos Directos'!$H$83-'C) Costos Directos'!$H$84)*'J)ESTRUCTURA ECONOMICA MENS.'!E28</f>
        <v>0</v>
      </c>
      <c r="F24" s="345">
        <f>('C) Costos Directos'!$H$83-'C) Costos Directos'!$H$84)*'J)ESTRUCTURA ECONOMICA MENS.'!F28</f>
        <v>0</v>
      </c>
      <c r="G24" s="345">
        <f>('C) Costos Directos'!$H$83-'C) Costos Directos'!$H$84)*'J)ESTRUCTURA ECONOMICA MENS.'!G28</f>
        <v>0</v>
      </c>
      <c r="H24" s="345">
        <f>('C) Costos Directos'!$H$83-'C) Costos Directos'!$H$84)*'J)ESTRUCTURA ECONOMICA MENS.'!H28</f>
        <v>0</v>
      </c>
      <c r="I24" s="345">
        <f>('C) Costos Directos'!$H$83-'C) Costos Directos'!$H$84)*'J)ESTRUCTURA ECONOMICA MENS.'!I28</f>
        <v>0</v>
      </c>
      <c r="J24" s="345">
        <f>('C) Costos Directos'!$H$83-'C) Costos Directos'!$H$84)*'J)ESTRUCTURA ECONOMICA MENS.'!J28</f>
        <v>0</v>
      </c>
      <c r="K24" s="345">
        <f>('C) Costos Directos'!$H$83-'C) Costos Directos'!$H$84)*'J)ESTRUCTURA ECONOMICA MENS.'!K28</f>
        <v>0</v>
      </c>
      <c r="L24" s="345">
        <f>('C) Costos Directos'!$H$83-'C) Costos Directos'!$H$84)*'J)ESTRUCTURA ECONOMICA MENS.'!L28</f>
        <v>0</v>
      </c>
      <c r="M24" s="345">
        <f>('C) Costos Directos'!$H$83-'C) Costos Directos'!$H$84)*'J)ESTRUCTURA ECONOMICA MENS.'!M28</f>
        <v>0</v>
      </c>
      <c r="N24" s="345">
        <f>('C) Costos Directos'!$H$83-'C) Costos Directos'!$H$84)*'J)ESTRUCTURA ECONOMICA MENS.'!N28</f>
        <v>0</v>
      </c>
      <c r="O24" s="356">
        <f t="shared" si="2"/>
        <v>0</v>
      </c>
      <c r="P24" s="318"/>
    </row>
    <row r="25" spans="2:17" ht="15" thickBot="1" x14ac:dyDescent="0.4">
      <c r="B25" s="335" t="s">
        <v>248</v>
      </c>
      <c r="C25" s="346">
        <f>'C) Costos Directos'!$H$111*'J)ESTRUCTURA ECONOMICA MENS.'!C29</f>
        <v>110000</v>
      </c>
      <c r="D25" s="346">
        <f>'C) Costos Directos'!$H$111*'J)ESTRUCTURA ECONOMICA MENS.'!D29</f>
        <v>85000</v>
      </c>
      <c r="E25" s="346">
        <f>'C) Costos Directos'!$H$111*'J)ESTRUCTURA ECONOMICA MENS.'!E29</f>
        <v>30000</v>
      </c>
      <c r="F25" s="346">
        <f>'C) Costos Directos'!$H$111*'J)ESTRUCTURA ECONOMICA MENS.'!F29</f>
        <v>10000</v>
      </c>
      <c r="G25" s="346">
        <f>'C) Costos Directos'!$H$111*'J)ESTRUCTURA ECONOMICA MENS.'!G29</f>
        <v>5000</v>
      </c>
      <c r="H25" s="346">
        <f>'C) Costos Directos'!$H$111*'J)ESTRUCTURA ECONOMICA MENS.'!H29</f>
        <v>0</v>
      </c>
      <c r="I25" s="346">
        <f>'C) Costos Directos'!$H$111*'J)ESTRUCTURA ECONOMICA MENS.'!I29</f>
        <v>0</v>
      </c>
      <c r="J25" s="346">
        <f>'C) Costos Directos'!$H$111*'J)ESTRUCTURA ECONOMICA MENS.'!J29</f>
        <v>0</v>
      </c>
      <c r="K25" s="346">
        <f>'C) Costos Directos'!$H$111*'J)ESTRUCTURA ECONOMICA MENS.'!K29</f>
        <v>5000</v>
      </c>
      <c r="L25" s="346">
        <f>'C) Costos Directos'!$H$111*'J)ESTRUCTURA ECONOMICA MENS.'!L29</f>
        <v>10000</v>
      </c>
      <c r="M25" s="346">
        <f>'C) Costos Directos'!$H$111*'J)ESTRUCTURA ECONOMICA MENS.'!M29</f>
        <v>55000</v>
      </c>
      <c r="N25" s="346">
        <f>'C) Costos Directos'!$H$111*'J)ESTRUCTURA ECONOMICA MENS.'!N29</f>
        <v>190000</v>
      </c>
      <c r="O25" s="356">
        <f t="shared" si="2"/>
        <v>500000</v>
      </c>
      <c r="P25" s="318"/>
    </row>
    <row r="26" spans="2:17" ht="15" thickBot="1" x14ac:dyDescent="0.4">
      <c r="B26" s="350" t="s">
        <v>232</v>
      </c>
      <c r="C26" s="347">
        <f>C20-(C24+C25+C21+C22+C23)</f>
        <v>-274011.99</v>
      </c>
      <c r="D26" s="328">
        <f t="shared" ref="D26:N26" si="3">D20-(D24+D25+D21+D22+D23)</f>
        <v>-302818.98999999987</v>
      </c>
      <c r="E26" s="328">
        <f t="shared" si="3"/>
        <v>-791317.99</v>
      </c>
      <c r="F26" s="328">
        <f t="shared" si="3"/>
        <v>88818</v>
      </c>
      <c r="G26" s="328">
        <f t="shared" si="3"/>
        <v>44409</v>
      </c>
      <c r="H26" s="328">
        <f t="shared" si="3"/>
        <v>0</v>
      </c>
      <c r="I26" s="328">
        <f t="shared" si="3"/>
        <v>0</v>
      </c>
      <c r="J26" s="328">
        <f t="shared" si="3"/>
        <v>0</v>
      </c>
      <c r="K26" s="328">
        <f t="shared" si="3"/>
        <v>791</v>
      </c>
      <c r="L26" s="328">
        <f t="shared" si="3"/>
        <v>-968953.99</v>
      </c>
      <c r="M26" s="328">
        <f t="shared" si="3"/>
        <v>-569272.99</v>
      </c>
      <c r="N26" s="341">
        <f t="shared" si="3"/>
        <v>392914.01</v>
      </c>
      <c r="O26" s="329">
        <f t="shared" si="2"/>
        <v>-2379443.9400000004</v>
      </c>
      <c r="P26" s="318"/>
    </row>
    <row r="27" spans="2:17" x14ac:dyDescent="0.35">
      <c r="B27" s="286" t="s">
        <v>233</v>
      </c>
      <c r="C27" s="1210">
        <v>0.22</v>
      </c>
      <c r="D27" s="1210">
        <v>0.17</v>
      </c>
      <c r="E27" s="1210">
        <v>0.06</v>
      </c>
      <c r="F27" s="1210">
        <v>0.02</v>
      </c>
      <c r="G27" s="1210">
        <v>0.01</v>
      </c>
      <c r="H27" s="1210">
        <v>0</v>
      </c>
      <c r="I27" s="1210">
        <v>0</v>
      </c>
      <c r="J27" s="1210">
        <v>0</v>
      </c>
      <c r="K27" s="1210">
        <v>0.01</v>
      </c>
      <c r="L27" s="1210">
        <v>0.02</v>
      </c>
      <c r="M27" s="1210">
        <v>0.11</v>
      </c>
      <c r="N27" s="1210">
        <v>0.38</v>
      </c>
      <c r="O27" s="319"/>
    </row>
    <row r="28" spans="2:17" x14ac:dyDescent="0.35">
      <c r="B28" s="287" t="s">
        <v>234</v>
      </c>
      <c r="C28" s="1210">
        <v>0.22</v>
      </c>
      <c r="D28" s="1210">
        <v>0.17</v>
      </c>
      <c r="E28" s="1210">
        <v>0.06</v>
      </c>
      <c r="F28" s="1210">
        <v>0.02</v>
      </c>
      <c r="G28" s="1210">
        <v>0.01</v>
      </c>
      <c r="H28" s="1210">
        <v>0</v>
      </c>
      <c r="I28" s="1210">
        <v>0</v>
      </c>
      <c r="J28" s="1210">
        <v>0</v>
      </c>
      <c r="K28" s="1210">
        <v>0.01</v>
      </c>
      <c r="L28" s="1210">
        <v>0.02</v>
      </c>
      <c r="M28" s="1210">
        <v>0.11</v>
      </c>
      <c r="N28" s="1210">
        <v>0.38</v>
      </c>
      <c r="O28" s="319"/>
    </row>
    <row r="29" spans="2:17" ht="15" thickBot="1" x14ac:dyDescent="0.4">
      <c r="B29" s="287" t="s">
        <v>249</v>
      </c>
      <c r="C29" s="1210">
        <v>0.22</v>
      </c>
      <c r="D29" s="1210">
        <v>0.17</v>
      </c>
      <c r="E29" s="1210">
        <v>0.06</v>
      </c>
      <c r="F29" s="1210">
        <v>0.02</v>
      </c>
      <c r="G29" s="1210">
        <v>0.01</v>
      </c>
      <c r="H29" s="1210">
        <v>0</v>
      </c>
      <c r="I29" s="1210">
        <v>0</v>
      </c>
      <c r="J29" s="1210">
        <v>0</v>
      </c>
      <c r="K29" s="1210">
        <v>0.01</v>
      </c>
      <c r="L29" s="1210">
        <v>0.02</v>
      </c>
      <c r="M29" s="1210">
        <v>0.11</v>
      </c>
      <c r="N29" s="1210">
        <v>0.38</v>
      </c>
      <c r="O29" s="319"/>
    </row>
    <row r="30" spans="2:17" ht="15" thickBot="1" x14ac:dyDescent="0.4">
      <c r="B30" s="331" t="s">
        <v>236</v>
      </c>
      <c r="C30" s="316" t="s">
        <v>77</v>
      </c>
      <c r="D30" s="332" t="s">
        <v>78</v>
      </c>
      <c r="E30" s="332" t="s">
        <v>79</v>
      </c>
      <c r="F30" s="332" t="s">
        <v>80</v>
      </c>
      <c r="G30" s="332" t="s">
        <v>81</v>
      </c>
      <c r="H30" s="332" t="s">
        <v>82</v>
      </c>
      <c r="I30" s="332" t="s">
        <v>83</v>
      </c>
      <c r="J30" s="343" t="s">
        <v>84</v>
      </c>
      <c r="K30" s="332" t="s">
        <v>85</v>
      </c>
      <c r="L30" s="332" t="s">
        <v>86</v>
      </c>
      <c r="M30" s="332" t="s">
        <v>87</v>
      </c>
      <c r="N30" s="333" t="s">
        <v>88</v>
      </c>
      <c r="O30" s="334" t="s">
        <v>335</v>
      </c>
      <c r="P30" s="318"/>
    </row>
    <row r="31" spans="2:17" x14ac:dyDescent="0.35">
      <c r="B31" s="348" t="s">
        <v>227</v>
      </c>
      <c r="C31" s="344">
        <f>+'A) Resumen Ingresos y Egresos'!$D$11*C38</f>
        <v>583819.02086677367</v>
      </c>
      <c r="D31" s="342">
        <f>+'A) Resumen Ingresos y Egresos'!$D$11*D38</f>
        <v>432753.00963081862</v>
      </c>
      <c r="E31" s="342">
        <f>+'A) Resumen Ingresos y Egresos'!$D$11*E38</f>
        <v>8802.7186998394864</v>
      </c>
      <c r="F31" s="342">
        <f>+'A) Resumen Ingresos y Egresos'!$D$11*F38</f>
        <v>115287.2191011236</v>
      </c>
      <c r="G31" s="342">
        <f>+'A) Resumen Ingresos y Egresos'!$D$11*G38</f>
        <v>234265.90088282505</v>
      </c>
      <c r="H31" s="342">
        <f>+'A) Resumen Ingresos y Egresos'!$D$11*H38</f>
        <v>553151.4847512038</v>
      </c>
      <c r="I31" s="342">
        <f>+'A) Resumen Ingresos y Egresos'!$D$11*I38</f>
        <v>176622.29133226324</v>
      </c>
      <c r="J31" s="342">
        <f>+'A) Resumen Ingresos y Egresos'!$D$11*J38</f>
        <v>234265.90088282505</v>
      </c>
      <c r="K31" s="342">
        <f>+'A) Resumen Ingresos y Egresos'!$D$11*K38</f>
        <v>291909.51043338684</v>
      </c>
      <c r="L31" s="342">
        <f>+'A) Resumen Ingresos y Egresos'!$D$11*L38</f>
        <v>111311.79775280898</v>
      </c>
      <c r="M31" s="342">
        <f>+'A) Resumen Ingresos y Egresos'!$D$11*M38</f>
        <v>0</v>
      </c>
      <c r="N31" s="352">
        <f>+'A) Resumen Ingresos y Egresos'!$D$11*N38</f>
        <v>88311.145666131619</v>
      </c>
      <c r="O31" s="355">
        <f t="shared" ref="O31:O37" si="4">SUM(C31:N31)</f>
        <v>2830500</v>
      </c>
      <c r="P31" s="318"/>
    </row>
    <row r="32" spans="2:17" x14ac:dyDescent="0.35">
      <c r="B32" s="349" t="s">
        <v>228</v>
      </c>
      <c r="C32" s="358">
        <f>(SUM('F) Remuneraciones'!$H$55:$H$65)*(1+'F) Remuneraciones'!$M$7))*1</f>
        <v>0</v>
      </c>
      <c r="D32" s="340">
        <f>SUM('F) Remuneraciones'!$H$55:$H$65)/12</f>
        <v>0</v>
      </c>
      <c r="E32" s="340">
        <f>SUM('F) Remuneraciones'!$H$55:$H$65)/12</f>
        <v>0</v>
      </c>
      <c r="F32" s="340">
        <f>SUM('F) Remuneraciones'!$H$55:$H$65)/12</f>
        <v>0</v>
      </c>
      <c r="G32" s="340">
        <f>SUM('F) Remuneraciones'!$H$55:$H$65)/12</f>
        <v>0</v>
      </c>
      <c r="H32" s="340">
        <f>SUM('F) Remuneraciones'!$H$55:$H$65)/12</f>
        <v>0</v>
      </c>
      <c r="I32" s="340">
        <f>SUM('F) Remuneraciones'!$H$55:$H$65)/12</f>
        <v>0</v>
      </c>
      <c r="J32" s="340">
        <f>SUM('F) Remuneraciones'!$H$55:$H$65)/12</f>
        <v>0</v>
      </c>
      <c r="K32" s="340">
        <f>SUM('F) Remuneraciones'!$H$55:$H$65)/12</f>
        <v>0</v>
      </c>
      <c r="L32" s="340">
        <f>SUM('F) Remuneraciones'!$H$55:$H$65)/12</f>
        <v>0</v>
      </c>
      <c r="M32" s="340">
        <f>SUM('F) Remuneraciones'!$H$55:$H$65)/12</f>
        <v>0</v>
      </c>
      <c r="N32" s="359">
        <f>SUM('F) Remuneraciones'!$H$55:$H$65)/12</f>
        <v>0</v>
      </c>
      <c r="O32" s="356">
        <f t="shared" si="4"/>
        <v>0</v>
      </c>
      <c r="P32" s="1698"/>
    </row>
    <row r="33" spans="2:16" x14ac:dyDescent="0.35">
      <c r="B33" s="349" t="s">
        <v>229</v>
      </c>
      <c r="C33" s="345">
        <v>0</v>
      </c>
      <c r="D33" s="336">
        <v>0</v>
      </c>
      <c r="E33" s="336">
        <v>0</v>
      </c>
      <c r="F33" s="336">
        <v>0</v>
      </c>
      <c r="G33" s="336">
        <v>0</v>
      </c>
      <c r="H33" s="336">
        <v>0</v>
      </c>
      <c r="I33" s="336">
        <v>0</v>
      </c>
      <c r="J33" s="336">
        <v>0</v>
      </c>
      <c r="K33" s="336">
        <v>0</v>
      </c>
      <c r="L33" s="336">
        <v>0</v>
      </c>
      <c r="M33" s="336">
        <v>0</v>
      </c>
      <c r="N33" s="353">
        <v>0</v>
      </c>
      <c r="O33" s="356">
        <f t="shared" si="4"/>
        <v>0</v>
      </c>
      <c r="P33" s="1698"/>
    </row>
    <row r="34" spans="2:16" x14ac:dyDescent="0.35">
      <c r="B34" s="349" t="s">
        <v>230</v>
      </c>
      <c r="C34" s="345">
        <f>(SUM('F) Remuneraciones'!$I$55:$J$65)*(1+'F) Remuneraciones'!$M$7))/2</f>
        <v>0</v>
      </c>
      <c r="D34" s="336">
        <v>0</v>
      </c>
      <c r="E34" s="336">
        <v>0</v>
      </c>
      <c r="F34" s="336">
        <v>0</v>
      </c>
      <c r="G34" s="336">
        <v>0</v>
      </c>
      <c r="H34" s="336">
        <v>0</v>
      </c>
      <c r="I34" s="336">
        <v>0</v>
      </c>
      <c r="J34" s="336">
        <v>0</v>
      </c>
      <c r="K34" s="345">
        <f>(SUM('F) Remuneraciones'!$I$55:$J$65)*(1+'F) Remuneraciones'!$M$7))/2</f>
        <v>0</v>
      </c>
      <c r="L34" s="336">
        <v>0</v>
      </c>
      <c r="M34" s="336">
        <v>0</v>
      </c>
      <c r="N34" s="345">
        <f>+C34+K34</f>
        <v>0</v>
      </c>
      <c r="O34" s="356">
        <f t="shared" si="4"/>
        <v>0</v>
      </c>
      <c r="P34" s="318"/>
    </row>
    <row r="35" spans="2:16" x14ac:dyDescent="0.35">
      <c r="B35" s="349" t="s">
        <v>231</v>
      </c>
      <c r="C35" s="345">
        <f>('C) Costos Directos'!$H$155-'C) Costos Directos'!$H$156)*C39</f>
        <v>0</v>
      </c>
      <c r="D35" s="345">
        <f>('C) Costos Directos'!$H$155-'C) Costos Directos'!$H$156)*D39</f>
        <v>0</v>
      </c>
      <c r="E35" s="345">
        <f>('C) Costos Directos'!$H$155-'C) Costos Directos'!$H$156)*E39</f>
        <v>0</v>
      </c>
      <c r="F35" s="345">
        <f>('C) Costos Directos'!$H$155-'C) Costos Directos'!$H$156)*F39</f>
        <v>0</v>
      </c>
      <c r="G35" s="345">
        <f>('C) Costos Directos'!$H$155-'C) Costos Directos'!$H$156)*G39</f>
        <v>0</v>
      </c>
      <c r="H35" s="345">
        <f>('C) Costos Directos'!$H$155-'C) Costos Directos'!$H$156)*H39</f>
        <v>0</v>
      </c>
      <c r="I35" s="345">
        <f>('C) Costos Directos'!$H$155-'C) Costos Directos'!$H$156)*I39</f>
        <v>0</v>
      </c>
      <c r="J35" s="345">
        <f>('C) Costos Directos'!$H$155-'C) Costos Directos'!$H$156)*J39</f>
        <v>103260.27039112584</v>
      </c>
      <c r="K35" s="345">
        <f>('C) Costos Directos'!$H$155-'C) Costos Directos'!$H$156)*K39</f>
        <v>96131.849358207881</v>
      </c>
      <c r="L35" s="345">
        <f>('C) Costos Directos'!$H$155-'C) Costos Directos'!$H$156)*L39</f>
        <v>0</v>
      </c>
      <c r="M35" s="345">
        <f>('C) Costos Directos'!$H$155-'C) Costos Directos'!$H$156)*M39</f>
        <v>739435.4780839876</v>
      </c>
      <c r="N35" s="345">
        <f>('C) Costos Directos'!$H$155-'C) Costos Directos'!$H$156)*N39</f>
        <v>744231.40216667869</v>
      </c>
      <c r="O35" s="356">
        <f t="shared" si="4"/>
        <v>1683059</v>
      </c>
      <c r="P35" s="318"/>
    </row>
    <row r="36" spans="2:16" ht="15" thickBot="1" x14ac:dyDescent="0.4">
      <c r="B36" s="335" t="s">
        <v>248</v>
      </c>
      <c r="C36" s="346">
        <f>'C) Costos Directos'!$H$183*'J)ESTRUCTURA ECONOMICA MENS.'!C40</f>
        <v>0</v>
      </c>
      <c r="D36" s="346">
        <f>'C) Costos Directos'!$H$183*'J)ESTRUCTURA ECONOMICA MENS.'!D40</f>
        <v>0</v>
      </c>
      <c r="E36" s="346">
        <f>'C) Costos Directos'!$H$183*'J)ESTRUCTURA ECONOMICA MENS.'!E40</f>
        <v>0</v>
      </c>
      <c r="F36" s="346">
        <f>'C) Costos Directos'!$H$183*'J)ESTRUCTURA ECONOMICA MENS.'!F40</f>
        <v>0</v>
      </c>
      <c r="G36" s="346">
        <f>'C) Costos Directos'!$H$183*'J)ESTRUCTURA ECONOMICA MENS.'!G40</f>
        <v>0</v>
      </c>
      <c r="H36" s="346">
        <f>'C) Costos Directos'!$H$183*'J)ESTRUCTURA ECONOMICA MENS.'!H40</f>
        <v>0</v>
      </c>
      <c r="I36" s="346">
        <f>'C) Costos Directos'!$H$183*'J)ESTRUCTURA ECONOMICA MENS.'!I40</f>
        <v>0</v>
      </c>
      <c r="J36" s="346">
        <f>'C) Costos Directos'!$H$183*'J)ESTRUCTURA ECONOMICA MENS.'!J40</f>
        <v>39803.260776489231</v>
      </c>
      <c r="K36" s="346">
        <f>'C) Costos Directos'!$H$183*'J)ESTRUCTURA ECONOMICA MENS.'!K40</f>
        <v>37055.501156810489</v>
      </c>
      <c r="L36" s="346">
        <f>'C) Costos Directos'!$H$183*'J)ESTRUCTURA ECONOMICA MENS.'!L40</f>
        <v>0</v>
      </c>
      <c r="M36" s="346">
        <f>'C) Costos Directos'!$H$183*'J)ESTRUCTURA ECONOMICA MENS.'!M40</f>
        <v>285026.78765108407</v>
      </c>
      <c r="N36" s="346">
        <f>'C) Costos Directos'!$H$183*'J)ESTRUCTURA ECONOMICA MENS.'!N40</f>
        <v>286875.45041561621</v>
      </c>
      <c r="O36" s="356">
        <f t="shared" si="4"/>
        <v>648761</v>
      </c>
      <c r="P36" s="318"/>
    </row>
    <row r="37" spans="2:16" ht="15" thickBot="1" x14ac:dyDescent="0.4">
      <c r="B37" s="350" t="s">
        <v>232</v>
      </c>
      <c r="C37" s="347">
        <f>C31-(C35+C36+C32+C33+C34)</f>
        <v>583819.02086677367</v>
      </c>
      <c r="D37" s="328">
        <f t="shared" ref="D37:N37" si="5">D31-(D35+D36+D32+D33+D34)</f>
        <v>432753.00963081862</v>
      </c>
      <c r="E37" s="328">
        <f t="shared" si="5"/>
        <v>8802.7186998394864</v>
      </c>
      <c r="F37" s="328">
        <f t="shared" si="5"/>
        <v>115287.2191011236</v>
      </c>
      <c r="G37" s="328">
        <f t="shared" si="5"/>
        <v>234265.90088282505</v>
      </c>
      <c r="H37" s="328">
        <f t="shared" si="5"/>
        <v>553151.4847512038</v>
      </c>
      <c r="I37" s="328">
        <f t="shared" si="5"/>
        <v>176622.29133226324</v>
      </c>
      <c r="J37" s="328">
        <f t="shared" si="5"/>
        <v>91202.369715209963</v>
      </c>
      <c r="K37" s="328">
        <f t="shared" si="5"/>
        <v>158722.15991836847</v>
      </c>
      <c r="L37" s="328">
        <f t="shared" si="5"/>
        <v>111311.79775280898</v>
      </c>
      <c r="M37" s="328">
        <f t="shared" si="5"/>
        <v>-1024462.2657350716</v>
      </c>
      <c r="N37" s="341">
        <f t="shared" si="5"/>
        <v>-942795.70691616333</v>
      </c>
      <c r="O37" s="329">
        <f t="shared" si="4"/>
        <v>498679.99999999942</v>
      </c>
      <c r="P37" s="318"/>
    </row>
    <row r="38" spans="2:16" x14ac:dyDescent="0.35">
      <c r="B38" s="286" t="s">
        <v>233</v>
      </c>
      <c r="C38" s="1210">
        <v>0.20626003210272872</v>
      </c>
      <c r="D38" s="1210">
        <v>0.1528892455858748</v>
      </c>
      <c r="E38" s="1210">
        <v>3.1099518459069019E-3</v>
      </c>
      <c r="F38" s="1210">
        <v>4.0730337078651688E-2</v>
      </c>
      <c r="G38" s="1210">
        <v>8.2764847512038525E-2</v>
      </c>
      <c r="H38" s="1210">
        <v>0.19542536115569822</v>
      </c>
      <c r="I38" s="1210">
        <v>6.2399678972712681E-2</v>
      </c>
      <c r="J38" s="1210">
        <v>8.2764847512038525E-2</v>
      </c>
      <c r="K38" s="1210">
        <v>0.10313001605136436</v>
      </c>
      <c r="L38" s="1210">
        <v>3.9325842696629212E-2</v>
      </c>
      <c r="M38" s="1210">
        <v>0</v>
      </c>
      <c r="N38" s="1210">
        <v>3.1199839486356341E-2</v>
      </c>
      <c r="O38" s="319"/>
    </row>
    <row r="39" spans="2:16" x14ac:dyDescent="0.35">
      <c r="B39" s="287" t="s">
        <v>234</v>
      </c>
      <c r="C39" s="1210">
        <v>0</v>
      </c>
      <c r="D39" s="1210">
        <v>0</v>
      </c>
      <c r="E39" s="1210">
        <v>0</v>
      </c>
      <c r="F39" s="1210">
        <v>0</v>
      </c>
      <c r="G39" s="1210">
        <v>0</v>
      </c>
      <c r="H39" s="1210">
        <v>0</v>
      </c>
      <c r="I39" s="1210">
        <v>0</v>
      </c>
      <c r="J39" s="1210">
        <v>6.1352733559029031E-2</v>
      </c>
      <c r="K39" s="1210">
        <v>5.7117337751206511E-2</v>
      </c>
      <c r="L39" s="1210">
        <v>0</v>
      </c>
      <c r="M39" s="1210">
        <v>0.43934020024490383</v>
      </c>
      <c r="N39" s="1210">
        <v>0.4421897284448606</v>
      </c>
      <c r="O39" s="319"/>
    </row>
    <row r="40" spans="2:16" ht="15" thickBot="1" x14ac:dyDescent="0.4">
      <c r="B40" s="287" t="s">
        <v>249</v>
      </c>
      <c r="C40" s="1210">
        <v>0</v>
      </c>
      <c r="D40" s="1210">
        <v>0</v>
      </c>
      <c r="E40" s="1210">
        <v>0</v>
      </c>
      <c r="F40" s="1210">
        <v>0</v>
      </c>
      <c r="G40" s="1210">
        <v>0</v>
      </c>
      <c r="H40" s="1210">
        <v>0</v>
      </c>
      <c r="I40" s="1210">
        <v>0</v>
      </c>
      <c r="J40" s="1210">
        <v>6.1352733559029031E-2</v>
      </c>
      <c r="K40" s="1210">
        <v>5.7117337751206511E-2</v>
      </c>
      <c r="L40" s="1210">
        <v>0</v>
      </c>
      <c r="M40" s="1210">
        <v>0.43934020024490383</v>
      </c>
      <c r="N40" s="1210">
        <v>0.4421897284448606</v>
      </c>
      <c r="O40" s="319"/>
    </row>
    <row r="41" spans="2:16" ht="15" thickBot="1" x14ac:dyDescent="0.4">
      <c r="B41" s="331" t="s">
        <v>312</v>
      </c>
      <c r="C41" s="316" t="s">
        <v>77</v>
      </c>
      <c r="D41" s="332" t="s">
        <v>78</v>
      </c>
      <c r="E41" s="332" t="s">
        <v>79</v>
      </c>
      <c r="F41" s="332" t="s">
        <v>80</v>
      </c>
      <c r="G41" s="332" t="s">
        <v>81</v>
      </c>
      <c r="H41" s="332" t="s">
        <v>82</v>
      </c>
      <c r="I41" s="332" t="s">
        <v>83</v>
      </c>
      <c r="J41" s="343" t="s">
        <v>84</v>
      </c>
      <c r="K41" s="332" t="s">
        <v>85</v>
      </c>
      <c r="L41" s="332" t="s">
        <v>86</v>
      </c>
      <c r="M41" s="332" t="s">
        <v>87</v>
      </c>
      <c r="N41" s="333" t="s">
        <v>88</v>
      </c>
      <c r="O41" s="334" t="s">
        <v>335</v>
      </c>
      <c r="P41" s="318"/>
    </row>
    <row r="42" spans="2:16" x14ac:dyDescent="0.35">
      <c r="B42" s="348" t="s">
        <v>227</v>
      </c>
      <c r="C42" s="344">
        <f>+'A) Resumen Ingresos y Egresos'!$D$12*'J)ESTRUCTURA ECONOMICA MENS.'!C49</f>
        <v>12351245.541354287</v>
      </c>
      <c r="D42" s="342">
        <f>+'A) Resumen Ingresos y Egresos'!$D$12*'J)ESTRUCTURA ECONOMICA MENS.'!D49</f>
        <v>9505566.3772705495</v>
      </c>
      <c r="E42" s="342">
        <f>+'A) Resumen Ingresos y Egresos'!$D$12*'J)ESTRUCTURA ECONOMICA MENS.'!E49</f>
        <v>6081956.7629411025</v>
      </c>
      <c r="F42" s="342">
        <f>+'A) Resumen Ingresos y Egresos'!$D$12*'J)ESTRUCTURA ECONOMICA MENS.'!F49</f>
        <v>6698407.5795757761</v>
      </c>
      <c r="G42" s="342">
        <f>+'A) Resumen Ingresos y Egresos'!$D$12*'J)ESTRUCTURA ECONOMICA MENS.'!G49</f>
        <v>5559833.8502351819</v>
      </c>
      <c r="H42" s="342">
        <f>+'A) Resumen Ingresos y Egresos'!$D$12*'J)ESTRUCTURA ECONOMICA MENS.'!H49</f>
        <v>1748800.3675502331</v>
      </c>
      <c r="I42" s="342">
        <f>+'A) Resumen Ingresos y Egresos'!$D$12*'J)ESTRUCTURA ECONOMICA MENS.'!I49</f>
        <v>3945667.3334295172</v>
      </c>
      <c r="J42" s="342">
        <f>+'A) Resumen Ingresos y Egresos'!$D$12*'J)ESTRUCTURA ECONOMICA MENS.'!J49</f>
        <v>1875725.0744032199</v>
      </c>
      <c r="K42" s="342">
        <f>+'A) Resumen Ingresos y Egresos'!$D$12*'J)ESTRUCTURA ECONOMICA MENS.'!K49</f>
        <v>4715560.3560960414</v>
      </c>
      <c r="L42" s="342">
        <f>+'A) Resumen Ingresos y Egresos'!$D$12*'J)ESTRUCTURA ECONOMICA MENS.'!L49</f>
        <v>7186336.4460141743</v>
      </c>
      <c r="M42" s="342">
        <f>+'A) Resumen Ingresos y Egresos'!$D$12*'J)ESTRUCTURA ECONOMICA MENS.'!M49</f>
        <v>9792459.8944742177</v>
      </c>
      <c r="N42" s="352">
        <f>+'A) Resumen Ingresos y Egresos'!$D$12*'J)ESTRUCTURA ECONOMICA MENS.'!N49</f>
        <v>39325440.416655697</v>
      </c>
      <c r="O42" s="355">
        <f t="shared" ref="O42:O48" si="6">SUM(C42:N42)</f>
        <v>108787000</v>
      </c>
      <c r="P42" s="318"/>
    </row>
    <row r="43" spans="2:16" x14ac:dyDescent="0.35">
      <c r="B43" s="349" t="s">
        <v>228</v>
      </c>
      <c r="C43" s="345">
        <f>(SUM('F) Remuneraciones'!$L$66:$L$76)-SUM('F) Remuneraciones'!$I$66:$J$66))/12</f>
        <v>4842979.5270833327</v>
      </c>
      <c r="D43" s="345">
        <f>(SUM('F) Remuneraciones'!$L$66:$L$76)-SUM('F) Remuneraciones'!$I$66:$J$66))/12</f>
        <v>4842979.5270833327</v>
      </c>
      <c r="E43" s="345">
        <f>(SUM('F) Remuneraciones'!$L$66:$L$76)-SUM('F) Remuneraciones'!$I$66:$J$66))/12</f>
        <v>4842979.5270833327</v>
      </c>
      <c r="F43" s="345">
        <f>(SUM('F) Remuneraciones'!$L$66:$L$76)-SUM('F) Remuneraciones'!$I$66:$J$66))/12</f>
        <v>4842979.5270833327</v>
      </c>
      <c r="G43" s="345">
        <f>(SUM('F) Remuneraciones'!$L$66:$L$76)-SUM('F) Remuneraciones'!$I$66:$J$66))/12</f>
        <v>4842979.5270833327</v>
      </c>
      <c r="H43" s="345">
        <f>(SUM('F) Remuneraciones'!$L$66:$L$76)-SUM('F) Remuneraciones'!$I$66:$J$66))/12</f>
        <v>4842979.5270833327</v>
      </c>
      <c r="I43" s="345">
        <f>(SUM('F) Remuneraciones'!$L$66:$L$76)-SUM('F) Remuneraciones'!$I$66:$J$66))/12</f>
        <v>4842979.5270833327</v>
      </c>
      <c r="J43" s="345">
        <f>(SUM('F) Remuneraciones'!$L$66:$L$76)-SUM('F) Remuneraciones'!$I$66:$J$66))/12</f>
        <v>4842979.5270833327</v>
      </c>
      <c r="K43" s="345">
        <f>(SUM('F) Remuneraciones'!$L$66:$L$76)-SUM('F) Remuneraciones'!$I$66:$J$66))/12</f>
        <v>4842979.5270833327</v>
      </c>
      <c r="L43" s="345">
        <f>(SUM('F) Remuneraciones'!$L$66:$L$76)-SUM('F) Remuneraciones'!$I$66:$J$66))/12</f>
        <v>4842979.5270833327</v>
      </c>
      <c r="M43" s="345">
        <f>(SUM('F) Remuneraciones'!$L$66:$L$76)-SUM('F) Remuneraciones'!$I$66:$J$66))/12</f>
        <v>4842979.5270833327</v>
      </c>
      <c r="N43" s="345">
        <f>(SUM('F) Remuneraciones'!$L$66:$L$76)-SUM('F) Remuneraciones'!$I$66:$J$66))/12</f>
        <v>4842979.5270833327</v>
      </c>
      <c r="O43" s="356">
        <f t="shared" si="6"/>
        <v>58115754.324999981</v>
      </c>
      <c r="P43" s="1698"/>
    </row>
    <row r="44" spans="2:16" x14ac:dyDescent="0.35">
      <c r="B44" s="349" t="s">
        <v>229</v>
      </c>
      <c r="C44" s="345">
        <f>SUM('F) Remuneraciones'!$L$77:$L$87)/4</f>
        <v>1278908.5987499999</v>
      </c>
      <c r="D44" s="345">
        <f>SUM('F) Remuneraciones'!$L$77:$L$87)/4</f>
        <v>1278908.5987499999</v>
      </c>
      <c r="E44" s="345">
        <f>SUM('F) Remuneraciones'!$L$77:$L$87)/4</f>
        <v>1278908.5987499999</v>
      </c>
      <c r="F44" s="336">
        <v>0</v>
      </c>
      <c r="G44" s="336">
        <v>0</v>
      </c>
      <c r="H44" s="336">
        <v>0</v>
      </c>
      <c r="I44" s="336">
        <v>0</v>
      </c>
      <c r="J44" s="336">
        <v>0</v>
      </c>
      <c r="K44" s="336">
        <v>0</v>
      </c>
      <c r="L44" s="336">
        <v>0</v>
      </c>
      <c r="M44" s="336">
        <v>0</v>
      </c>
      <c r="N44" s="345">
        <f>SUM('F) Remuneraciones'!$L$77:$L$87)/4</f>
        <v>1278908.5987499999</v>
      </c>
      <c r="O44" s="356">
        <f t="shared" si="6"/>
        <v>5115634.3949999996</v>
      </c>
      <c r="P44" s="1698"/>
    </row>
    <row r="45" spans="2:16" x14ac:dyDescent="0.35">
      <c r="B45" s="349" t="s">
        <v>230</v>
      </c>
      <c r="C45" s="345">
        <f>SUM('F) Remuneraciones'!J66)/2</f>
        <v>193238</v>
      </c>
      <c r="D45" s="336">
        <v>0</v>
      </c>
      <c r="E45" s="336">
        <v>0</v>
      </c>
      <c r="F45" s="336">
        <v>0</v>
      </c>
      <c r="G45" s="336">
        <v>0</v>
      </c>
      <c r="H45" s="336">
        <v>0</v>
      </c>
      <c r="I45" s="336">
        <v>0</v>
      </c>
      <c r="J45" s="336">
        <v>0</v>
      </c>
      <c r="K45" s="345">
        <f>'F) Remuneraciones'!I66/2</f>
        <v>87236</v>
      </c>
      <c r="L45" s="336">
        <v>0</v>
      </c>
      <c r="M45" s="336">
        <v>0</v>
      </c>
      <c r="N45" s="353">
        <f>+C45+K45</f>
        <v>280474</v>
      </c>
      <c r="O45" s="356">
        <f t="shared" si="6"/>
        <v>560948</v>
      </c>
      <c r="P45" s="318"/>
    </row>
    <row r="46" spans="2:16" x14ac:dyDescent="0.35">
      <c r="B46" s="349" t="s">
        <v>231</v>
      </c>
      <c r="C46" s="345">
        <f>('C) Costos Directos'!$H$227-'C) Costos Directos'!$H$228)*C50</f>
        <v>1389256.8473354429</v>
      </c>
      <c r="D46" s="345">
        <f>('C) Costos Directos'!$H$227-'C) Costos Directos'!$H$228)*D50</f>
        <v>1412715.5822845276</v>
      </c>
      <c r="E46" s="345">
        <f>('C) Costos Directos'!$H$227-'C) Costos Directos'!$H$228)*E50</f>
        <v>8693076.6792041473</v>
      </c>
      <c r="F46" s="345">
        <f>('C) Costos Directos'!$H$227-'C) Costos Directos'!$H$228)*F50</f>
        <v>1779489.2428665268</v>
      </c>
      <c r="G46" s="345">
        <f>('C) Costos Directos'!$H$227-'C) Costos Directos'!$H$228)*G50</f>
        <v>852387.89892383094</v>
      </c>
      <c r="H46" s="345">
        <f>('C) Costos Directos'!$H$227-'C) Costos Directos'!$H$228)*H50</f>
        <v>925513.05880942999</v>
      </c>
      <c r="I46" s="345">
        <f>('C) Costos Directos'!$H$227-'C) Costos Directos'!$H$228)*I50</f>
        <v>654394.16596492508</v>
      </c>
      <c r="J46" s="345">
        <f>('C) Costos Directos'!$H$227-'C) Costos Directos'!$H$228)*J50</f>
        <v>1816596.194730002</v>
      </c>
      <c r="K46" s="345">
        <f>('C) Costos Directos'!$H$227-'C) Costos Directos'!$H$228)*K50</f>
        <v>4559344.9005346261</v>
      </c>
      <c r="L46" s="345">
        <f>('C) Costos Directos'!$H$227-'C) Costos Directos'!$H$228)*L50</f>
        <v>7233035.7175641479</v>
      </c>
      <c r="M46" s="345">
        <f>('C) Costos Directos'!$H$227-'C) Costos Directos'!$H$228)*M50</f>
        <v>2903891.6619215491</v>
      </c>
      <c r="N46" s="345">
        <f>('C) Costos Directos'!$H$227-'C) Costos Directos'!$H$228)*N50</f>
        <v>5656038.0498608435</v>
      </c>
      <c r="O46" s="356">
        <f t="shared" si="6"/>
        <v>37875740</v>
      </c>
      <c r="P46" s="318"/>
    </row>
    <row r="47" spans="2:16" ht="15" thickBot="1" x14ac:dyDescent="0.4">
      <c r="B47" s="335" t="s">
        <v>248</v>
      </c>
      <c r="C47" s="346">
        <f>'C) Costos Directos'!$H$255*'J)ESTRUCTURA ECONOMICA MENS.'!C51</f>
        <v>398307.39657982654</v>
      </c>
      <c r="D47" s="346">
        <f>'C) Costos Directos'!$H$255*'J)ESTRUCTURA ECONOMICA MENS.'!D51</f>
        <v>405033.14183171955</v>
      </c>
      <c r="E47" s="346">
        <f>'C) Costos Directos'!$H$255*'J)ESTRUCTURA ECONOMICA MENS.'!E51</f>
        <v>2492351.7541076886</v>
      </c>
      <c r="F47" s="346">
        <f>'C) Costos Directos'!$H$255*'J)ESTRUCTURA ECONOMICA MENS.'!F51</f>
        <v>510189.11940394685</v>
      </c>
      <c r="G47" s="346">
        <f>'C) Costos Directos'!$H$255*'J)ESTRUCTURA ECONOMICA MENS.'!G51</f>
        <v>244384.18680294798</v>
      </c>
      <c r="H47" s="346">
        <f>'C) Costos Directos'!$H$255*'J)ESTRUCTURA ECONOMICA MENS.'!H51</f>
        <v>265349.56272632739</v>
      </c>
      <c r="I47" s="346">
        <f>'C) Costos Directos'!$H$255*'J)ESTRUCTURA ECONOMICA MENS.'!I51</f>
        <v>187618.32060244007</v>
      </c>
      <c r="J47" s="346">
        <f>'C) Costos Directos'!$H$255*'J)ESTRUCTURA ECONOMICA MENS.'!J51</f>
        <v>520827.88171784242</v>
      </c>
      <c r="K47" s="346">
        <f>'C) Costos Directos'!$H$255*'J)ESTRUCTURA ECONOMICA MENS.'!K51</f>
        <v>1307188.6605594452</v>
      </c>
      <c r="L47" s="346">
        <f>'C) Costos Directos'!$H$255*'J)ESTRUCTURA ECONOMICA MENS.'!L51</f>
        <v>2073750.1719408468</v>
      </c>
      <c r="M47" s="346">
        <f>'C) Costos Directos'!$H$255*'J)ESTRUCTURA ECONOMICA MENS.'!M51</f>
        <v>832561.32948219427</v>
      </c>
      <c r="N47" s="346">
        <f>'C) Costos Directos'!$H$255*'J)ESTRUCTURA ECONOMICA MENS.'!N51</f>
        <v>1621616.4742447746</v>
      </c>
      <c r="O47" s="356">
        <f t="shared" si="6"/>
        <v>10859178</v>
      </c>
      <c r="P47" s="318"/>
    </row>
    <row r="48" spans="2:16" ht="15" thickBot="1" x14ac:dyDescent="0.4">
      <c r="B48" s="350" t="s">
        <v>232</v>
      </c>
      <c r="C48" s="347">
        <f>C42-(C46+C47+C43+C44+C45)</f>
        <v>4248555.1716056857</v>
      </c>
      <c r="D48" s="328">
        <f t="shared" ref="D48:N48" si="7">D42-(D46+D47+D43+D44+D45)</f>
        <v>1565929.5273209698</v>
      </c>
      <c r="E48" s="328">
        <f t="shared" si="7"/>
        <v>-11225359.796204064</v>
      </c>
      <c r="F48" s="328">
        <f t="shared" si="7"/>
        <v>-434250.30977803003</v>
      </c>
      <c r="G48" s="328">
        <f t="shared" si="7"/>
        <v>-379917.76257492974</v>
      </c>
      <c r="H48" s="328">
        <f t="shared" si="7"/>
        <v>-4285041.7810688568</v>
      </c>
      <c r="I48" s="328">
        <f t="shared" si="7"/>
        <v>-1739324.6802211804</v>
      </c>
      <c r="J48" s="328">
        <f t="shared" si="7"/>
        <v>-5304678.5291279573</v>
      </c>
      <c r="K48" s="328">
        <f t="shared" si="7"/>
        <v>-6081188.7320813639</v>
      </c>
      <c r="L48" s="328">
        <f t="shared" si="7"/>
        <v>-6963428.9705741545</v>
      </c>
      <c r="M48" s="328">
        <f t="shared" si="7"/>
        <v>1213027.3759871405</v>
      </c>
      <c r="N48" s="341">
        <f t="shared" si="7"/>
        <v>25645423.766716748</v>
      </c>
      <c r="O48" s="329">
        <f t="shared" si="6"/>
        <v>-3740254.7199999988</v>
      </c>
      <c r="P48" s="318"/>
    </row>
    <row r="49" spans="2:16" x14ac:dyDescent="0.35">
      <c r="B49" s="286" t="s">
        <v>233</v>
      </c>
      <c r="C49" s="1210">
        <v>0.1135360432896788</v>
      </c>
      <c r="D49" s="1210">
        <v>8.7377778385933511E-2</v>
      </c>
      <c r="E49" s="1210">
        <v>5.5907017961163583E-2</v>
      </c>
      <c r="F49" s="1210">
        <v>6.1573603275904068E-2</v>
      </c>
      <c r="G49" s="1210">
        <v>5.1107520661799501E-2</v>
      </c>
      <c r="H49" s="1210">
        <v>1.6075453570281679E-2</v>
      </c>
      <c r="I49" s="1210">
        <v>3.6269658446593044E-2</v>
      </c>
      <c r="J49" s="1210">
        <v>1.7242180356138323E-2</v>
      </c>
      <c r="K49" s="1210">
        <v>4.3346726686975846E-2</v>
      </c>
      <c r="L49" s="1210">
        <v>6.6058779505034373E-2</v>
      </c>
      <c r="M49" s="1210">
        <v>9.001498243792197E-2</v>
      </c>
      <c r="N49" s="1210">
        <v>0.36149025542257529</v>
      </c>
      <c r="O49" s="319"/>
    </row>
    <row r="50" spans="2:16" x14ac:dyDescent="0.35">
      <c r="B50" s="287" t="s">
        <v>234</v>
      </c>
      <c r="C50" s="1210">
        <v>3.6679332135436636E-2</v>
      </c>
      <c r="D50" s="1210">
        <v>3.7298692574310829E-2</v>
      </c>
      <c r="E50" s="1210">
        <v>0.22951569208163716</v>
      </c>
      <c r="F50" s="1210">
        <v>4.6982296395173449E-2</v>
      </c>
      <c r="G50" s="1210">
        <v>2.2504851361949126E-2</v>
      </c>
      <c r="H50" s="1210">
        <v>2.4435510931520545E-2</v>
      </c>
      <c r="I50" s="1210">
        <v>1.7277396189881045E-2</v>
      </c>
      <c r="J50" s="1210">
        <v>4.7961998755139887E-2</v>
      </c>
      <c r="K50" s="1210">
        <v>0.12037639134006692</v>
      </c>
      <c r="L50" s="1210">
        <v>0.19096750895333392</v>
      </c>
      <c r="M50" s="1210">
        <v>7.6668908961819604E-2</v>
      </c>
      <c r="N50" s="1210">
        <v>0.14933142031973087</v>
      </c>
      <c r="O50" s="319"/>
    </row>
    <row r="51" spans="2:16" ht="15" thickBot="1" x14ac:dyDescent="0.4">
      <c r="B51" s="287" t="s">
        <v>249</v>
      </c>
      <c r="C51" s="1210">
        <v>3.6679332135436636E-2</v>
      </c>
      <c r="D51" s="1210">
        <v>3.7298692574310829E-2</v>
      </c>
      <c r="E51" s="1210">
        <v>0.22951569208163716</v>
      </c>
      <c r="F51" s="1210">
        <v>4.6982296395173449E-2</v>
      </c>
      <c r="G51" s="1210">
        <v>2.2504851361949126E-2</v>
      </c>
      <c r="H51" s="1210">
        <v>2.4435510931520545E-2</v>
      </c>
      <c r="I51" s="1210">
        <v>1.7277396189881045E-2</v>
      </c>
      <c r="J51" s="1210">
        <v>4.7961998755139887E-2</v>
      </c>
      <c r="K51" s="1210">
        <v>0.12037639134006692</v>
      </c>
      <c r="L51" s="1210">
        <v>0.19096750895333392</v>
      </c>
      <c r="M51" s="1210">
        <v>7.6668908961819604E-2</v>
      </c>
      <c r="N51" s="1210">
        <v>0.14933142031973087</v>
      </c>
      <c r="O51" s="319"/>
    </row>
    <row r="52" spans="2:16" ht="15" thickBot="1" x14ac:dyDescent="0.4">
      <c r="B52" s="331" t="s">
        <v>237</v>
      </c>
      <c r="C52" s="316" t="s">
        <v>77</v>
      </c>
      <c r="D52" s="332" t="s">
        <v>78</v>
      </c>
      <c r="E52" s="332" t="s">
        <v>79</v>
      </c>
      <c r="F52" s="332" t="s">
        <v>80</v>
      </c>
      <c r="G52" s="332" t="s">
        <v>81</v>
      </c>
      <c r="H52" s="332" t="s">
        <v>82</v>
      </c>
      <c r="I52" s="332" t="s">
        <v>83</v>
      </c>
      <c r="J52" s="343" t="s">
        <v>84</v>
      </c>
      <c r="K52" s="332" t="s">
        <v>85</v>
      </c>
      <c r="L52" s="332" t="s">
        <v>86</v>
      </c>
      <c r="M52" s="332" t="s">
        <v>87</v>
      </c>
      <c r="N52" s="333" t="s">
        <v>88</v>
      </c>
      <c r="O52" s="334" t="s">
        <v>335</v>
      </c>
      <c r="P52" s="318"/>
    </row>
    <row r="53" spans="2:16" x14ac:dyDescent="0.35">
      <c r="B53" s="348" t="s">
        <v>227</v>
      </c>
      <c r="C53" s="344">
        <f>+'A) Resumen Ingresos y Egresos'!$D$13*'J)ESTRUCTURA ECONOMICA MENS.'!C60</f>
        <v>924726</v>
      </c>
      <c r="D53" s="342">
        <f>+'A) Resumen Ingresos y Egresos'!$D$13*'J)ESTRUCTURA ECONOMICA MENS.'!D60</f>
        <v>714561</v>
      </c>
      <c r="E53" s="342">
        <f>+'A) Resumen Ingresos y Egresos'!$D$13*'J)ESTRUCTURA ECONOMICA MENS.'!E60</f>
        <v>252198</v>
      </c>
      <c r="F53" s="342">
        <f>+'A) Resumen Ingresos y Egresos'!$D$13*'J)ESTRUCTURA ECONOMICA MENS.'!F60</f>
        <v>84066</v>
      </c>
      <c r="G53" s="342">
        <f>+'A) Resumen Ingresos y Egresos'!$D$13*'J)ESTRUCTURA ECONOMICA MENS.'!G60</f>
        <v>42033</v>
      </c>
      <c r="H53" s="342">
        <f>+'A) Resumen Ingresos y Egresos'!$D$13*'J)ESTRUCTURA ECONOMICA MENS.'!H60</f>
        <v>0</v>
      </c>
      <c r="I53" s="342">
        <f>+'A) Resumen Ingresos y Egresos'!$D$13*'J)ESTRUCTURA ECONOMICA MENS.'!I60</f>
        <v>0</v>
      </c>
      <c r="J53" s="342">
        <f>+'A) Resumen Ingresos y Egresos'!$D$13*'J)ESTRUCTURA ECONOMICA MENS.'!J60</f>
        <v>0</v>
      </c>
      <c r="K53" s="342">
        <f>+'A) Resumen Ingresos y Egresos'!$D$13*'J)ESTRUCTURA ECONOMICA MENS.'!K60</f>
        <v>42033</v>
      </c>
      <c r="L53" s="342">
        <f>+'A) Resumen Ingresos y Egresos'!$D$13*'J)ESTRUCTURA ECONOMICA MENS.'!L60</f>
        <v>84066</v>
      </c>
      <c r="M53" s="342">
        <f>+'A) Resumen Ingresos y Egresos'!$D$13*'J)ESTRUCTURA ECONOMICA MENS.'!M60</f>
        <v>462363</v>
      </c>
      <c r="N53" s="352">
        <f>+'A) Resumen Ingresos y Egresos'!$D$13*'J)ESTRUCTURA ECONOMICA MENS.'!N60</f>
        <v>1597254</v>
      </c>
      <c r="O53" s="355">
        <f t="shared" ref="O53:O59" si="8">SUM(C53:N53)</f>
        <v>4203300</v>
      </c>
      <c r="P53" s="318"/>
    </row>
    <row r="54" spans="2:16" x14ac:dyDescent="0.35">
      <c r="B54" s="349" t="s">
        <v>228</v>
      </c>
      <c r="C54" s="345">
        <f>(SUM('F) Remuneraciones'!$H$88:$H$98)*(1+'F) Remuneraciones'!$M$7))*(1+'F) Remuneraciones'!$N$7)/12</f>
        <v>0</v>
      </c>
      <c r="D54" s="345">
        <f>(SUM('F) Remuneraciones'!$H$88:$H$98)*(1+'F) Remuneraciones'!$M$7))*(1+'F) Remuneraciones'!$N$7)/12</f>
        <v>0</v>
      </c>
      <c r="E54" s="345">
        <f>(SUM('F) Remuneraciones'!$H$88:$H$98)*(1+'F) Remuneraciones'!$M$7))*(1+'F) Remuneraciones'!$N$7)/12</f>
        <v>0</v>
      </c>
      <c r="F54" s="345">
        <f>(SUM('F) Remuneraciones'!$H$88:$H$98)*(1+'F) Remuneraciones'!$M$7))*(1+'F) Remuneraciones'!$N$7)/12</f>
        <v>0</v>
      </c>
      <c r="G54" s="345">
        <f>(SUM('F) Remuneraciones'!$H$88:$H$98)*(1+'F) Remuneraciones'!$M$7))*(1+'F) Remuneraciones'!$N$7)/12</f>
        <v>0</v>
      </c>
      <c r="H54" s="345">
        <f>(SUM('F) Remuneraciones'!$H$88:$H$98)*(1+'F) Remuneraciones'!$M$7))*(1+'F) Remuneraciones'!$N$7)/12</f>
        <v>0</v>
      </c>
      <c r="I54" s="345">
        <f>(SUM('F) Remuneraciones'!$H$88:$H$98)*(1+'F) Remuneraciones'!$M$7))*(1+'F) Remuneraciones'!$N$7)/12</f>
        <v>0</v>
      </c>
      <c r="J54" s="345">
        <f>(SUM('F) Remuneraciones'!$H$88:$H$98)*(1+'F) Remuneraciones'!$M$7))*(1+'F) Remuneraciones'!$N$7)/12</f>
        <v>0</v>
      </c>
      <c r="K54" s="345">
        <f>(SUM('F) Remuneraciones'!$H$88:$H$98)*(1+'F) Remuneraciones'!$M$7))*(1+'F) Remuneraciones'!$N$7)/12</f>
        <v>0</v>
      </c>
      <c r="L54" s="345">
        <f>(SUM('F) Remuneraciones'!$H$88:$H$98)*(1+'F) Remuneraciones'!$M$7))*(1+'F) Remuneraciones'!$N$7)/12</f>
        <v>0</v>
      </c>
      <c r="M54" s="345">
        <f>(SUM('F) Remuneraciones'!$H$88:$H$98)*(1+'F) Remuneraciones'!$M$7))*(1+'F) Remuneraciones'!$N$7)/12</f>
        <v>0</v>
      </c>
      <c r="N54" s="345">
        <f>(SUM('F) Remuneraciones'!$H$88:$H$98)*(1+'F) Remuneraciones'!$M$7))*(1+'F) Remuneraciones'!$N$7)/12</f>
        <v>0</v>
      </c>
      <c r="O54" s="356">
        <f t="shared" si="8"/>
        <v>0</v>
      </c>
      <c r="P54" s="1698"/>
    </row>
    <row r="55" spans="2:16" x14ac:dyDescent="0.35">
      <c r="B55" s="349" t="s">
        <v>229</v>
      </c>
      <c r="C55" s="345">
        <f>SUM('F) Remuneraciones'!$L$88:$L$109)/6</f>
        <v>1136723.99</v>
      </c>
      <c r="D55" s="345">
        <f>SUM('F) Remuneraciones'!$L$88:$L$109)/6</f>
        <v>1136723.99</v>
      </c>
      <c r="E55" s="345">
        <f>SUM('F) Remuneraciones'!$L$88:$L$109)/6</f>
        <v>1136723.99</v>
      </c>
      <c r="F55" s="336">
        <v>0</v>
      </c>
      <c r="G55" s="336">
        <v>0</v>
      </c>
      <c r="H55" s="336">
        <v>0</v>
      </c>
      <c r="I55" s="336">
        <v>0</v>
      </c>
      <c r="J55" s="336">
        <v>0</v>
      </c>
      <c r="K55" s="336">
        <v>0</v>
      </c>
      <c r="L55" s="345">
        <f>SUM('F) Remuneraciones'!$L$88:$L$109)/6</f>
        <v>1136723.99</v>
      </c>
      <c r="M55" s="345">
        <f>SUM('F) Remuneraciones'!$L$88:$L$109)/6</f>
        <v>1136723.99</v>
      </c>
      <c r="N55" s="345">
        <f>SUM('F) Remuneraciones'!$L$88:$L$109)/6</f>
        <v>1136723.99</v>
      </c>
      <c r="O55" s="356">
        <f t="shared" si="8"/>
        <v>6820343.9400000004</v>
      </c>
      <c r="P55" s="1698"/>
    </row>
    <row r="56" spans="2:16" x14ac:dyDescent="0.35">
      <c r="B56" s="349" t="s">
        <v>230</v>
      </c>
      <c r="C56" s="345">
        <f>SUM('F) Remuneraciones'!$I$88:$J$98)/2</f>
        <v>0</v>
      </c>
      <c r="D56" s="336">
        <v>0</v>
      </c>
      <c r="E56" s="336">
        <v>0</v>
      </c>
      <c r="F56" s="336">
        <v>0</v>
      </c>
      <c r="G56" s="336">
        <v>0</v>
      </c>
      <c r="H56" s="336">
        <v>0</v>
      </c>
      <c r="I56" s="336">
        <v>0</v>
      </c>
      <c r="J56" s="336">
        <v>0</v>
      </c>
      <c r="K56" s="345">
        <f>SUM('F) Remuneraciones'!$I$88:$J$98)/2</f>
        <v>0</v>
      </c>
      <c r="L56" s="336">
        <v>0</v>
      </c>
      <c r="M56" s="336">
        <v>0</v>
      </c>
      <c r="N56" s="353">
        <f>+C56+K56</f>
        <v>0</v>
      </c>
      <c r="O56" s="356">
        <f t="shared" si="8"/>
        <v>0</v>
      </c>
      <c r="P56" s="318"/>
    </row>
    <row r="57" spans="2:16" x14ac:dyDescent="0.35">
      <c r="B57" s="349" t="s">
        <v>231</v>
      </c>
      <c r="C57" s="345">
        <f>('C) Costos Directos'!$H$299-'C) Costos Directos'!$H$300)*C61</f>
        <v>660145.86</v>
      </c>
      <c r="D57" s="345">
        <f>('C) Costos Directos'!$H$299-'C) Costos Directos'!$H$300)*D61</f>
        <v>510112.71</v>
      </c>
      <c r="E57" s="345">
        <f>('C) Costos Directos'!$H$299-'C) Costos Directos'!$H$300)*E61</f>
        <v>180039.78</v>
      </c>
      <c r="F57" s="345">
        <f>('C) Costos Directos'!$H$299-'C) Costos Directos'!$H$300)*F61</f>
        <v>60013.26</v>
      </c>
      <c r="G57" s="345">
        <f>('C) Costos Directos'!$H$299-'C) Costos Directos'!$H$300)*G61</f>
        <v>30006.63</v>
      </c>
      <c r="H57" s="345">
        <f>('C) Costos Directos'!$H$299-'C) Costos Directos'!$H$300)*H61</f>
        <v>0</v>
      </c>
      <c r="I57" s="345">
        <f>('C) Costos Directos'!$H$299-'C) Costos Directos'!$H$300)*I61</f>
        <v>0</v>
      </c>
      <c r="J57" s="345">
        <f>('C) Costos Directos'!$H$299-'C) Costos Directos'!$H$300)*J61</f>
        <v>0</v>
      </c>
      <c r="K57" s="345">
        <f>('C) Costos Directos'!$H$299-'C) Costos Directos'!$H$300)*K61</f>
        <v>30006.63</v>
      </c>
      <c r="L57" s="345">
        <f>('C) Costos Directos'!$H$299-'C) Costos Directos'!$H$300)*L61</f>
        <v>60013.26</v>
      </c>
      <c r="M57" s="345">
        <f>('C) Costos Directos'!$H$299-'C) Costos Directos'!$H$300)*M61</f>
        <v>330072.93</v>
      </c>
      <c r="N57" s="345">
        <f>('C) Costos Directos'!$H$299-'C) Costos Directos'!$H$300)*N61</f>
        <v>1140251.94</v>
      </c>
      <c r="O57" s="356">
        <f t="shared" si="8"/>
        <v>3000663</v>
      </c>
      <c r="P57" s="318"/>
    </row>
    <row r="58" spans="2:16" ht="15" thickBot="1" x14ac:dyDescent="0.4">
      <c r="B58" s="335" t="s">
        <v>248</v>
      </c>
      <c r="C58" s="346">
        <f>'C) Costos Directos'!$H$327*C62</f>
        <v>68579.5</v>
      </c>
      <c r="D58" s="337">
        <f>'C) Costos Directos'!$H$327*D62</f>
        <v>52993.250000000007</v>
      </c>
      <c r="E58" s="337">
        <f>'C) Costos Directos'!$H$327*E62</f>
        <v>18703.5</v>
      </c>
      <c r="F58" s="337">
        <f>'C) Costos Directos'!$H$327*F62</f>
        <v>6234.5</v>
      </c>
      <c r="G58" s="337">
        <f>'C) Costos Directos'!$H$327*G62</f>
        <v>3117.25</v>
      </c>
      <c r="H58" s="337">
        <f>'C) Costos Directos'!$H$327*H62</f>
        <v>0</v>
      </c>
      <c r="I58" s="337">
        <f>'C) Costos Directos'!$H$327*I62</f>
        <v>0</v>
      </c>
      <c r="J58" s="337">
        <f>'C) Costos Directos'!$H$327*J62</f>
        <v>0</v>
      </c>
      <c r="K58" s="337">
        <f>'C) Costos Directos'!$H$327*K62</f>
        <v>3117.25</v>
      </c>
      <c r="L58" s="337">
        <f>'C) Costos Directos'!$H$327*L62</f>
        <v>6234.5</v>
      </c>
      <c r="M58" s="337">
        <f>'C) Costos Directos'!$H$327*M62</f>
        <v>34289.75</v>
      </c>
      <c r="N58" s="354">
        <f>'C) Costos Directos'!$H$327*N62</f>
        <v>118455.5</v>
      </c>
      <c r="O58" s="356">
        <f t="shared" si="8"/>
        <v>311725</v>
      </c>
      <c r="P58" s="318"/>
    </row>
    <row r="59" spans="2:16" ht="15" thickBot="1" x14ac:dyDescent="0.4">
      <c r="B59" s="350" t="s">
        <v>232</v>
      </c>
      <c r="C59" s="347">
        <f>C53-(C57+C58+C54+C55+C56)</f>
        <v>-940723.35000000009</v>
      </c>
      <c r="D59" s="328">
        <f t="shared" ref="D59:N59" si="9">D53-(D57+D58+D54+D55+D56)</f>
        <v>-985268.95000000019</v>
      </c>
      <c r="E59" s="328">
        <f t="shared" si="9"/>
        <v>-1083269.27</v>
      </c>
      <c r="F59" s="328">
        <f t="shared" si="9"/>
        <v>17818.239999999991</v>
      </c>
      <c r="G59" s="328">
        <f t="shared" si="9"/>
        <v>8909.1199999999953</v>
      </c>
      <c r="H59" s="328">
        <f t="shared" si="9"/>
        <v>0</v>
      </c>
      <c r="I59" s="328">
        <f t="shared" si="9"/>
        <v>0</v>
      </c>
      <c r="J59" s="328">
        <f t="shared" si="9"/>
        <v>0</v>
      </c>
      <c r="K59" s="328">
        <f t="shared" si="9"/>
        <v>8909.1199999999953</v>
      </c>
      <c r="L59" s="328">
        <f t="shared" si="9"/>
        <v>-1118905.75</v>
      </c>
      <c r="M59" s="328">
        <f t="shared" si="9"/>
        <v>-1038723.6699999999</v>
      </c>
      <c r="N59" s="341">
        <f t="shared" si="9"/>
        <v>-798177.4299999997</v>
      </c>
      <c r="O59" s="329">
        <f t="shared" si="8"/>
        <v>-5929431.9399999995</v>
      </c>
      <c r="P59" s="318"/>
    </row>
    <row r="60" spans="2:16" x14ac:dyDescent="0.35">
      <c r="B60" s="286" t="s">
        <v>233</v>
      </c>
      <c r="C60" s="1210">
        <v>0.22</v>
      </c>
      <c r="D60" s="1210">
        <v>0.17</v>
      </c>
      <c r="E60" s="1210">
        <v>0.06</v>
      </c>
      <c r="F60" s="1210">
        <v>0.02</v>
      </c>
      <c r="G60" s="1210">
        <v>0.01</v>
      </c>
      <c r="H60" s="1210">
        <v>0</v>
      </c>
      <c r="I60" s="1210">
        <v>0</v>
      </c>
      <c r="J60" s="1210">
        <v>0</v>
      </c>
      <c r="K60" s="1210">
        <v>0.01</v>
      </c>
      <c r="L60" s="1210">
        <v>0.02</v>
      </c>
      <c r="M60" s="1210">
        <v>0.11</v>
      </c>
      <c r="N60" s="1210">
        <v>0.38</v>
      </c>
      <c r="O60" s="319"/>
    </row>
    <row r="61" spans="2:16" x14ac:dyDescent="0.35">
      <c r="B61" s="287" t="s">
        <v>234</v>
      </c>
      <c r="C61" s="1210">
        <v>0.22</v>
      </c>
      <c r="D61" s="1210">
        <v>0.17</v>
      </c>
      <c r="E61" s="1210">
        <v>0.06</v>
      </c>
      <c r="F61" s="1210">
        <v>0.02</v>
      </c>
      <c r="G61" s="1210">
        <v>0.01</v>
      </c>
      <c r="H61" s="1210">
        <v>0</v>
      </c>
      <c r="I61" s="1210">
        <v>0</v>
      </c>
      <c r="J61" s="1210">
        <v>0</v>
      </c>
      <c r="K61" s="1210">
        <v>0.01</v>
      </c>
      <c r="L61" s="1210">
        <v>0.02</v>
      </c>
      <c r="M61" s="1210">
        <v>0.11</v>
      </c>
      <c r="N61" s="1210">
        <v>0.38</v>
      </c>
      <c r="O61" s="319"/>
    </row>
    <row r="62" spans="2:16" ht="15" thickBot="1" x14ac:dyDescent="0.4">
      <c r="B62" s="287" t="s">
        <v>249</v>
      </c>
      <c r="C62" s="1210">
        <v>0.22</v>
      </c>
      <c r="D62" s="1210">
        <v>0.17</v>
      </c>
      <c r="E62" s="1210">
        <v>0.06</v>
      </c>
      <c r="F62" s="1210">
        <v>0.02</v>
      </c>
      <c r="G62" s="1210">
        <v>0.01</v>
      </c>
      <c r="H62" s="1210">
        <v>0</v>
      </c>
      <c r="I62" s="1210">
        <v>0</v>
      </c>
      <c r="J62" s="1210">
        <v>0</v>
      </c>
      <c r="K62" s="1210">
        <v>0.01</v>
      </c>
      <c r="L62" s="1210">
        <v>0.02</v>
      </c>
      <c r="M62" s="1210">
        <v>0.11</v>
      </c>
      <c r="N62" s="1210">
        <v>0.38</v>
      </c>
      <c r="O62" s="319"/>
    </row>
    <row r="63" spans="2:16" ht="15" thickBot="1" x14ac:dyDescent="0.4">
      <c r="B63" s="331" t="s">
        <v>313</v>
      </c>
      <c r="C63" s="316" t="s">
        <v>77</v>
      </c>
      <c r="D63" s="332" t="s">
        <v>78</v>
      </c>
      <c r="E63" s="332" t="s">
        <v>79</v>
      </c>
      <c r="F63" s="332" t="s">
        <v>80</v>
      </c>
      <c r="G63" s="332" t="s">
        <v>81</v>
      </c>
      <c r="H63" s="332" t="s">
        <v>82</v>
      </c>
      <c r="I63" s="332" t="s">
        <v>83</v>
      </c>
      <c r="J63" s="343" t="s">
        <v>84</v>
      </c>
      <c r="K63" s="332" t="s">
        <v>85</v>
      </c>
      <c r="L63" s="332" t="s">
        <v>86</v>
      </c>
      <c r="M63" s="332" t="s">
        <v>87</v>
      </c>
      <c r="N63" s="333" t="s">
        <v>88</v>
      </c>
      <c r="O63" s="334" t="s">
        <v>335</v>
      </c>
      <c r="P63" s="318"/>
    </row>
    <row r="64" spans="2:16" x14ac:dyDescent="0.35">
      <c r="B64" s="348" t="s">
        <v>227</v>
      </c>
      <c r="C64" s="344">
        <f>+'A) Resumen Ingresos y Egresos'!$D$14*'J)ESTRUCTURA ECONOMICA MENS.'!C71</f>
        <v>1959826</v>
      </c>
      <c r="D64" s="342">
        <f>+'A) Resumen Ingresos y Egresos'!$D$14*'J)ESTRUCTURA ECONOMICA MENS.'!D71</f>
        <v>1514411</v>
      </c>
      <c r="E64" s="342">
        <f>+'A) Resumen Ingresos y Egresos'!$D$14*'J)ESTRUCTURA ECONOMICA MENS.'!E71</f>
        <v>534498</v>
      </c>
      <c r="F64" s="342">
        <f>+'A) Resumen Ingresos y Egresos'!$D$14*'J)ESTRUCTURA ECONOMICA MENS.'!F71</f>
        <v>178166</v>
      </c>
      <c r="G64" s="342">
        <f>+'A) Resumen Ingresos y Egresos'!$D$14*'J)ESTRUCTURA ECONOMICA MENS.'!G71</f>
        <v>89083</v>
      </c>
      <c r="H64" s="342">
        <f>+'A) Resumen Ingresos y Egresos'!$D$14*'J)ESTRUCTURA ECONOMICA MENS.'!H71</f>
        <v>0</v>
      </c>
      <c r="I64" s="342">
        <f>+'A) Resumen Ingresos y Egresos'!$D$14*'J)ESTRUCTURA ECONOMICA MENS.'!I71</f>
        <v>0</v>
      </c>
      <c r="J64" s="342">
        <f>+'A) Resumen Ingresos y Egresos'!$D$14*'J)ESTRUCTURA ECONOMICA MENS.'!J71</f>
        <v>0</v>
      </c>
      <c r="K64" s="342">
        <f>+'A) Resumen Ingresos y Egresos'!$D$14*'J)ESTRUCTURA ECONOMICA MENS.'!K71</f>
        <v>89083</v>
      </c>
      <c r="L64" s="342">
        <f>+'A) Resumen Ingresos y Egresos'!$D$14*'J)ESTRUCTURA ECONOMICA MENS.'!L71</f>
        <v>178166</v>
      </c>
      <c r="M64" s="342">
        <f>+'A) Resumen Ingresos y Egresos'!$D$14*'J)ESTRUCTURA ECONOMICA MENS.'!M71</f>
        <v>979913</v>
      </c>
      <c r="N64" s="352">
        <f>+'A) Resumen Ingresos y Egresos'!$D$14*'J)ESTRUCTURA ECONOMICA MENS.'!N71</f>
        <v>3385154</v>
      </c>
      <c r="O64" s="355">
        <f t="shared" ref="O64:O70" si="10">SUM(C64:N64)</f>
        <v>8908300</v>
      </c>
      <c r="P64" s="318"/>
    </row>
    <row r="65" spans="2:16" x14ac:dyDescent="0.35">
      <c r="B65" s="349" t="s">
        <v>228</v>
      </c>
      <c r="C65" s="345">
        <f>(SUM('F) Remuneraciones'!$H$110:$H$120)*(1+'F) Remuneraciones'!$M$7))*(1+'F) Remuneraciones'!$N$7)/12</f>
        <v>0</v>
      </c>
      <c r="D65" s="345">
        <f>(SUM('F) Remuneraciones'!$H$110:$H$120)*(1+'F) Remuneraciones'!$M$7))*(1+'F) Remuneraciones'!$N$7)/12</f>
        <v>0</v>
      </c>
      <c r="E65" s="345">
        <f>(SUM('F) Remuneraciones'!$H$110:$H$120)*(1+'F) Remuneraciones'!$M$7))*(1+'F) Remuneraciones'!$N$7)/12</f>
        <v>0</v>
      </c>
      <c r="F65" s="345">
        <f>(SUM('F) Remuneraciones'!$H$110:$H$120)*(1+'F) Remuneraciones'!$M$7))*(1+'F) Remuneraciones'!$N$7)/12</f>
        <v>0</v>
      </c>
      <c r="G65" s="345">
        <f>(SUM('F) Remuneraciones'!$H$110:$H$120)*(1+'F) Remuneraciones'!$M$7))*(1+'F) Remuneraciones'!$N$7)/12</f>
        <v>0</v>
      </c>
      <c r="H65" s="345">
        <f>(SUM('F) Remuneraciones'!$H$110:$H$120)*(1+'F) Remuneraciones'!$M$7))*(1+'F) Remuneraciones'!$N$7)/12</f>
        <v>0</v>
      </c>
      <c r="I65" s="345">
        <f>(SUM('F) Remuneraciones'!$H$110:$H$120)*(1+'F) Remuneraciones'!$M$7))*(1+'F) Remuneraciones'!$N$7)/12</f>
        <v>0</v>
      </c>
      <c r="J65" s="345">
        <f>(SUM('F) Remuneraciones'!$H$110:$H$120)*(1+'F) Remuneraciones'!$M$7))*(1+'F) Remuneraciones'!$N$7)/12</f>
        <v>0</v>
      </c>
      <c r="K65" s="345">
        <f>(SUM('F) Remuneraciones'!$H$110:$H$120)*(1+'F) Remuneraciones'!$M$7))*(1+'F) Remuneraciones'!$N$7)/12</f>
        <v>0</v>
      </c>
      <c r="L65" s="345">
        <f>(SUM('F) Remuneraciones'!$H$110:$H$120)*(1+'F) Remuneraciones'!$M$7))*(1+'F) Remuneraciones'!$N$7)/12</f>
        <v>0</v>
      </c>
      <c r="M65" s="345">
        <f>(SUM('F) Remuneraciones'!$H$110:$H$120)*(1+'F) Remuneraciones'!$M$7))*(1+'F) Remuneraciones'!$N$7)/12</f>
        <v>0</v>
      </c>
      <c r="N65" s="345">
        <f>(SUM('F) Remuneraciones'!$H$110:$H$120)*(1+'F) Remuneraciones'!$M$7))*(1+'F) Remuneraciones'!$N$7)/12</f>
        <v>0</v>
      </c>
      <c r="O65" s="356">
        <f t="shared" si="10"/>
        <v>0</v>
      </c>
      <c r="P65" s="1698"/>
    </row>
    <row r="66" spans="2:16" x14ac:dyDescent="0.35">
      <c r="B66" s="349" t="s">
        <v>229</v>
      </c>
      <c r="C66" s="345">
        <f>SUM('F) Remuneraciones'!$L$121:$L$122)/6</f>
        <v>1136723.99</v>
      </c>
      <c r="D66" s="345">
        <f>SUM('F) Remuneraciones'!$L$121:$L$122)/6</f>
        <v>1136723.99</v>
      </c>
      <c r="E66" s="345">
        <f>SUM('F) Remuneraciones'!$L$121:$L$122)/6</f>
        <v>1136723.99</v>
      </c>
      <c r="F66" s="345"/>
      <c r="G66" s="336">
        <v>0</v>
      </c>
      <c r="H66" s="336">
        <v>0</v>
      </c>
      <c r="I66" s="336">
        <v>0</v>
      </c>
      <c r="J66" s="336">
        <v>0</v>
      </c>
      <c r="K66" s="336">
        <v>0</v>
      </c>
      <c r="L66" s="345">
        <f>SUM('F) Remuneraciones'!$L$121:$L$122)/6</f>
        <v>1136723.99</v>
      </c>
      <c r="M66" s="345">
        <f>SUM('F) Remuneraciones'!$L$121:$L$122)/6</f>
        <v>1136723.99</v>
      </c>
      <c r="N66" s="345">
        <f>SUM('F) Remuneraciones'!$L$121:$L$122)/6</f>
        <v>1136723.99</v>
      </c>
      <c r="O66" s="356">
        <f t="shared" si="10"/>
        <v>6820343.9400000004</v>
      </c>
      <c r="P66" s="1698"/>
    </row>
    <row r="67" spans="2:16" x14ac:dyDescent="0.35">
      <c r="B67" s="349" t="s">
        <v>230</v>
      </c>
      <c r="C67" s="345">
        <f>SUM('F) Remuneraciones'!$I$110:$J$120)/2</f>
        <v>0</v>
      </c>
      <c r="D67" s="336">
        <v>0</v>
      </c>
      <c r="E67" s="336">
        <v>0</v>
      </c>
      <c r="F67" s="336">
        <v>0</v>
      </c>
      <c r="G67" s="336">
        <v>0</v>
      </c>
      <c r="H67" s="336">
        <v>0</v>
      </c>
      <c r="I67" s="336">
        <v>0</v>
      </c>
      <c r="J67" s="336">
        <v>0</v>
      </c>
      <c r="K67" s="345">
        <f>SUM('F) Remuneraciones'!$I$110:$J$120)/2</f>
        <v>0</v>
      </c>
      <c r="L67" s="336">
        <v>0</v>
      </c>
      <c r="M67" s="336">
        <v>0</v>
      </c>
      <c r="N67" s="353">
        <f>+C67+K67</f>
        <v>0</v>
      </c>
      <c r="O67" s="356">
        <f t="shared" si="10"/>
        <v>0</v>
      </c>
      <c r="P67" s="318"/>
    </row>
    <row r="68" spans="2:16" x14ac:dyDescent="0.35">
      <c r="B68" s="349" t="s">
        <v>231</v>
      </c>
      <c r="C68" s="345">
        <f>('C) Costos Directos'!$H$371-'C) Costos Directos'!$H$372)*C72</f>
        <v>1089096.3600000001</v>
      </c>
      <c r="D68" s="345">
        <f>('C) Costos Directos'!$H$371-'C) Costos Directos'!$H$372)*D72</f>
        <v>841574.46000000008</v>
      </c>
      <c r="E68" s="345">
        <f>('C) Costos Directos'!$H$371-'C) Costos Directos'!$H$372)*E72</f>
        <v>297026.27999999997</v>
      </c>
      <c r="F68" s="345">
        <f>('C) Costos Directos'!$H$371-'C) Costos Directos'!$H$372)*F72</f>
        <v>99008.760000000009</v>
      </c>
      <c r="G68" s="345">
        <f>('C) Costos Directos'!$H$371-'C) Costos Directos'!$H$372)*G72</f>
        <v>49504.380000000005</v>
      </c>
      <c r="H68" s="345">
        <f>('C) Costos Directos'!$H$371-'C) Costos Directos'!$H$372)*H72</f>
        <v>0</v>
      </c>
      <c r="I68" s="345">
        <f>('C) Costos Directos'!$H$371-'C) Costos Directos'!$H$372)*I72</f>
        <v>0</v>
      </c>
      <c r="J68" s="345">
        <f>('C) Costos Directos'!$H$371-'C) Costos Directos'!$H$372)*J72</f>
        <v>0</v>
      </c>
      <c r="K68" s="345">
        <f>('C) Costos Directos'!$H$371-'C) Costos Directos'!$H$372)*K72</f>
        <v>49504.380000000005</v>
      </c>
      <c r="L68" s="345">
        <f>('C) Costos Directos'!$H$371-'C) Costos Directos'!$H$372)*L72</f>
        <v>99008.760000000009</v>
      </c>
      <c r="M68" s="345">
        <f>('C) Costos Directos'!$H$371-'C) Costos Directos'!$H$372)*M72</f>
        <v>544548.18000000005</v>
      </c>
      <c r="N68" s="345">
        <f>('C) Costos Directos'!$H$371-'C) Costos Directos'!$H$372)*N72</f>
        <v>1881166.44</v>
      </c>
      <c r="O68" s="356">
        <f t="shared" si="10"/>
        <v>4950438</v>
      </c>
      <c r="P68" s="318"/>
    </row>
    <row r="69" spans="2:16" ht="15" thickBot="1" x14ac:dyDescent="0.4">
      <c r="B69" s="335" t="s">
        <v>248</v>
      </c>
      <c r="C69" s="346">
        <f>'C) Costos Directos'!$H$399*C73</f>
        <v>68579.5</v>
      </c>
      <c r="D69" s="346">
        <f>'C) Costos Directos'!$H$399*D73</f>
        <v>52993.250000000007</v>
      </c>
      <c r="E69" s="346">
        <f>'C) Costos Directos'!$H$399*E73</f>
        <v>18703.5</v>
      </c>
      <c r="F69" s="346">
        <f>'C) Costos Directos'!$H$399*F73</f>
        <v>6234.5</v>
      </c>
      <c r="G69" s="346">
        <f>'C) Costos Directos'!$H$399*G73</f>
        <v>3117.25</v>
      </c>
      <c r="H69" s="346">
        <f>'C) Costos Directos'!$H$399*H73</f>
        <v>0</v>
      </c>
      <c r="I69" s="346">
        <f>'C) Costos Directos'!$H$399*I73</f>
        <v>0</v>
      </c>
      <c r="J69" s="346">
        <f>'C) Costos Directos'!$H$399*J73</f>
        <v>0</v>
      </c>
      <c r="K69" s="346">
        <f>'C) Costos Directos'!$H$399*K73</f>
        <v>3117.25</v>
      </c>
      <c r="L69" s="346">
        <f>'C) Costos Directos'!$H$399*L73</f>
        <v>6234.5</v>
      </c>
      <c r="M69" s="346">
        <f>'C) Costos Directos'!$H$399*M73</f>
        <v>34289.75</v>
      </c>
      <c r="N69" s="346">
        <f>'C) Costos Directos'!$H$399*N73</f>
        <v>118455.5</v>
      </c>
      <c r="O69" s="356">
        <f t="shared" si="10"/>
        <v>311725</v>
      </c>
      <c r="P69" s="318"/>
    </row>
    <row r="70" spans="2:16" ht="15" thickBot="1" x14ac:dyDescent="0.4">
      <c r="B70" s="350" t="s">
        <v>232</v>
      </c>
      <c r="C70" s="347">
        <f>C64-(C68+C69+C65+C66+C67)</f>
        <v>-334573.85000000009</v>
      </c>
      <c r="D70" s="328">
        <f t="shared" ref="D70:N70" si="11">D64-(D68+D69+D65+D66+D67)</f>
        <v>-516880.70000000019</v>
      </c>
      <c r="E70" s="328">
        <f t="shared" si="11"/>
        <v>-917955.77</v>
      </c>
      <c r="F70" s="328">
        <f t="shared" si="11"/>
        <v>72922.739999999991</v>
      </c>
      <c r="G70" s="328">
        <f t="shared" si="11"/>
        <v>36461.369999999995</v>
      </c>
      <c r="H70" s="328">
        <f t="shared" si="11"/>
        <v>0</v>
      </c>
      <c r="I70" s="328">
        <f t="shared" si="11"/>
        <v>0</v>
      </c>
      <c r="J70" s="328">
        <f t="shared" si="11"/>
        <v>0</v>
      </c>
      <c r="K70" s="328">
        <f t="shared" si="11"/>
        <v>36461.369999999995</v>
      </c>
      <c r="L70" s="328">
        <f t="shared" si="11"/>
        <v>-1063801.25</v>
      </c>
      <c r="M70" s="328">
        <f t="shared" si="11"/>
        <v>-735648.91999999993</v>
      </c>
      <c r="N70" s="341">
        <f t="shared" si="11"/>
        <v>248808.0700000003</v>
      </c>
      <c r="O70" s="329">
        <f t="shared" si="10"/>
        <v>-3174206.94</v>
      </c>
      <c r="P70" s="318"/>
    </row>
    <row r="71" spans="2:16" x14ac:dyDescent="0.35">
      <c r="B71" s="286" t="s">
        <v>233</v>
      </c>
      <c r="C71" s="1210">
        <v>0.22</v>
      </c>
      <c r="D71" s="1210">
        <v>0.17</v>
      </c>
      <c r="E71" s="1210">
        <v>0.06</v>
      </c>
      <c r="F71" s="1210">
        <v>0.02</v>
      </c>
      <c r="G71" s="1210">
        <v>0.01</v>
      </c>
      <c r="H71" s="1210">
        <v>0</v>
      </c>
      <c r="I71" s="1210">
        <v>0</v>
      </c>
      <c r="J71" s="1210">
        <v>0</v>
      </c>
      <c r="K71" s="1210">
        <v>0.01</v>
      </c>
      <c r="L71" s="1210">
        <v>0.02</v>
      </c>
      <c r="M71" s="1210">
        <v>0.11</v>
      </c>
      <c r="N71" s="1210">
        <v>0.38</v>
      </c>
      <c r="O71" s="319"/>
    </row>
    <row r="72" spans="2:16" x14ac:dyDescent="0.35">
      <c r="B72" s="287" t="s">
        <v>234</v>
      </c>
      <c r="C72" s="1210">
        <v>0.22</v>
      </c>
      <c r="D72" s="1210">
        <v>0.17</v>
      </c>
      <c r="E72" s="1210">
        <v>0.06</v>
      </c>
      <c r="F72" s="1210">
        <v>0.02</v>
      </c>
      <c r="G72" s="1210">
        <v>0.01</v>
      </c>
      <c r="H72" s="1210">
        <v>0</v>
      </c>
      <c r="I72" s="1210">
        <v>0</v>
      </c>
      <c r="J72" s="1210">
        <v>0</v>
      </c>
      <c r="K72" s="1210">
        <v>0.01</v>
      </c>
      <c r="L72" s="1210">
        <v>0.02</v>
      </c>
      <c r="M72" s="1210">
        <v>0.11</v>
      </c>
      <c r="N72" s="1210">
        <v>0.38</v>
      </c>
      <c r="O72" s="319"/>
    </row>
    <row r="73" spans="2:16" ht="15" thickBot="1" x14ac:dyDescent="0.4">
      <c r="B73" s="287" t="s">
        <v>249</v>
      </c>
      <c r="C73" s="1210">
        <v>0.22</v>
      </c>
      <c r="D73" s="1210">
        <v>0.17</v>
      </c>
      <c r="E73" s="1210">
        <v>0.06</v>
      </c>
      <c r="F73" s="1210">
        <v>0.02</v>
      </c>
      <c r="G73" s="1210">
        <v>0.01</v>
      </c>
      <c r="H73" s="1210">
        <v>0</v>
      </c>
      <c r="I73" s="1210">
        <v>0</v>
      </c>
      <c r="J73" s="1210">
        <v>0</v>
      </c>
      <c r="K73" s="1210">
        <v>0.01</v>
      </c>
      <c r="L73" s="1210">
        <v>0.02</v>
      </c>
      <c r="M73" s="1210">
        <v>0.11</v>
      </c>
      <c r="N73" s="1210">
        <v>0.38</v>
      </c>
      <c r="O73" s="319"/>
    </row>
    <row r="74" spans="2:16" ht="15" thickBot="1" x14ac:dyDescent="0.4">
      <c r="B74" s="331" t="s">
        <v>238</v>
      </c>
      <c r="C74" s="316" t="s">
        <v>77</v>
      </c>
      <c r="D74" s="332" t="s">
        <v>78</v>
      </c>
      <c r="E74" s="332" t="s">
        <v>79</v>
      </c>
      <c r="F74" s="332" t="s">
        <v>80</v>
      </c>
      <c r="G74" s="332" t="s">
        <v>81</v>
      </c>
      <c r="H74" s="332" t="s">
        <v>82</v>
      </c>
      <c r="I74" s="332" t="s">
        <v>83</v>
      </c>
      <c r="J74" s="343" t="s">
        <v>84</v>
      </c>
      <c r="K74" s="332" t="s">
        <v>85</v>
      </c>
      <c r="L74" s="332" t="s">
        <v>86</v>
      </c>
      <c r="M74" s="332" t="s">
        <v>87</v>
      </c>
      <c r="N74" s="333" t="s">
        <v>88</v>
      </c>
      <c r="O74" s="334" t="s">
        <v>335</v>
      </c>
      <c r="P74" s="318"/>
    </row>
    <row r="75" spans="2:16" x14ac:dyDescent="0.35">
      <c r="B75" s="348" t="s">
        <v>227</v>
      </c>
      <c r="C75" s="344">
        <f>+'A) Resumen Ingresos y Egresos'!$D$15*'J)ESTRUCTURA ECONOMICA MENS.'!C82</f>
        <v>2898216.0122944112</v>
      </c>
      <c r="D75" s="342">
        <f>+'A) Resumen Ingresos y Egresos'!$D$15*'J)ESTRUCTURA ECONOMICA MENS.'!D82</f>
        <v>1942546.6614832741</v>
      </c>
      <c r="E75" s="342">
        <f>+'A) Resumen Ingresos y Egresos'!$D$15*'J)ESTRUCTURA ECONOMICA MENS.'!E82</f>
        <v>1337997.2451013941</v>
      </c>
      <c r="F75" s="342">
        <f>+'A) Resumen Ingresos y Egresos'!$D$15*'J)ESTRUCTURA ECONOMICA MENS.'!F82</f>
        <v>338549.40363040345</v>
      </c>
      <c r="G75" s="342">
        <f>+'A) Resumen Ingresos y Egresos'!$D$15*'J)ESTRUCTURA ECONOMICA MENS.'!G82</f>
        <v>407277.36962701724</v>
      </c>
      <c r="H75" s="342">
        <f>+'A) Resumen Ingresos y Egresos'!$D$15*'J)ESTRUCTURA ECONOMICA MENS.'!H82</f>
        <v>44085.440690831958</v>
      </c>
      <c r="I75" s="342">
        <f>+'A) Resumen Ingresos y Egresos'!$D$15*'J)ESTRUCTURA ECONOMICA MENS.'!I82</f>
        <v>561162.33851320681</v>
      </c>
      <c r="J75" s="342">
        <f>+'A) Resumen Ingresos y Egresos'!$D$15*'J)ESTRUCTURA ECONOMICA MENS.'!J82</f>
        <v>652806.49339976523</v>
      </c>
      <c r="K75" s="342">
        <f>+'A) Resumen Ingresos y Egresos'!$D$15*'J)ESTRUCTURA ECONOMICA MENS.'!K82</f>
        <v>411428.40528085025</v>
      </c>
      <c r="L75" s="342">
        <f>+'A) Resumen Ingresos y Egresos'!$D$15*'J)ESTRUCTURA ECONOMICA MENS.'!L82</f>
        <v>507808.65494069015</v>
      </c>
      <c r="M75" s="342">
        <f>+'A) Resumen Ingresos y Egresos'!$D$15*'J)ESTRUCTURA ECONOMICA MENS.'!M82</f>
        <v>403814.39645873272</v>
      </c>
      <c r="N75" s="352">
        <f>+'A) Resumen Ingresos y Egresos'!$D$15*'J)ESTRUCTURA ECONOMICA MENS.'!N82</f>
        <v>446107.57857942337</v>
      </c>
      <c r="O75" s="355">
        <f t="shared" ref="O75:O80" si="12">SUM(C75:N75)</f>
        <v>9951800.0000000019</v>
      </c>
      <c r="P75" s="318"/>
    </row>
    <row r="76" spans="2:16" x14ac:dyDescent="0.35">
      <c r="B76" s="349" t="s">
        <v>228</v>
      </c>
      <c r="C76" s="345">
        <f>(SUM('F) Remuneraciones'!$H$132:$H$142)*(1+'F) Remuneraciones'!$M$7))*(1+'F) Remuneraciones'!$N$7/12)</f>
        <v>0</v>
      </c>
      <c r="D76" s="345">
        <f>(SUM('F) Remuneraciones'!$H$132:$H$142)*(1+'F) Remuneraciones'!$M$7))*(1+'F) Remuneraciones'!$N$7/12)</f>
        <v>0</v>
      </c>
      <c r="E76" s="345">
        <f>(SUM('F) Remuneraciones'!$H$132:$H$142)*(1+'F) Remuneraciones'!$M$7))*(1+'F) Remuneraciones'!$N$7/12)</f>
        <v>0</v>
      </c>
      <c r="F76" s="345">
        <f>(SUM('F) Remuneraciones'!$H$132:$H$142)*(1+'F) Remuneraciones'!$M$7))*(1+'F) Remuneraciones'!$N$7/12)</f>
        <v>0</v>
      </c>
      <c r="G76" s="345">
        <f>(SUM('F) Remuneraciones'!$H$132:$H$142)*(1+'F) Remuneraciones'!$M$7))*(1+'F) Remuneraciones'!$N$7/12)</f>
        <v>0</v>
      </c>
      <c r="H76" s="345">
        <f>(SUM('F) Remuneraciones'!$H$132:$H$142)*(1+'F) Remuneraciones'!$M$7))*(1+'F) Remuneraciones'!$N$7/12)</f>
        <v>0</v>
      </c>
      <c r="I76" s="345">
        <f>(SUM('F) Remuneraciones'!$H$132:$H$142)*(1+'F) Remuneraciones'!$M$7))*(1+'F) Remuneraciones'!$N$7/12)</f>
        <v>0</v>
      </c>
      <c r="J76" s="345">
        <f>(SUM('F) Remuneraciones'!$H$132:$H$142)*(1+'F) Remuneraciones'!$M$7))*(1+'F) Remuneraciones'!$N$7/12)</f>
        <v>0</v>
      </c>
      <c r="K76" s="345">
        <f>(SUM('F) Remuneraciones'!$H$132:$H$142)*(1+'F) Remuneraciones'!$M$7))*(1+'F) Remuneraciones'!$N$7/12)</f>
        <v>0</v>
      </c>
      <c r="L76" s="345">
        <f>(SUM('F) Remuneraciones'!$H$132:$H$142)*(1+'F) Remuneraciones'!$M$7))*(1+'F) Remuneraciones'!$N$7/12)</f>
        <v>0</v>
      </c>
      <c r="M76" s="345">
        <f>(SUM('F) Remuneraciones'!$H$132:$H$142)*(1+'F) Remuneraciones'!$M$7))*(1+'F) Remuneraciones'!$N$7/12)</f>
        <v>0</v>
      </c>
      <c r="N76" s="345">
        <f>(SUM('F) Remuneraciones'!$H$132:$H$142)*(1+'F) Remuneraciones'!$M$7))*(1+'F) Remuneraciones'!$N$7/12)</f>
        <v>0</v>
      </c>
      <c r="O76" s="356">
        <f t="shared" si="12"/>
        <v>0</v>
      </c>
      <c r="P76" s="1698"/>
    </row>
    <row r="77" spans="2:16" x14ac:dyDescent="0.35">
      <c r="B77" s="349" t="s">
        <v>229</v>
      </c>
      <c r="C77" s="345">
        <v>0</v>
      </c>
      <c r="D77" s="336">
        <v>0</v>
      </c>
      <c r="E77" s="336">
        <v>0</v>
      </c>
      <c r="F77" s="336">
        <v>0</v>
      </c>
      <c r="G77" s="336">
        <v>0</v>
      </c>
      <c r="H77" s="336">
        <v>0</v>
      </c>
      <c r="I77" s="336">
        <v>0</v>
      </c>
      <c r="J77" s="336">
        <v>0</v>
      </c>
      <c r="K77" s="336">
        <v>0</v>
      </c>
      <c r="L77" s="336">
        <v>0</v>
      </c>
      <c r="M77" s="336">
        <v>0</v>
      </c>
      <c r="N77" s="353">
        <v>0</v>
      </c>
      <c r="O77" s="356">
        <f t="shared" si="12"/>
        <v>0</v>
      </c>
      <c r="P77" s="1698"/>
    </row>
    <row r="78" spans="2:16" x14ac:dyDescent="0.35">
      <c r="B78" s="349" t="s">
        <v>230</v>
      </c>
      <c r="C78" s="345">
        <f>SUM('F) Remuneraciones'!$J$132:$J$142)*(1+'F) Remuneraciones'!$M$7)/2</f>
        <v>0</v>
      </c>
      <c r="D78" s="336">
        <v>0</v>
      </c>
      <c r="E78" s="336">
        <v>0</v>
      </c>
      <c r="F78" s="336">
        <v>0</v>
      </c>
      <c r="G78" s="336">
        <v>0</v>
      </c>
      <c r="H78" s="336">
        <v>0</v>
      </c>
      <c r="I78" s="336">
        <v>0</v>
      </c>
      <c r="J78" s="336">
        <v>0</v>
      </c>
      <c r="K78" s="345">
        <f>SUM('F) Remuneraciones'!$J$132:$J$142)*(1+'F) Remuneraciones'!$M$7)/2</f>
        <v>0</v>
      </c>
      <c r="L78" s="336">
        <v>0</v>
      </c>
      <c r="M78" s="336">
        <v>0</v>
      </c>
      <c r="N78" s="353">
        <f>+C78+K78</f>
        <v>0</v>
      </c>
      <c r="O78" s="356">
        <f t="shared" si="12"/>
        <v>0</v>
      </c>
      <c r="P78" s="318"/>
    </row>
    <row r="79" spans="2:16" x14ac:dyDescent="0.35">
      <c r="B79" s="349" t="s">
        <v>231</v>
      </c>
      <c r="C79" s="345">
        <f>'C) Costos Directos'!$H$451*'J)ESTRUCTURA ECONOMICA MENS.'!C83</f>
        <v>241402.20519442737</v>
      </c>
      <c r="D79" s="345">
        <f>'C) Costos Directos'!$H$451*'J)ESTRUCTURA ECONOMICA MENS.'!D83</f>
        <v>210454.52763009077</v>
      </c>
      <c r="E79" s="345">
        <f>'C) Costos Directos'!$H$451*'J)ESTRUCTURA ECONOMICA MENS.'!E83</f>
        <v>0</v>
      </c>
      <c r="F79" s="345">
        <f>'C) Costos Directos'!$H$451*'J)ESTRUCTURA ECONOMICA MENS.'!F83</f>
        <v>0</v>
      </c>
      <c r="G79" s="345">
        <f>'C) Costos Directos'!$H$451*'J)ESTRUCTURA ECONOMICA MENS.'!G83</f>
        <v>673257.11473278294</v>
      </c>
      <c r="H79" s="345">
        <f>'C) Costos Directos'!$H$451*'J)ESTRUCTURA ECONOMICA MENS.'!H83</f>
        <v>0</v>
      </c>
      <c r="I79" s="345">
        <f>'C) Costos Directos'!$H$451*'J)ESTRUCTURA ECONOMICA MENS.'!I83</f>
        <v>0</v>
      </c>
      <c r="J79" s="345">
        <f>'C) Costos Directos'!$H$451*'J)ESTRUCTURA ECONOMICA MENS.'!J83</f>
        <v>170573.43334491079</v>
      </c>
      <c r="K79" s="345">
        <f>'C) Costos Directos'!$H$451*'J)ESTRUCTURA ECONOMICA MENS.'!K83</f>
        <v>189610.96363485235</v>
      </c>
      <c r="L79" s="345">
        <f>'C) Costos Directos'!$H$451*'J)ESTRUCTURA ECONOMICA MENS.'!L83</f>
        <v>0</v>
      </c>
      <c r="M79" s="345">
        <f>'C) Costos Directos'!$H$451*'J)ESTRUCTURA ECONOMICA MENS.'!M83</f>
        <v>792142.50844413578</v>
      </c>
      <c r="N79" s="345">
        <f>'C) Costos Directos'!$H$451*'J)ESTRUCTURA ECONOMICA MENS.'!N83</f>
        <v>981750.24701880012</v>
      </c>
      <c r="O79" s="356">
        <f t="shared" si="12"/>
        <v>3259191</v>
      </c>
      <c r="P79" s="318"/>
    </row>
    <row r="80" spans="2:16" ht="15" thickBot="1" x14ac:dyDescent="0.4">
      <c r="B80" s="335" t="s">
        <v>248</v>
      </c>
      <c r="C80" s="346">
        <f>'C) Costos Directos'!$H$471*'J)ESTRUCTURA ECONOMICA MENS.'!C84</f>
        <v>102947.59975974265</v>
      </c>
      <c r="D80" s="346">
        <f>'C) Costos Directos'!$H$471*'J)ESTRUCTURA ECONOMICA MENS.'!D84</f>
        <v>89749.75377974892</v>
      </c>
      <c r="E80" s="346">
        <f>'C) Costos Directos'!$H$471*'J)ESTRUCTURA ECONOMICA MENS.'!E84</f>
        <v>0</v>
      </c>
      <c r="F80" s="346">
        <f>'C) Costos Directos'!$H$471*'J)ESTRUCTURA ECONOMICA MENS.'!F84</f>
        <v>0</v>
      </c>
      <c r="G80" s="346">
        <f>'C) Costos Directos'!$H$471*'J)ESTRUCTURA ECONOMICA MENS.'!G84</f>
        <v>287115.04075568262</v>
      </c>
      <c r="H80" s="346">
        <f>'C) Costos Directos'!$H$471*'J)ESTRUCTURA ECONOMICA MENS.'!H84</f>
        <v>0</v>
      </c>
      <c r="I80" s="346">
        <f>'C) Costos Directos'!$H$471*'J)ESTRUCTURA ECONOMICA MENS.'!I84</f>
        <v>0</v>
      </c>
      <c r="J80" s="346">
        <f>'C) Costos Directos'!$H$471*'J)ESTRUCTURA ECONOMICA MENS.'!J84</f>
        <v>72742.191942670717</v>
      </c>
      <c r="K80" s="346">
        <f>'C) Costos Directos'!$H$471*'J)ESTRUCTURA ECONOMICA MENS.'!K84</f>
        <v>80860.875229446756</v>
      </c>
      <c r="L80" s="346">
        <f>'C) Costos Directos'!$H$471*'J)ESTRUCTURA ECONOMICA MENS.'!L84</f>
        <v>0</v>
      </c>
      <c r="M80" s="346">
        <f>'C) Costos Directos'!$H$471*'J)ESTRUCTURA ECONOMICA MENS.'!M84</f>
        <v>337814.51932597323</v>
      </c>
      <c r="N80" s="346">
        <f>'C) Costos Directos'!$H$471*'J)ESTRUCTURA ECONOMICA MENS.'!N84</f>
        <v>418674.01920673513</v>
      </c>
      <c r="O80" s="356">
        <f t="shared" si="12"/>
        <v>1389904</v>
      </c>
      <c r="P80" s="318"/>
    </row>
    <row r="81" spans="2:16" ht="15" thickBot="1" x14ac:dyDescent="0.4">
      <c r="B81" s="350" t="s">
        <v>232</v>
      </c>
      <c r="C81" s="347">
        <f>C75-(C79+C80+C76+C77+C78)</f>
        <v>2553866.2073402414</v>
      </c>
      <c r="D81" s="328">
        <f>D75-(D79+D80+D76+D77+D78)</f>
        <v>1642342.3800734344</v>
      </c>
      <c r="E81" s="328">
        <f t="shared" ref="E81:M81" si="13">E75-(E79+E80+E76+E77+E78)</f>
        <v>1337997.2451013941</v>
      </c>
      <c r="F81" s="328">
        <f t="shared" si="13"/>
        <v>338549.40363040345</v>
      </c>
      <c r="G81" s="328">
        <f t="shared" si="13"/>
        <v>-553094.78586144838</v>
      </c>
      <c r="H81" s="328">
        <f t="shared" si="13"/>
        <v>44085.440690831958</v>
      </c>
      <c r="I81" s="328">
        <f t="shared" si="13"/>
        <v>561162.33851320681</v>
      </c>
      <c r="J81" s="328">
        <f t="shared" si="13"/>
        <v>409490.8681121837</v>
      </c>
      <c r="K81" s="328">
        <f t="shared" si="13"/>
        <v>140956.56641655113</v>
      </c>
      <c r="L81" s="328">
        <f t="shared" si="13"/>
        <v>507808.65494069015</v>
      </c>
      <c r="M81" s="328">
        <f t="shared" si="13"/>
        <v>-726142.63131137635</v>
      </c>
      <c r="N81" s="341">
        <f>N75-(N79+N80+N76+N77+N78)</f>
        <v>-954316.68764611182</v>
      </c>
      <c r="O81" s="329">
        <f>O75-(O79+O80+O76+O77+O78)</f>
        <v>5302705.0000000019</v>
      </c>
      <c r="P81" s="318"/>
    </row>
    <row r="82" spans="2:16" x14ac:dyDescent="0.35">
      <c r="B82" s="286" t="s">
        <v>233</v>
      </c>
      <c r="C82" s="1210">
        <v>0.29122530721019424</v>
      </c>
      <c r="D82" s="1210">
        <v>0.19519550849929401</v>
      </c>
      <c r="E82" s="1210">
        <v>0.13444776272648104</v>
      </c>
      <c r="F82" s="1210">
        <v>3.4018911516550114E-2</v>
      </c>
      <c r="G82" s="1210">
        <v>4.0924995440726024E-2</v>
      </c>
      <c r="H82" s="1210">
        <v>4.4298961686159242E-3</v>
      </c>
      <c r="I82" s="1210">
        <v>5.6388024127615788E-2</v>
      </c>
      <c r="J82" s="1210">
        <v>6.5596826041496539E-2</v>
      </c>
      <c r="K82" s="1210">
        <v>4.1342109495855046E-2</v>
      </c>
      <c r="L82" s="1210">
        <v>5.1026814741121217E-2</v>
      </c>
      <c r="M82" s="1210">
        <v>4.0577020886546425E-2</v>
      </c>
      <c r="N82" s="1210">
        <v>4.4826823145503666E-2</v>
      </c>
      <c r="O82" s="319"/>
    </row>
    <row r="83" spans="2:16" x14ac:dyDescent="0.35">
      <c r="B83" s="287" t="s">
        <v>234</v>
      </c>
      <c r="C83" s="1210">
        <v>7.4068136907112031E-2</v>
      </c>
      <c r="D83" s="1210">
        <v>6.4572627879154909E-2</v>
      </c>
      <c r="E83" s="1210">
        <v>0</v>
      </c>
      <c r="F83" s="1210">
        <v>0</v>
      </c>
      <c r="G83" s="1210">
        <v>0.20657185011028287</v>
      </c>
      <c r="H83" s="1210">
        <v>0</v>
      </c>
      <c r="I83" s="1210">
        <v>0</v>
      </c>
      <c r="J83" s="1210">
        <v>5.2336126770388972E-2</v>
      </c>
      <c r="K83" s="1210">
        <v>5.8177309533210035E-2</v>
      </c>
      <c r="L83" s="1210">
        <v>0</v>
      </c>
      <c r="M83" s="1210">
        <v>0.24304881439723408</v>
      </c>
      <c r="N83" s="1210">
        <v>0.30122513440261711</v>
      </c>
      <c r="O83" s="319"/>
    </row>
    <row r="84" spans="2:16" ht="15" thickBot="1" x14ac:dyDescent="0.4">
      <c r="B84" s="287" t="s">
        <v>249</v>
      </c>
      <c r="C84" s="1210">
        <v>7.4068136907112031E-2</v>
      </c>
      <c r="D84" s="1210">
        <v>6.4572627879154909E-2</v>
      </c>
      <c r="E84" s="1210">
        <v>0</v>
      </c>
      <c r="F84" s="1210">
        <v>0</v>
      </c>
      <c r="G84" s="1210">
        <v>0.20657185011028287</v>
      </c>
      <c r="H84" s="1210">
        <v>0</v>
      </c>
      <c r="I84" s="1210">
        <v>0</v>
      </c>
      <c r="J84" s="1210">
        <v>5.2336126770388972E-2</v>
      </c>
      <c r="K84" s="1210">
        <v>5.8177309533210035E-2</v>
      </c>
      <c r="L84" s="1210">
        <v>0</v>
      </c>
      <c r="M84" s="1210">
        <v>0.24304881439723408</v>
      </c>
      <c r="N84" s="1210">
        <v>0.30122513440261711</v>
      </c>
      <c r="O84" s="319"/>
    </row>
    <row r="85" spans="2:16" ht="15" thickBot="1" x14ac:dyDescent="0.4">
      <c r="B85" s="361" t="s">
        <v>239</v>
      </c>
      <c r="C85" s="360" t="s">
        <v>77</v>
      </c>
      <c r="D85" s="338" t="s">
        <v>78</v>
      </c>
      <c r="E85" s="338" t="s">
        <v>79</v>
      </c>
      <c r="F85" s="338" t="s">
        <v>80</v>
      </c>
      <c r="G85" s="338" t="s">
        <v>81</v>
      </c>
      <c r="H85" s="338" t="s">
        <v>82</v>
      </c>
      <c r="I85" s="338" t="s">
        <v>83</v>
      </c>
      <c r="J85" s="339" t="s">
        <v>84</v>
      </c>
      <c r="K85" s="338" t="s">
        <v>85</v>
      </c>
      <c r="L85" s="338" t="s">
        <v>86</v>
      </c>
      <c r="M85" s="338" t="s">
        <v>87</v>
      </c>
      <c r="N85" s="362" t="s">
        <v>88</v>
      </c>
      <c r="O85" s="334" t="s">
        <v>335</v>
      </c>
      <c r="P85" s="318"/>
    </row>
    <row r="86" spans="2:16" x14ac:dyDescent="0.35">
      <c r="B86" s="349" t="s">
        <v>227</v>
      </c>
      <c r="C86" s="345">
        <f>+'A) Resumen Ingresos y Egresos'!$D$16*'J)ESTRUCTURA ECONOMICA MENS.'!C93</f>
        <v>8788824.6021120623</v>
      </c>
      <c r="D86" s="336">
        <f>+'A) Resumen Ingresos y Egresos'!$D$16*'J)ESTRUCTURA ECONOMICA MENS.'!D93</f>
        <v>7906538.9812777173</v>
      </c>
      <c r="E86" s="336">
        <f>+'A) Resumen Ingresos y Egresos'!$D$16*'J)ESTRUCTURA ECONOMICA MENS.'!E93</f>
        <v>5102631.9685010156</v>
      </c>
      <c r="F86" s="336">
        <f>+'A) Resumen Ingresos y Egresos'!$D$16*'J)ESTRUCTURA ECONOMICA MENS.'!F93</f>
        <v>3434013.6439373572</v>
      </c>
      <c r="G86" s="336">
        <f>+'A) Resumen Ingresos y Egresos'!$D$16*'J)ESTRUCTURA ECONOMICA MENS.'!G93</f>
        <v>5980629.0216868566</v>
      </c>
      <c r="H86" s="336">
        <f>+'A) Resumen Ingresos y Egresos'!$D$16*'J)ESTRUCTURA ECONOMICA MENS.'!H93</f>
        <v>6230477.0487092407</v>
      </c>
      <c r="I86" s="336">
        <f>+'A) Resumen Ingresos y Egresos'!$D$16*'J)ESTRUCTURA ECONOMICA MENS.'!I93</f>
        <v>5093661.2940550828</v>
      </c>
      <c r="J86" s="336">
        <f>+'A) Resumen Ingresos y Egresos'!$D$16*'J)ESTRUCTURA ECONOMICA MENS.'!J93</f>
        <v>5483795.3763235612</v>
      </c>
      <c r="K86" s="336">
        <f>+'A) Resumen Ingresos y Egresos'!$D$16*'J)ESTRUCTURA ECONOMICA MENS.'!K93</f>
        <v>4933752.0986824157</v>
      </c>
      <c r="L86" s="336">
        <f>+'A) Resumen Ingresos y Egresos'!$D$16*'J)ESTRUCTURA ECONOMICA MENS.'!L93</f>
        <v>4698646.6536234831</v>
      </c>
      <c r="M86" s="336">
        <f>+'A) Resumen Ingresos y Egresos'!$D$16*'J)ESTRUCTURA ECONOMICA MENS.'!M93</f>
        <v>5791696.5943797547</v>
      </c>
      <c r="N86" s="353">
        <f>+'A) Resumen Ingresos y Egresos'!$D$16*'J)ESTRUCTURA ECONOMICA MENS.'!N93</f>
        <v>8185932.7167114522</v>
      </c>
      <c r="O86" s="356">
        <f t="shared" ref="O86:O92" si="14">SUM(C86:N86)</f>
        <v>71630600</v>
      </c>
      <c r="P86" s="318"/>
    </row>
    <row r="87" spans="2:16" x14ac:dyDescent="0.35">
      <c r="B87" s="349" t="s">
        <v>228</v>
      </c>
      <c r="C87" s="345">
        <f>(SUM('F) Remuneraciones'!$L$143:$L$164)-SUM('F) Remuneraciones'!$I$143:$J$164))/12</f>
        <v>2452974.21875</v>
      </c>
      <c r="D87" s="345">
        <f>(SUM('F) Remuneraciones'!$L$143:$L$164)-SUM('F) Remuneraciones'!$I$143:$J$164))/12</f>
        <v>2452974.21875</v>
      </c>
      <c r="E87" s="345">
        <f>(SUM('F) Remuneraciones'!$L$143:$L$164)-SUM('F) Remuneraciones'!$I$143:$J$164))/12</f>
        <v>2452974.21875</v>
      </c>
      <c r="F87" s="345">
        <f>(SUM('F) Remuneraciones'!$L$143:$L$164)-SUM('F) Remuneraciones'!$I$143:$J$164))/12</f>
        <v>2452974.21875</v>
      </c>
      <c r="G87" s="345">
        <f>(SUM('F) Remuneraciones'!$L$143:$L$164)-SUM('F) Remuneraciones'!$I$143:$J$164))/12</f>
        <v>2452974.21875</v>
      </c>
      <c r="H87" s="345">
        <f>(SUM('F) Remuneraciones'!$L$143:$L$164)-SUM('F) Remuneraciones'!$I$143:$J$164))/12</f>
        <v>2452974.21875</v>
      </c>
      <c r="I87" s="345">
        <f>(SUM('F) Remuneraciones'!$L$143:$L$164)-SUM('F) Remuneraciones'!$I$143:$J$164))/12</f>
        <v>2452974.21875</v>
      </c>
      <c r="J87" s="345">
        <f>(SUM('F) Remuneraciones'!$L$143:$L$164)-SUM('F) Remuneraciones'!$I$143:$J$164))/12</f>
        <v>2452974.21875</v>
      </c>
      <c r="K87" s="345">
        <f>(SUM('F) Remuneraciones'!$L$143:$L$164)-SUM('F) Remuneraciones'!$I$143:$J$164))/12</f>
        <v>2452974.21875</v>
      </c>
      <c r="L87" s="345">
        <f>(SUM('F) Remuneraciones'!$L$143:$L$164)-SUM('F) Remuneraciones'!$I$143:$J$164))/12</f>
        <v>2452974.21875</v>
      </c>
      <c r="M87" s="345">
        <f>(SUM('F) Remuneraciones'!$L$143:$L$164)-SUM('F) Remuneraciones'!$I$143:$J$164))/12</f>
        <v>2452974.21875</v>
      </c>
      <c r="N87" s="345">
        <f>(SUM('F) Remuneraciones'!$L$143:$L$164)-SUM('F) Remuneraciones'!$I$143:$J$164))/12</f>
        <v>2452974.21875</v>
      </c>
      <c r="O87" s="356">
        <f t="shared" si="14"/>
        <v>29435690.625</v>
      </c>
      <c r="P87" s="1698"/>
    </row>
    <row r="88" spans="2:16" x14ac:dyDescent="0.35">
      <c r="B88" s="349" t="s">
        <v>229</v>
      </c>
      <c r="C88" s="345">
        <f>SUM('F) Remuneraciones'!$L$154:$L$156)/4</f>
        <v>0</v>
      </c>
      <c r="D88" s="345">
        <f>SUM('F) Remuneraciones'!$L$154:$L$156)/4</f>
        <v>0</v>
      </c>
      <c r="E88" s="345">
        <f>SUM('F) Remuneraciones'!$L$154:$L$156)/4</f>
        <v>0</v>
      </c>
      <c r="F88" s="336">
        <v>0</v>
      </c>
      <c r="G88" s="336">
        <v>0</v>
      </c>
      <c r="H88" s="336">
        <v>0</v>
      </c>
      <c r="I88" s="336">
        <v>0</v>
      </c>
      <c r="J88" s="336">
        <v>0</v>
      </c>
      <c r="K88" s="336">
        <v>0</v>
      </c>
      <c r="L88" s="336">
        <v>0</v>
      </c>
      <c r="M88" s="336">
        <v>0</v>
      </c>
      <c r="N88" s="345">
        <f>SUM('F) Remuneraciones'!$L$154:$L$156)/4</f>
        <v>0</v>
      </c>
      <c r="O88" s="356">
        <f t="shared" si="14"/>
        <v>0</v>
      </c>
      <c r="P88" s="1698"/>
    </row>
    <row r="89" spans="2:16" x14ac:dyDescent="0.35">
      <c r="B89" s="349" t="s">
        <v>230</v>
      </c>
      <c r="C89" s="345">
        <f>SUM('F) Remuneraciones'!J143:J164)/2</f>
        <v>301810.5</v>
      </c>
      <c r="D89" s="336">
        <v>0</v>
      </c>
      <c r="E89" s="336">
        <v>0</v>
      </c>
      <c r="F89" s="336">
        <v>0</v>
      </c>
      <c r="G89" s="336">
        <v>0</v>
      </c>
      <c r="H89" s="336">
        <v>0</v>
      </c>
      <c r="I89" s="336">
        <v>0</v>
      </c>
      <c r="J89" s="336">
        <v>0</v>
      </c>
      <c r="K89" s="345">
        <f>SUM('F) Remuneraciones'!I143:I164)/2</f>
        <v>172840</v>
      </c>
      <c r="L89" s="336">
        <v>0</v>
      </c>
      <c r="M89" s="336">
        <v>0</v>
      </c>
      <c r="N89" s="345">
        <f>+C89+K89</f>
        <v>474650.5</v>
      </c>
      <c r="O89" s="356">
        <f t="shared" si="14"/>
        <v>949301</v>
      </c>
      <c r="P89" s="318"/>
    </row>
    <row r="90" spans="2:16" x14ac:dyDescent="0.35">
      <c r="B90" s="349" t="s">
        <v>231</v>
      </c>
      <c r="C90" s="345">
        <f>'C) Costos Directos'!$H$523*'J)ESTRUCTURA ECONOMICA MENS.'!C94</f>
        <v>1125642.1151705966</v>
      </c>
      <c r="D90" s="345">
        <f>'C) Costos Directos'!$H$523*'J)ESTRUCTURA ECONOMICA MENS.'!D94</f>
        <v>1427631.8974916232</v>
      </c>
      <c r="E90" s="345">
        <f>'C) Costos Directos'!$H$523*'J)ESTRUCTURA ECONOMICA MENS.'!E94</f>
        <v>895796.30453348428</v>
      </c>
      <c r="F90" s="345">
        <f>'C) Costos Directos'!$H$523*'J)ESTRUCTURA ECONOMICA MENS.'!F94</f>
        <v>879794.31872553832</v>
      </c>
      <c r="G90" s="345">
        <f>'C) Costos Directos'!$H$523*'J)ESTRUCTURA ECONOMICA MENS.'!G94</f>
        <v>645970.69979534042</v>
      </c>
      <c r="H90" s="345">
        <f>'C) Costos Directos'!$H$523*'J)ESTRUCTURA ECONOMICA MENS.'!H94</f>
        <v>1031487.8958396749</v>
      </c>
      <c r="I90" s="345">
        <f>'C) Costos Directos'!$H$523*'J)ESTRUCTURA ECONOMICA MENS.'!I94</f>
        <v>706161.56530552963</v>
      </c>
      <c r="J90" s="345">
        <f>'C) Costos Directos'!$H$523*'J)ESTRUCTURA ECONOMICA MENS.'!J94</f>
        <v>1047114.8436474757</v>
      </c>
      <c r="K90" s="345">
        <f>'C) Costos Directos'!$H$523*'J)ESTRUCTURA ECONOMICA MENS.'!K94</f>
        <v>1747116.163784439</v>
      </c>
      <c r="L90" s="345">
        <f>'C) Costos Directos'!$H$523*'J)ESTRUCTURA ECONOMICA MENS.'!L94</f>
        <v>910285.01747787057</v>
      </c>
      <c r="M90" s="345">
        <f>'C) Costos Directos'!$H$523*'J)ESTRUCTURA ECONOMICA MENS.'!M94</f>
        <v>2032586.7796151037</v>
      </c>
      <c r="N90" s="345">
        <f>'C) Costos Directos'!$H$523*'J)ESTRUCTURA ECONOMICA MENS.'!N94</f>
        <v>2306550.3986133239</v>
      </c>
      <c r="O90" s="356">
        <f t="shared" si="14"/>
        <v>14756138</v>
      </c>
      <c r="P90" s="318"/>
    </row>
    <row r="91" spans="2:16" ht="15" thickBot="1" x14ac:dyDescent="0.4">
      <c r="B91" s="335" t="s">
        <v>248</v>
      </c>
      <c r="C91" s="346">
        <f>'C) Costos Directos'!$H$543*'J)ESTRUCTURA ECONOMICA MENS.'!C95</f>
        <v>607283.88673091494</v>
      </c>
      <c r="D91" s="346">
        <f>'C) Costos Directos'!$H$543*'J)ESTRUCTURA ECONOMICA MENS.'!D95</f>
        <v>770207.36506322806</v>
      </c>
      <c r="E91" s="346">
        <f>'C) Costos Directos'!$H$543*'J)ESTRUCTURA ECONOMICA MENS.'!E95</f>
        <v>483282.0789170973</v>
      </c>
      <c r="F91" s="346">
        <f>'C) Costos Directos'!$H$543*'J)ESTRUCTURA ECONOMICA MENS.'!F95</f>
        <v>474649.00806278799</v>
      </c>
      <c r="G91" s="346">
        <f>'C) Costos Directos'!$H$543*'J)ESTRUCTURA ECONOMICA MENS.'!G95</f>
        <v>348501.17279642669</v>
      </c>
      <c r="H91" s="346">
        <f>'C) Costos Directos'!$H$543*'J)ESTRUCTURA ECONOMICA MENS.'!H95</f>
        <v>556487.68827957008</v>
      </c>
      <c r="I91" s="346">
        <f>'C) Costos Directos'!$H$543*'J)ESTRUCTURA ECONOMICA MENS.'!I95</f>
        <v>380974.1428995271</v>
      </c>
      <c r="J91" s="346">
        <f>'C) Costos Directos'!$H$543*'J)ESTRUCTURA ECONOMICA MENS.'!J95</f>
        <v>564918.42614426347</v>
      </c>
      <c r="K91" s="346">
        <f>'C) Costos Directos'!$H$543*'J)ESTRUCTURA ECONOMICA MENS.'!K95</f>
        <v>942569.1169636281</v>
      </c>
      <c r="L91" s="346">
        <f>'C) Costos Directos'!$H$543*'J)ESTRUCTURA ECONOMICA MENS.'!L95</f>
        <v>491098.73910776712</v>
      </c>
      <c r="M91" s="346">
        <f>'C) Costos Directos'!$H$543*'J)ESTRUCTURA ECONOMICA MENS.'!M95</f>
        <v>1096580.5054792755</v>
      </c>
      <c r="N91" s="346">
        <f>'C) Costos Directos'!$H$543*'J)ESTRUCTURA ECONOMICA MENS.'!N95</f>
        <v>1244383.8695555136</v>
      </c>
      <c r="O91" s="356">
        <f t="shared" si="14"/>
        <v>7960935.9999999991</v>
      </c>
      <c r="P91" s="318"/>
    </row>
    <row r="92" spans="2:16" ht="15" thickBot="1" x14ac:dyDescent="0.4">
      <c r="B92" s="350" t="s">
        <v>232</v>
      </c>
      <c r="C92" s="347">
        <f>C86-(C90+C91+C87+C88+C89)</f>
        <v>4301113.8814605512</v>
      </c>
      <c r="D92" s="328">
        <f t="shared" ref="D92:N92" si="15">D86-(D90+D91+D87+D88+D89)</f>
        <v>3255725.4999728659</v>
      </c>
      <c r="E92" s="328">
        <f t="shared" si="15"/>
        <v>1270579.3663004339</v>
      </c>
      <c r="F92" s="328">
        <f t="shared" si="15"/>
        <v>-373403.90160096902</v>
      </c>
      <c r="G92" s="328">
        <f t="shared" si="15"/>
        <v>2533182.9303450896</v>
      </c>
      <c r="H92" s="328">
        <f t="shared" si="15"/>
        <v>2189527.2458399958</v>
      </c>
      <c r="I92" s="328">
        <f t="shared" si="15"/>
        <v>1553551.367100026</v>
      </c>
      <c r="J92" s="328">
        <f t="shared" si="15"/>
        <v>1418787.8877818221</v>
      </c>
      <c r="K92" s="328">
        <f t="shared" si="15"/>
        <v>-381747.40081565175</v>
      </c>
      <c r="L92" s="328">
        <f t="shared" si="15"/>
        <v>844288.67828784557</v>
      </c>
      <c r="M92" s="328">
        <f t="shared" si="15"/>
        <v>209555.09053537529</v>
      </c>
      <c r="N92" s="341">
        <f t="shared" si="15"/>
        <v>1707373.7297926145</v>
      </c>
      <c r="O92" s="329">
        <f t="shared" si="14"/>
        <v>18528534.375</v>
      </c>
      <c r="P92" s="318"/>
    </row>
    <row r="93" spans="2:16" x14ac:dyDescent="0.35">
      <c r="B93" s="286" t="s">
        <v>233</v>
      </c>
      <c r="C93" s="1210">
        <v>0.12269650962175471</v>
      </c>
      <c r="D93" s="1210">
        <v>0.11037934878777669</v>
      </c>
      <c r="E93" s="1210">
        <v>7.123536545137156E-2</v>
      </c>
      <c r="F93" s="1210">
        <v>4.7940595833866492E-2</v>
      </c>
      <c r="G93" s="1210">
        <v>8.3492655676301139E-2</v>
      </c>
      <c r="H93" s="1210">
        <v>8.6980662575899689E-2</v>
      </c>
      <c r="I93" s="1210">
        <v>7.1110130224444346E-2</v>
      </c>
      <c r="J93" s="1210">
        <v>7.6556602573810098E-2</v>
      </c>
      <c r="K93" s="1210">
        <v>6.8877715650607643E-2</v>
      </c>
      <c r="L93" s="1210">
        <v>6.5595522774114456E-2</v>
      </c>
      <c r="M93" s="1210">
        <v>8.0855061864339467E-2</v>
      </c>
      <c r="N93" s="1210">
        <v>0.1142798289657137</v>
      </c>
      <c r="O93" s="319"/>
    </row>
    <row r="94" spans="2:16" x14ac:dyDescent="0.35">
      <c r="B94" s="287" t="s">
        <v>234</v>
      </c>
      <c r="C94" s="1210">
        <v>7.6282975611274215E-2</v>
      </c>
      <c r="D94" s="1210">
        <v>9.6748342790750744E-2</v>
      </c>
      <c r="E94" s="1210">
        <v>6.0706690635007908E-2</v>
      </c>
      <c r="F94" s="1210">
        <v>5.9622261510805762E-2</v>
      </c>
      <c r="G94" s="1210">
        <v>4.3776406793928087E-2</v>
      </c>
      <c r="H94" s="1210">
        <v>6.9902293936236898E-2</v>
      </c>
      <c r="I94" s="1210">
        <v>4.7855446005284692E-2</v>
      </c>
      <c r="J94" s="1210">
        <v>7.0961307331733794E-2</v>
      </c>
      <c r="K94" s="1210">
        <v>0.11839928332090952</v>
      </c>
      <c r="L94" s="1210">
        <v>6.168856766437604E-2</v>
      </c>
      <c r="M94" s="1210">
        <v>0.13774517286400437</v>
      </c>
      <c r="N94" s="1210">
        <v>0.15631125153568798</v>
      </c>
      <c r="O94" s="319"/>
    </row>
    <row r="95" spans="2:16" ht="15" thickBot="1" x14ac:dyDescent="0.4">
      <c r="B95" s="287" t="s">
        <v>249</v>
      </c>
      <c r="C95" s="1210">
        <v>7.6282975611274215E-2</v>
      </c>
      <c r="D95" s="1210">
        <v>9.6748342790750744E-2</v>
      </c>
      <c r="E95" s="1210">
        <v>6.0706690635007908E-2</v>
      </c>
      <c r="F95" s="1210">
        <v>5.9622261510805762E-2</v>
      </c>
      <c r="G95" s="1210">
        <v>4.3776406793928087E-2</v>
      </c>
      <c r="H95" s="1210">
        <v>6.9902293936236898E-2</v>
      </c>
      <c r="I95" s="1210">
        <v>4.7855446005284692E-2</v>
      </c>
      <c r="J95" s="1210">
        <v>7.0961307331733794E-2</v>
      </c>
      <c r="K95" s="1210">
        <v>0.11839928332090952</v>
      </c>
      <c r="L95" s="1210">
        <v>6.168856766437604E-2</v>
      </c>
      <c r="M95" s="1210">
        <v>0.13774517286400437</v>
      </c>
      <c r="N95" s="1210">
        <v>0.15631125153568798</v>
      </c>
      <c r="O95" s="319"/>
    </row>
    <row r="96" spans="2:16" ht="15" thickBot="1" x14ac:dyDescent="0.4">
      <c r="B96" s="331" t="s">
        <v>240</v>
      </c>
      <c r="C96" s="316" t="s">
        <v>77</v>
      </c>
      <c r="D96" s="332" t="s">
        <v>78</v>
      </c>
      <c r="E96" s="332" t="s">
        <v>79</v>
      </c>
      <c r="F96" s="332" t="s">
        <v>80</v>
      </c>
      <c r="G96" s="332" t="s">
        <v>81</v>
      </c>
      <c r="H96" s="332" t="s">
        <v>82</v>
      </c>
      <c r="I96" s="332" t="s">
        <v>83</v>
      </c>
      <c r="J96" s="343" t="s">
        <v>84</v>
      </c>
      <c r="K96" s="332" t="s">
        <v>85</v>
      </c>
      <c r="L96" s="332" t="s">
        <v>86</v>
      </c>
      <c r="M96" s="332" t="s">
        <v>87</v>
      </c>
      <c r="N96" s="333" t="s">
        <v>88</v>
      </c>
      <c r="O96" s="334" t="s">
        <v>335</v>
      </c>
      <c r="P96" s="318"/>
    </row>
    <row r="97" spans="2:16" x14ac:dyDescent="0.35">
      <c r="B97" s="348" t="s">
        <v>227</v>
      </c>
      <c r="C97" s="344">
        <f>+'A) Resumen Ingresos y Egresos'!$D$17*'J)ESTRUCTURA ECONOMICA MENS.'!C104</f>
        <v>7431765.3234975953</v>
      </c>
      <c r="D97" s="342">
        <f>+'A) Resumen Ingresos y Egresos'!$D$17*'J)ESTRUCTURA ECONOMICA MENS.'!D104</f>
        <v>5964322.4585676761</v>
      </c>
      <c r="E97" s="342">
        <f>+'A) Resumen Ingresos y Egresos'!$D$17*'J)ESTRUCTURA ECONOMICA MENS.'!E104</f>
        <v>4494932.8248792011</v>
      </c>
      <c r="F97" s="342">
        <f>+'A) Resumen Ingresos y Egresos'!$D$17*'J)ESTRUCTURA ECONOMICA MENS.'!F104</f>
        <v>4273160.0881859018</v>
      </c>
      <c r="G97" s="342">
        <f>+'A) Resumen Ingresos y Egresos'!$D$17*'J)ESTRUCTURA ECONOMICA MENS.'!G104</f>
        <v>7562177.5250539081</v>
      </c>
      <c r="H97" s="342">
        <f>+'A) Resumen Ingresos y Egresos'!$D$17*'J)ESTRUCTURA ECONOMICA MENS.'!H104</f>
        <v>5962719.2372371014</v>
      </c>
      <c r="I97" s="342">
        <f>+'A) Resumen Ingresos y Egresos'!$D$17*'J)ESTRUCTURA ECONOMICA MENS.'!I104</f>
        <v>3451419.4966018284</v>
      </c>
      <c r="J97" s="342">
        <f>+'A) Resumen Ingresos y Egresos'!$D$17*'J)ESTRUCTURA ECONOMICA MENS.'!J104</f>
        <v>3900591.3358761268</v>
      </c>
      <c r="K97" s="342">
        <f>+'A) Resumen Ingresos y Egresos'!$D$17*'J)ESTRUCTURA ECONOMICA MENS.'!K104</f>
        <v>4794823.9856418381</v>
      </c>
      <c r="L97" s="342">
        <f>+'A) Resumen Ingresos y Egresos'!$D$17*'J)ESTRUCTURA ECONOMICA MENS.'!L104</f>
        <v>3895346.6893528528</v>
      </c>
      <c r="M97" s="342">
        <f>+'A) Resumen Ingresos y Egresos'!$D$17*'J)ESTRUCTURA ECONOMICA MENS.'!M104</f>
        <v>5017690.3927001823</v>
      </c>
      <c r="N97" s="352">
        <f>+'A) Resumen Ingresos y Egresos'!$D$17*'J)ESTRUCTURA ECONOMICA MENS.'!N104</f>
        <v>6053250.6424057856</v>
      </c>
      <c r="O97" s="355">
        <f t="shared" ref="O97:O103" si="16">SUM(C97:N97)</f>
        <v>62802200</v>
      </c>
      <c r="P97" s="318"/>
    </row>
    <row r="98" spans="2:16" x14ac:dyDescent="0.35">
      <c r="B98" s="349" t="s">
        <v>228</v>
      </c>
      <c r="C98" s="345">
        <f>(SUM('F) Remuneraciones'!$L$165:$L$175)-SUM('F) Remuneraciones'!$I$165:$J$175))/12</f>
        <v>2601511.0412499998</v>
      </c>
      <c r="D98" s="345">
        <f>(SUM('F) Remuneraciones'!$L$165:$L$175)-SUM('F) Remuneraciones'!$I$165:$J$175))/12</f>
        <v>2601511.0412499998</v>
      </c>
      <c r="E98" s="345">
        <f>(SUM('F) Remuneraciones'!$L$165:$L$175)-SUM('F) Remuneraciones'!$I$165:$J$175))/12</f>
        <v>2601511.0412499998</v>
      </c>
      <c r="F98" s="345">
        <f>(SUM('F) Remuneraciones'!$L$165:$L$175)-SUM('F) Remuneraciones'!$I$165:$J$175))/12</f>
        <v>2601511.0412499998</v>
      </c>
      <c r="G98" s="345">
        <f>(SUM('F) Remuneraciones'!$L$165:$L$175)-SUM('F) Remuneraciones'!$I$165:$J$175))/12</f>
        <v>2601511.0412499998</v>
      </c>
      <c r="H98" s="345">
        <f>(SUM('F) Remuneraciones'!$L$165:$L$175)-SUM('F) Remuneraciones'!$I$165:$J$175))/12</f>
        <v>2601511.0412499998</v>
      </c>
      <c r="I98" s="345">
        <f>(SUM('F) Remuneraciones'!$L$165:$L$175)-SUM('F) Remuneraciones'!$I$165:$J$175))/12</f>
        <v>2601511.0412499998</v>
      </c>
      <c r="J98" s="345">
        <f>(SUM('F) Remuneraciones'!$L$165:$L$175)-SUM('F) Remuneraciones'!$I$165:$J$175))/12</f>
        <v>2601511.0412499998</v>
      </c>
      <c r="K98" s="345">
        <f>(SUM('F) Remuneraciones'!$L$165:$L$175)-SUM('F) Remuneraciones'!$I$165:$J$175))/12</f>
        <v>2601511.0412499998</v>
      </c>
      <c r="L98" s="345">
        <f>(SUM('F) Remuneraciones'!$L$165:$L$175)-SUM('F) Remuneraciones'!$I$165:$J$175))/12</f>
        <v>2601511.0412499998</v>
      </c>
      <c r="M98" s="345">
        <f>(SUM('F) Remuneraciones'!$L$165:$L$175)-SUM('F) Remuneraciones'!$I$165:$J$175))/12</f>
        <v>2601511.0412499998</v>
      </c>
      <c r="N98" s="345">
        <f>(SUM('F) Remuneraciones'!$L$165:$L$175)-SUM('F) Remuneraciones'!$I$165:$J$175))/12</f>
        <v>2601511.0412499998</v>
      </c>
      <c r="O98" s="356">
        <f t="shared" si="16"/>
        <v>31218132.49499999</v>
      </c>
      <c r="P98" s="1698"/>
    </row>
    <row r="99" spans="2:16" x14ac:dyDescent="0.35">
      <c r="B99" s="349" t="s">
        <v>229</v>
      </c>
      <c r="C99" s="345">
        <f>SUM('F) Remuneraciones'!$L$176)/4</f>
        <v>0</v>
      </c>
      <c r="D99" s="345">
        <f>SUM('F) Remuneraciones'!$L$176)/4</f>
        <v>0</v>
      </c>
      <c r="E99" s="345">
        <f>SUM('F) Remuneraciones'!$L$176)/4</f>
        <v>0</v>
      </c>
      <c r="F99" s="336">
        <v>0</v>
      </c>
      <c r="G99" s="336">
        <v>0</v>
      </c>
      <c r="H99" s="336">
        <v>0</v>
      </c>
      <c r="I99" s="336">
        <v>0</v>
      </c>
      <c r="J99" s="336">
        <v>0</v>
      </c>
      <c r="K99" s="336">
        <v>0</v>
      </c>
      <c r="L99" s="336">
        <v>0</v>
      </c>
      <c r="M99" s="336">
        <v>0</v>
      </c>
      <c r="N99" s="345">
        <f>SUM('F) Remuneraciones'!$L$176)/4</f>
        <v>0</v>
      </c>
      <c r="O99" s="356">
        <f t="shared" si="16"/>
        <v>0</v>
      </c>
      <c r="P99" s="1698"/>
    </row>
    <row r="100" spans="2:16" x14ac:dyDescent="0.35">
      <c r="B100" s="349" t="s">
        <v>230</v>
      </c>
      <c r="C100" s="345">
        <f>SUM('F) Remuneraciones'!J165:J175)/2</f>
        <v>495048.5</v>
      </c>
      <c r="D100" s="336">
        <v>0</v>
      </c>
      <c r="E100" s="336">
        <v>0</v>
      </c>
      <c r="F100" s="336">
        <v>0</v>
      </c>
      <c r="G100" s="336">
        <v>0</v>
      </c>
      <c r="H100" s="336">
        <v>0</v>
      </c>
      <c r="I100" s="336">
        <v>0</v>
      </c>
      <c r="J100" s="336">
        <v>0</v>
      </c>
      <c r="K100" s="345">
        <f>SUM('F) Remuneraciones'!I165:I175)/2</f>
        <v>260076</v>
      </c>
      <c r="L100" s="336">
        <v>0</v>
      </c>
      <c r="M100" s="336">
        <v>0</v>
      </c>
      <c r="N100" s="353">
        <f>+C100+K100</f>
        <v>755124.5</v>
      </c>
      <c r="O100" s="356">
        <f t="shared" si="16"/>
        <v>1510249</v>
      </c>
      <c r="P100" s="318"/>
    </row>
    <row r="101" spans="2:16" x14ac:dyDescent="0.35">
      <c r="B101" s="349" t="s">
        <v>231</v>
      </c>
      <c r="C101" s="345">
        <f>('C) Costos Directos'!$H$587-'C) Costos Directos'!$H$588)*C105</f>
        <v>1410587.093277493</v>
      </c>
      <c r="D101" s="345">
        <f>('C) Costos Directos'!$H$587-'C) Costos Directos'!$H$588)*D105</f>
        <v>814273.84124898247</v>
      </c>
      <c r="E101" s="345">
        <f>('C) Costos Directos'!$H$587-'C) Costos Directos'!$H$588)*E105</f>
        <v>796868.4439333427</v>
      </c>
      <c r="F101" s="345">
        <f>('C) Costos Directos'!$H$587-'C) Costos Directos'!$H$588)*F105</f>
        <v>1372404.223700922</v>
      </c>
      <c r="G101" s="345">
        <f>('C) Costos Directos'!$H$587-'C) Costos Directos'!$H$588)*G105</f>
        <v>958397.99985055393</v>
      </c>
      <c r="H101" s="345">
        <f>('C) Costos Directos'!$H$587-'C) Costos Directos'!$H$588)*H105</f>
        <v>1471336.9259494767</v>
      </c>
      <c r="I101" s="345">
        <f>('C) Costos Directos'!$H$587-'C) Costos Directos'!$H$588)*I105</f>
        <v>617607.48644807364</v>
      </c>
      <c r="J101" s="345">
        <f>('C) Costos Directos'!$H$587-'C) Costos Directos'!$H$588)*J105</f>
        <v>1808685.7226313809</v>
      </c>
      <c r="K101" s="345">
        <f>('C) Costos Directos'!$H$587-'C) Costos Directos'!$H$588)*K105</f>
        <v>2985850.7432741779</v>
      </c>
      <c r="L101" s="345">
        <f>('C) Costos Directos'!$H$587-'C) Costos Directos'!$H$588)*L105</f>
        <v>1670832.3517086769</v>
      </c>
      <c r="M101" s="345">
        <f>('C) Costos Directos'!$H$587-'C) Costos Directos'!$H$588)*M105</f>
        <v>3685890.8777338634</v>
      </c>
      <c r="N101" s="345">
        <f>('C) Costos Directos'!$H$587-'C) Costos Directos'!$H$588)*N105</f>
        <v>4086353.2902430566</v>
      </c>
      <c r="O101" s="356">
        <f t="shared" si="16"/>
        <v>21679089</v>
      </c>
      <c r="P101" s="318"/>
    </row>
    <row r="102" spans="2:16" ht="15" thickBot="1" x14ac:dyDescent="0.4">
      <c r="B102" s="335" t="s">
        <v>248</v>
      </c>
      <c r="C102" s="346">
        <f>'C) Costos Directos'!$H$615*C106</f>
        <v>447507.32483430102</v>
      </c>
      <c r="D102" s="346">
        <f>'C) Costos Directos'!$H$615*D106</f>
        <v>258327.55036288875</v>
      </c>
      <c r="E102" s="346">
        <f>'C) Costos Directos'!$H$615*E106</f>
        <v>252805.70571570555</v>
      </c>
      <c r="F102" s="346">
        <f>'C) Costos Directos'!$H$615*F106</f>
        <v>435393.8481832376</v>
      </c>
      <c r="G102" s="346">
        <f>'C) Costos Directos'!$H$615*G106</f>
        <v>304050.79351969814</v>
      </c>
      <c r="H102" s="346">
        <f>'C) Costos Directos'!$H$615*H106</f>
        <v>466780.14764172107</v>
      </c>
      <c r="I102" s="346">
        <f>'C) Costos Directos'!$H$615*I106</f>
        <v>195935.3487460583</v>
      </c>
      <c r="J102" s="346">
        <f>'C) Costos Directos'!$H$615*J106</f>
        <v>573803.71127608023</v>
      </c>
      <c r="K102" s="346">
        <f>'C) Costos Directos'!$H$615*K106</f>
        <v>947258.120285579</v>
      </c>
      <c r="L102" s="346">
        <f>'C) Costos Directos'!$H$615*L106</f>
        <v>530069.86915104522</v>
      </c>
      <c r="M102" s="346">
        <f>'C) Costos Directos'!$H$615*M106</f>
        <v>1169345.1430165255</v>
      </c>
      <c r="N102" s="346">
        <f>'C) Costos Directos'!$H$615*N106</f>
        <v>1296391.4372671598</v>
      </c>
      <c r="O102" s="356">
        <f t="shared" si="16"/>
        <v>6877669.0000000009</v>
      </c>
      <c r="P102" s="318"/>
    </row>
    <row r="103" spans="2:16" ht="15" thickBot="1" x14ac:dyDescent="0.4">
      <c r="B103" s="350" t="s">
        <v>232</v>
      </c>
      <c r="C103" s="347">
        <f>C97-(C101+C102+C98+C99+C100)</f>
        <v>2477111.3641358018</v>
      </c>
      <c r="D103" s="328">
        <f t="shared" ref="D103:N103" si="17">D97-(D101+D102+D98+D99+D100)</f>
        <v>2290210.025705805</v>
      </c>
      <c r="E103" s="328">
        <f t="shared" si="17"/>
        <v>843747.63398015313</v>
      </c>
      <c r="F103" s="328">
        <f t="shared" si="17"/>
        <v>-136149.02494825702</v>
      </c>
      <c r="G103" s="328">
        <f t="shared" si="17"/>
        <v>3698217.6904336563</v>
      </c>
      <c r="H103" s="328">
        <f t="shared" si="17"/>
        <v>1423091.1223959038</v>
      </c>
      <c r="I103" s="328">
        <f t="shared" si="17"/>
        <v>36365.620157696772</v>
      </c>
      <c r="J103" s="328">
        <f t="shared" si="17"/>
        <v>-1083409.1392813344</v>
      </c>
      <c r="K103" s="328">
        <f t="shared" si="17"/>
        <v>-1999871.9191679182</v>
      </c>
      <c r="L103" s="328">
        <f t="shared" si="17"/>
        <v>-907066.57275686925</v>
      </c>
      <c r="M103" s="328">
        <f t="shared" si="17"/>
        <v>-2439056.669300206</v>
      </c>
      <c r="N103" s="341">
        <f t="shared" si="17"/>
        <v>-2686129.6263544299</v>
      </c>
      <c r="O103" s="329">
        <f t="shared" si="16"/>
        <v>1517060.5050000027</v>
      </c>
      <c r="P103" s="318"/>
    </row>
    <row r="104" spans="2:16" x14ac:dyDescent="0.35">
      <c r="B104" s="286" t="s">
        <v>233</v>
      </c>
      <c r="C104" s="1210">
        <v>0.11833606662660855</v>
      </c>
      <c r="D104" s="1210">
        <v>9.4969960583668661E-2</v>
      </c>
      <c r="E104" s="1210">
        <v>7.1572856124135803E-2</v>
      </c>
      <c r="F104" s="1210">
        <v>6.8041566827052258E-2</v>
      </c>
      <c r="G104" s="1210">
        <v>0.12041262129437995</v>
      </c>
      <c r="H104" s="1210">
        <v>9.4944432475886215E-2</v>
      </c>
      <c r="I104" s="1210">
        <v>5.4956983936897567E-2</v>
      </c>
      <c r="J104" s="1210">
        <v>6.2109151206106265E-2</v>
      </c>
      <c r="K104" s="1210">
        <v>7.6348025795940883E-2</v>
      </c>
      <c r="L104" s="1210">
        <v>6.2025640651965259E-2</v>
      </c>
      <c r="M104" s="1210">
        <v>7.9896729616162843E-2</v>
      </c>
      <c r="N104" s="1210">
        <v>9.6385964861195716E-2</v>
      </c>
      <c r="O104" s="319"/>
    </row>
    <row r="105" spans="2:16" x14ac:dyDescent="0.35">
      <c r="B105" s="287" t="s">
        <v>234</v>
      </c>
      <c r="C105" s="1210">
        <v>6.5066714439776185E-2</v>
      </c>
      <c r="D105" s="1210">
        <v>3.7560334811531169E-2</v>
      </c>
      <c r="E105" s="1210">
        <v>3.6757469095373092E-2</v>
      </c>
      <c r="F105" s="1210">
        <v>6.3305437959174482E-2</v>
      </c>
      <c r="G105" s="1210">
        <v>4.4208407458936762E-2</v>
      </c>
      <c r="H105" s="1210">
        <v>6.7868946243519579E-2</v>
      </c>
      <c r="I105" s="1210">
        <v>2.8488627287247801E-2</v>
      </c>
      <c r="J105" s="1210">
        <v>8.3429968972929675E-2</v>
      </c>
      <c r="K105" s="1210">
        <v>0.13772953020646661</v>
      </c>
      <c r="L105" s="1210">
        <v>7.7071151454227479E-2</v>
      </c>
      <c r="M105" s="1210">
        <v>0.17002056118381467</v>
      </c>
      <c r="N105" s="1210">
        <v>0.18849285088700252</v>
      </c>
      <c r="O105" s="319"/>
    </row>
    <row r="106" spans="2:16" x14ac:dyDescent="0.35">
      <c r="B106" s="287" t="s">
        <v>249</v>
      </c>
      <c r="C106" s="1210">
        <v>6.5066714439776185E-2</v>
      </c>
      <c r="D106" s="1210">
        <v>3.7560334811531169E-2</v>
      </c>
      <c r="E106" s="1210">
        <v>3.6757469095373092E-2</v>
      </c>
      <c r="F106" s="1210">
        <v>6.3305437959174482E-2</v>
      </c>
      <c r="G106" s="1210">
        <v>4.4208407458936762E-2</v>
      </c>
      <c r="H106" s="1210">
        <v>6.7868946243519579E-2</v>
      </c>
      <c r="I106" s="1210">
        <v>2.8488627287247801E-2</v>
      </c>
      <c r="J106" s="1210">
        <v>8.3429968972929675E-2</v>
      </c>
      <c r="K106" s="1210">
        <v>0.13772953020646661</v>
      </c>
      <c r="L106" s="1210">
        <v>7.7071151454227479E-2</v>
      </c>
      <c r="M106" s="1210">
        <v>0.17002056118381467</v>
      </c>
      <c r="N106" s="1210">
        <v>0.18849285088700252</v>
      </c>
      <c r="O106" s="319"/>
    </row>
    <row r="107" spans="2:16" x14ac:dyDescent="0.35">
      <c r="B107" s="149"/>
    </row>
  </sheetData>
  <sheetProtection algorithmName="SHA-512" hashValue="4Yl5drU9n1syetSnStOnAE+05XcLL4RCMmn1QMuuibkoaUKJDJon9qfCE4rqMq+JmWqfwW8es1CWpE8XY4l89g==" saltValue="54y+oTviDA+vAdlWDFLGRw==" spinCount="100000" sheet="1" formatCells="0" formatColumns="0" selectLockedCells="1" selectUnlockedCells="1"/>
  <mergeCells count="13">
    <mergeCell ref="Q2:Q3"/>
    <mergeCell ref="R2:R3"/>
    <mergeCell ref="P10:P11"/>
    <mergeCell ref="P98:P99"/>
    <mergeCell ref="P21:P22"/>
    <mergeCell ref="P32:P33"/>
    <mergeCell ref="P43:P44"/>
    <mergeCell ref="P54:P55"/>
    <mergeCell ref="E4:F4"/>
    <mergeCell ref="B6:K6"/>
    <mergeCell ref="P65:P66"/>
    <mergeCell ref="P76:P77"/>
    <mergeCell ref="P87:P88"/>
  </mergeCells>
  <conditionalFormatting sqref="C9:O15">
    <cfRule type="cellIs" dxfId="18" priority="1" operator="lessThan">
      <formula>0</formula>
    </cfRule>
  </conditionalFormatting>
  <conditionalFormatting sqref="C20:O26">
    <cfRule type="cellIs" dxfId="17" priority="11" operator="lessThan">
      <formula>0</formula>
    </cfRule>
  </conditionalFormatting>
  <conditionalFormatting sqref="C31:O37">
    <cfRule type="cellIs" dxfId="16" priority="10" operator="lessThan">
      <formula>0</formula>
    </cfRule>
  </conditionalFormatting>
  <conditionalFormatting sqref="C42:O48">
    <cfRule type="cellIs" dxfId="15" priority="9" operator="lessThan">
      <formula>0</formula>
    </cfRule>
  </conditionalFormatting>
  <conditionalFormatting sqref="C53:O59">
    <cfRule type="cellIs" dxfId="14" priority="8" operator="lessThan">
      <formula>0</formula>
    </cfRule>
  </conditionalFormatting>
  <conditionalFormatting sqref="C64:O70">
    <cfRule type="cellIs" dxfId="13" priority="7" operator="lessThan">
      <formula>0</formula>
    </cfRule>
  </conditionalFormatting>
  <conditionalFormatting sqref="C75:O81">
    <cfRule type="cellIs" dxfId="12" priority="6" operator="lessThan">
      <formula>0</formula>
    </cfRule>
  </conditionalFormatting>
  <conditionalFormatting sqref="C86:O92">
    <cfRule type="cellIs" dxfId="11" priority="5" operator="lessThan">
      <formula>0</formula>
    </cfRule>
  </conditionalFormatting>
  <conditionalFormatting sqref="C97:O103">
    <cfRule type="cellIs" dxfId="10" priority="4" operator="lessThan">
      <formula>0</formula>
    </cfRule>
  </conditionalFormatting>
  <conditionalFormatting sqref="P7">
    <cfRule type="cellIs" dxfId="9" priority="617" stopIfTrue="1" operator="lessThan">
      <formula>0</formula>
    </cfRule>
    <cfRule type="cellIs" dxfId="8" priority="618" stopIfTrue="1" operator="greaterThan">
      <formula>0</formula>
    </cfRule>
  </conditionalFormatting>
  <conditionalFormatting sqref="Q1">
    <cfRule type="cellIs" dxfId="7" priority="387" stopIfTrue="1" operator="lessThan">
      <formula>0</formula>
    </cfRule>
    <cfRule type="cellIs" dxfId="6" priority="388" stopIfTrue="1" operator="greaterThan">
      <formula>0</formula>
    </cfRule>
  </conditionalFormatting>
  <conditionalFormatting sqref="Q2:Q3">
    <cfRule type="cellIs" dxfId="5" priority="379" operator="lessThan">
      <formula>0</formula>
    </cfRule>
    <cfRule type="cellIs" dxfId="4" priority="380" operator="greaterThan">
      <formula>0</formula>
    </cfRule>
  </conditionalFormatting>
  <conditionalFormatting sqref="Q4:Q7">
    <cfRule type="cellIs" dxfId="3" priority="381" stopIfTrue="1" operator="lessThan">
      <formula>0</formula>
    </cfRule>
    <cfRule type="cellIs" dxfId="2" priority="382" stopIfTrue="1" operator="greaterThan">
      <formula>0</formula>
    </cfRule>
  </conditionalFormatting>
  <conditionalFormatting sqref="R1:R7">
    <cfRule type="cellIs" dxfId="1" priority="377" operator="lessThan">
      <formula>0</formula>
    </cfRule>
    <cfRule type="cellIs" dxfId="0" priority="378" operator="greaterThan">
      <formula>0</formula>
    </cfRule>
  </conditionalFormatting>
  <hyperlinks>
    <hyperlink ref="B6:K6" location="'Índice Tablas'!A1" display="TABLA N°13:  INGRESO POR ARRIENDOS " xr:uid="{00000000-0004-0000-0D00-000000000000}"/>
  </hyperlink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P63"/>
  <sheetViews>
    <sheetView topLeftCell="A46" workbookViewId="0">
      <selection activeCell="U32" sqref="U32"/>
    </sheetView>
  </sheetViews>
  <sheetFormatPr baseColWidth="10" defaultColWidth="11.453125" defaultRowHeight="14.5" x14ac:dyDescent="0.35"/>
  <cols>
    <col min="1" max="8" width="11.453125" style="136"/>
    <col min="9" max="9" width="5" style="136" bestFit="1" customWidth="1"/>
    <col min="10" max="10" width="12.453125" style="136" bestFit="1" customWidth="1"/>
    <col min="11" max="11" width="12.26953125" style="136" bestFit="1" customWidth="1"/>
    <col min="12" max="12" width="1.81640625" style="136" customWidth="1"/>
    <col min="13" max="14" width="10" style="136" customWidth="1"/>
    <col min="15" max="16384" width="11.453125" style="136"/>
  </cols>
  <sheetData>
    <row r="1" spans="2:16" x14ac:dyDescent="0.35">
      <c r="H1" s="136" t="s">
        <v>395</v>
      </c>
    </row>
    <row r="2" spans="2:16" ht="15" thickBot="1" x14ac:dyDescent="0.4">
      <c r="H2" s="136" t="s">
        <v>390</v>
      </c>
      <c r="J2" s="950">
        <v>1.1000000000000001</v>
      </c>
      <c r="K2" s="950">
        <v>1.2</v>
      </c>
    </row>
    <row r="3" spans="2:16" ht="15.5" x14ac:dyDescent="0.35">
      <c r="B3" s="1729" t="s">
        <v>21</v>
      </c>
      <c r="C3" s="1730"/>
      <c r="D3" s="1731"/>
      <c r="E3" s="1701" t="s">
        <v>396</v>
      </c>
      <c r="F3" s="1702"/>
      <c r="G3" s="1702"/>
      <c r="H3" s="1703"/>
      <c r="I3" s="242">
        <v>1.19</v>
      </c>
      <c r="J3" s="242">
        <v>1.18</v>
      </c>
      <c r="K3" s="242">
        <v>1.27</v>
      </c>
    </row>
    <row r="4" spans="2:16" ht="26.5" thickBot="1" x14ac:dyDescent="0.4">
      <c r="B4" s="1732"/>
      <c r="C4" s="1733"/>
      <c r="D4" s="1734"/>
      <c r="E4" s="892" t="s">
        <v>24</v>
      </c>
      <c r="F4" s="893" t="s">
        <v>25</v>
      </c>
      <c r="G4" s="893" t="s">
        <v>26</v>
      </c>
      <c r="H4" s="894" t="s">
        <v>27</v>
      </c>
      <c r="J4" s="893" t="s">
        <v>26</v>
      </c>
      <c r="K4" s="894" t="s">
        <v>27</v>
      </c>
    </row>
    <row r="5" spans="2:16" x14ac:dyDescent="0.35">
      <c r="B5" s="1480" t="s">
        <v>29</v>
      </c>
      <c r="C5" s="1481"/>
      <c r="D5" s="1482"/>
      <c r="E5" s="895">
        <v>41500</v>
      </c>
      <c r="F5" s="896">
        <v>63800</v>
      </c>
      <c r="G5" s="896">
        <v>86700</v>
      </c>
      <c r="H5" s="897">
        <v>94000</v>
      </c>
      <c r="J5" s="896">
        <f>+F5*$I$3*$J$3</f>
        <v>89587.959999999992</v>
      </c>
      <c r="K5" s="897">
        <f>+F5*$I$3*$K$3</f>
        <v>96420.94</v>
      </c>
      <c r="L5" s="891"/>
      <c r="M5" s="935">
        <f>(J5-G5)/G5</f>
        <v>3.3309803921568536E-2</v>
      </c>
      <c r="N5" s="936">
        <f>(K5-H5)/H5</f>
        <v>2.5754680851063853E-2</v>
      </c>
    </row>
    <row r="6" spans="2:16" x14ac:dyDescent="0.35">
      <c r="B6" s="1735" t="s">
        <v>30</v>
      </c>
      <c r="C6" s="1736"/>
      <c r="D6" s="1737"/>
      <c r="E6" s="898"/>
      <c r="F6" s="899"/>
      <c r="G6" s="899"/>
      <c r="H6" s="900"/>
      <c r="J6" s="899">
        <f t="shared" ref="J6:J52" si="0">+F6*$I$3*$J$3</f>
        <v>0</v>
      </c>
      <c r="K6" s="900">
        <f t="shared" ref="K6:K51" si="1">+F6*$I$3*$K$3</f>
        <v>0</v>
      </c>
      <c r="M6" s="937"/>
      <c r="N6" s="938"/>
    </row>
    <row r="7" spans="2:16" x14ac:dyDescent="0.35">
      <c r="B7" s="1471" t="s">
        <v>31</v>
      </c>
      <c r="C7" s="1472"/>
      <c r="D7" s="1473"/>
      <c r="E7" s="898"/>
      <c r="F7" s="901">
        <v>19200</v>
      </c>
      <c r="G7" s="901">
        <v>26100</v>
      </c>
      <c r="H7" s="902">
        <v>28200</v>
      </c>
      <c r="J7" s="901">
        <f t="shared" si="0"/>
        <v>26960.639999999999</v>
      </c>
      <c r="K7" s="902">
        <f t="shared" si="1"/>
        <v>29016.959999999999</v>
      </c>
      <c r="M7" s="939">
        <f t="shared" ref="M7:M63" si="2">(J7-G7)/G7</f>
        <v>3.2974712643678142E-2</v>
      </c>
      <c r="N7" s="940">
        <f t="shared" ref="N7:N63" si="3">(K7-H7)/H7</f>
        <v>2.8970212765957414E-2</v>
      </c>
    </row>
    <row r="8" spans="2:16" x14ac:dyDescent="0.35">
      <c r="B8" s="1471" t="s">
        <v>32</v>
      </c>
      <c r="C8" s="1472"/>
      <c r="D8" s="1473"/>
      <c r="E8" s="903">
        <v>23400</v>
      </c>
      <c r="F8" s="901">
        <v>36000</v>
      </c>
      <c r="G8" s="901">
        <v>48900</v>
      </c>
      <c r="H8" s="902">
        <v>53000</v>
      </c>
      <c r="J8" s="901">
        <f t="shared" si="0"/>
        <v>50551.199999999997</v>
      </c>
      <c r="K8" s="902">
        <f t="shared" si="1"/>
        <v>54406.8</v>
      </c>
      <c r="M8" s="939">
        <f t="shared" si="2"/>
        <v>3.3766871165644113E-2</v>
      </c>
      <c r="N8" s="940">
        <f t="shared" si="3"/>
        <v>2.6543396226415151E-2</v>
      </c>
    </row>
    <row r="9" spans="2:16" x14ac:dyDescent="0.35">
      <c r="B9" s="1474" t="s">
        <v>33</v>
      </c>
      <c r="C9" s="1475"/>
      <c r="D9" s="1476"/>
      <c r="E9" s="903">
        <v>4100</v>
      </c>
      <c r="F9" s="901">
        <v>6300</v>
      </c>
      <c r="G9" s="901">
        <v>8600</v>
      </c>
      <c r="H9" s="902">
        <v>9300</v>
      </c>
      <c r="J9" s="901">
        <f t="shared" si="0"/>
        <v>8846.4599999999991</v>
      </c>
      <c r="K9" s="902">
        <f>+F9*$I$3*P9</f>
        <v>9596.16</v>
      </c>
      <c r="M9" s="939">
        <f t="shared" si="2"/>
        <v>2.8658139534883619E-2</v>
      </c>
      <c r="N9" s="1164">
        <f t="shared" si="3"/>
        <v>3.1845161290322568E-2</v>
      </c>
      <c r="P9" s="136">
        <v>1.28</v>
      </c>
    </row>
    <row r="10" spans="2:16" x14ac:dyDescent="0.35">
      <c r="B10" s="1471" t="s">
        <v>34</v>
      </c>
      <c r="C10" s="1472"/>
      <c r="D10" s="1473"/>
      <c r="E10" s="903">
        <v>5800</v>
      </c>
      <c r="F10" s="901">
        <v>8900</v>
      </c>
      <c r="G10" s="901">
        <v>12000</v>
      </c>
      <c r="H10" s="902">
        <v>13000</v>
      </c>
      <c r="J10" s="901">
        <f>+F10*$I$3*O10</f>
        <v>12391.47</v>
      </c>
      <c r="K10" s="902">
        <f t="shared" si="1"/>
        <v>13450.57</v>
      </c>
      <c r="M10" s="1165">
        <f>(J10-G10)/G10</f>
        <v>3.2622499999999943E-2</v>
      </c>
      <c r="N10" s="940">
        <f t="shared" si="3"/>
        <v>3.4659230769230748E-2</v>
      </c>
      <c r="O10" s="136">
        <v>1.17</v>
      </c>
    </row>
    <row r="11" spans="2:16" x14ac:dyDescent="0.35">
      <c r="B11" s="1471" t="s">
        <v>35</v>
      </c>
      <c r="C11" s="1472"/>
      <c r="D11" s="1473"/>
      <c r="E11" s="903">
        <v>1100</v>
      </c>
      <c r="F11" s="901">
        <v>1600</v>
      </c>
      <c r="G11" s="901">
        <v>2200</v>
      </c>
      <c r="H11" s="902">
        <v>2400</v>
      </c>
      <c r="J11" s="901">
        <f>+F11*$I$3*O11</f>
        <v>2265.7599999999998</v>
      </c>
      <c r="K11" s="902">
        <f>+F11*$I$3*P11</f>
        <v>2475.2000000000003</v>
      </c>
      <c r="M11" s="1165">
        <f t="shared" si="2"/>
        <v>2.9890909090908982E-2</v>
      </c>
      <c r="N11" s="1164">
        <f t="shared" si="3"/>
        <v>3.1333333333333449E-2</v>
      </c>
      <c r="O11" s="136">
        <v>1.19</v>
      </c>
      <c r="P11" s="136">
        <v>1.3</v>
      </c>
    </row>
    <row r="12" spans="2:16" x14ac:dyDescent="0.35">
      <c r="B12" s="1471" t="s">
        <v>36</v>
      </c>
      <c r="C12" s="1472"/>
      <c r="D12" s="1473"/>
      <c r="E12" s="898"/>
      <c r="F12" s="901">
        <v>69000</v>
      </c>
      <c r="G12" s="901">
        <v>93900</v>
      </c>
      <c r="H12" s="902">
        <v>101700</v>
      </c>
      <c r="J12" s="901">
        <f t="shared" si="0"/>
        <v>96889.799999999988</v>
      </c>
      <c r="K12" s="902">
        <f t="shared" si="1"/>
        <v>104279.7</v>
      </c>
      <c r="M12" s="939">
        <f t="shared" si="2"/>
        <v>3.184025559105419E-2</v>
      </c>
      <c r="N12" s="940">
        <f t="shared" si="3"/>
        <v>2.5365781710914425E-2</v>
      </c>
    </row>
    <row r="13" spans="2:16" ht="15" thickBot="1" x14ac:dyDescent="0.4">
      <c r="B13" s="1477" t="s">
        <v>37</v>
      </c>
      <c r="C13" s="1478"/>
      <c r="D13" s="1479"/>
      <c r="E13" s="19"/>
      <c r="F13" s="285">
        <v>132200</v>
      </c>
      <c r="G13" s="285">
        <v>179800</v>
      </c>
      <c r="H13" s="18">
        <v>194800</v>
      </c>
      <c r="J13" s="285">
        <f t="shared" si="0"/>
        <v>185635.24</v>
      </c>
      <c r="K13" s="18">
        <f t="shared" si="1"/>
        <v>199793.86000000002</v>
      </c>
      <c r="M13" s="941">
        <f t="shared" si="2"/>
        <v>3.2454060066740772E-2</v>
      </c>
      <c r="N13" s="942">
        <f t="shared" si="3"/>
        <v>2.5635831622176669E-2</v>
      </c>
    </row>
    <row r="14" spans="2:16" x14ac:dyDescent="0.35">
      <c r="B14" s="1480" t="s">
        <v>39</v>
      </c>
      <c r="C14" s="1481"/>
      <c r="D14" s="1482"/>
      <c r="E14" s="904"/>
      <c r="F14" s="905">
        <v>6200</v>
      </c>
      <c r="G14" s="905">
        <v>8500</v>
      </c>
      <c r="H14" s="906">
        <v>9200</v>
      </c>
      <c r="J14" s="905">
        <f>+F14*$I$3*O14</f>
        <v>8779.82</v>
      </c>
      <c r="K14" s="906">
        <f>+F14*$I$3*P14</f>
        <v>9443.84</v>
      </c>
      <c r="M14" s="1166">
        <f t="shared" si="2"/>
        <v>3.2919999999999963E-2</v>
      </c>
      <c r="N14" s="1167">
        <f t="shared" si="3"/>
        <v>2.6504347826086971E-2</v>
      </c>
      <c r="O14" s="136">
        <v>1.19</v>
      </c>
      <c r="P14" s="136">
        <v>1.28</v>
      </c>
    </row>
    <row r="15" spans="2:16" ht="15" thickBot="1" x14ac:dyDescent="0.4">
      <c r="B15" s="1477" t="s">
        <v>40</v>
      </c>
      <c r="C15" s="1478"/>
      <c r="D15" s="1479"/>
      <c r="E15" s="19"/>
      <c r="F15" s="907">
        <v>4800</v>
      </c>
      <c r="G15" s="907">
        <v>6500</v>
      </c>
      <c r="H15" s="908">
        <v>7000</v>
      </c>
      <c r="J15" s="907">
        <f>+F15*$I$3*O15</f>
        <v>6683.04</v>
      </c>
      <c r="K15" s="908">
        <f>+F15*$I$3*P15</f>
        <v>7197.12</v>
      </c>
      <c r="M15" s="1168">
        <f t="shared" si="2"/>
        <v>2.8159999999999994E-2</v>
      </c>
      <c r="N15" s="1169">
        <f t="shared" si="3"/>
        <v>2.8159999999999984E-2</v>
      </c>
      <c r="O15" s="136">
        <v>1.17</v>
      </c>
      <c r="P15" s="136">
        <v>1.26</v>
      </c>
    </row>
    <row r="16" spans="2:16" x14ac:dyDescent="0.35">
      <c r="B16" s="1486" t="s">
        <v>42</v>
      </c>
      <c r="C16" s="1487"/>
      <c r="D16" s="1488"/>
      <c r="E16" s="895">
        <v>34600</v>
      </c>
      <c r="F16" s="896">
        <v>53100</v>
      </c>
      <c r="G16" s="896">
        <v>72200</v>
      </c>
      <c r="H16" s="897">
        <v>78200</v>
      </c>
      <c r="J16" s="896">
        <f t="shared" si="0"/>
        <v>74563.01999999999</v>
      </c>
      <c r="K16" s="897">
        <f t="shared" si="1"/>
        <v>80250.03</v>
      </c>
      <c r="M16" s="935">
        <f t="shared" si="2"/>
        <v>3.2728808864265782E-2</v>
      </c>
      <c r="N16" s="936">
        <f t="shared" si="3"/>
        <v>2.6215217391304332E-2</v>
      </c>
    </row>
    <row r="17" spans="2:16" x14ac:dyDescent="0.35">
      <c r="B17" s="1714" t="s">
        <v>43</v>
      </c>
      <c r="C17" s="1715"/>
      <c r="D17" s="1716"/>
      <c r="E17" s="898"/>
      <c r="F17" s="899"/>
      <c r="G17" s="899"/>
      <c r="H17" s="900"/>
      <c r="J17" s="899">
        <f t="shared" si="0"/>
        <v>0</v>
      </c>
      <c r="K17" s="900">
        <f t="shared" si="1"/>
        <v>0</v>
      </c>
      <c r="M17" s="937"/>
      <c r="N17" s="938"/>
    </row>
    <row r="18" spans="2:16" ht="15" thickBot="1" x14ac:dyDescent="0.4">
      <c r="B18" s="1504" t="s">
        <v>31</v>
      </c>
      <c r="C18" s="1505"/>
      <c r="D18" s="1506"/>
      <c r="E18" s="19"/>
      <c r="F18" s="285">
        <v>16000</v>
      </c>
      <c r="G18" s="285">
        <v>21700</v>
      </c>
      <c r="H18" s="18">
        <v>23500</v>
      </c>
      <c r="J18" s="285">
        <f>+F18*$I$3*O18</f>
        <v>22276.799999999999</v>
      </c>
      <c r="K18" s="18">
        <f t="shared" si="1"/>
        <v>24180.799999999999</v>
      </c>
      <c r="M18" s="1168">
        <f t="shared" si="2"/>
        <v>2.658064516129029E-2</v>
      </c>
      <c r="N18" s="942">
        <f t="shared" si="3"/>
        <v>2.8970212765957414E-2</v>
      </c>
      <c r="O18" s="136">
        <v>1.17</v>
      </c>
    </row>
    <row r="19" spans="2:16" x14ac:dyDescent="0.35">
      <c r="B19" s="1480" t="s">
        <v>32</v>
      </c>
      <c r="C19" s="1481"/>
      <c r="D19" s="1482"/>
      <c r="E19" s="895">
        <v>22100</v>
      </c>
      <c r="F19" s="896">
        <v>34000</v>
      </c>
      <c r="G19" s="896">
        <v>46200</v>
      </c>
      <c r="H19" s="897">
        <v>50000</v>
      </c>
      <c r="J19" s="896">
        <f t="shared" si="0"/>
        <v>47742.799999999996</v>
      </c>
      <c r="K19" s="897">
        <f t="shared" si="1"/>
        <v>51384.2</v>
      </c>
      <c r="M19" s="935">
        <f t="shared" si="2"/>
        <v>3.3393939393939302E-2</v>
      </c>
      <c r="N19" s="936">
        <f t="shared" si="3"/>
        <v>2.7683999999999941E-2</v>
      </c>
    </row>
    <row r="20" spans="2:16" x14ac:dyDescent="0.35">
      <c r="B20" s="1471" t="s">
        <v>45</v>
      </c>
      <c r="C20" s="1472"/>
      <c r="D20" s="1473"/>
      <c r="E20" s="903">
        <v>4500</v>
      </c>
      <c r="F20" s="901">
        <v>6900</v>
      </c>
      <c r="G20" s="901">
        <v>9300</v>
      </c>
      <c r="H20" s="902">
        <v>10100</v>
      </c>
      <c r="J20" s="901">
        <f>+F20*$I$3*O20</f>
        <v>9606.869999999999</v>
      </c>
      <c r="K20" s="902">
        <f t="shared" si="1"/>
        <v>10427.969999999999</v>
      </c>
      <c r="M20" s="1165">
        <f t="shared" si="2"/>
        <v>3.2996774193548274E-2</v>
      </c>
      <c r="N20" s="940">
        <f t="shared" si="3"/>
        <v>3.247227722772271E-2</v>
      </c>
      <c r="O20" s="136">
        <v>1.17</v>
      </c>
    </row>
    <row r="21" spans="2:16" x14ac:dyDescent="0.35">
      <c r="B21" s="1726" t="s">
        <v>34</v>
      </c>
      <c r="C21" s="1727"/>
      <c r="D21" s="1728"/>
      <c r="E21" s="917">
        <v>9700</v>
      </c>
      <c r="F21" s="1127">
        <v>14900</v>
      </c>
      <c r="G21" s="918">
        <v>21300</v>
      </c>
      <c r="H21" s="919">
        <v>23100</v>
      </c>
      <c r="J21" s="901">
        <f>+F21*$I$3*O21</f>
        <v>21986.44</v>
      </c>
      <c r="K21" s="902">
        <f>+F21*$I$3*P21</f>
        <v>23759.54</v>
      </c>
      <c r="M21" s="1165">
        <f t="shared" si="2"/>
        <v>3.2227230046948295E-2</v>
      </c>
      <c r="N21" s="1164">
        <f t="shared" si="3"/>
        <v>2.8551515151515189E-2</v>
      </c>
      <c r="O21" s="136">
        <v>1.24</v>
      </c>
      <c r="P21" s="136">
        <v>1.34</v>
      </c>
    </row>
    <row r="22" spans="2:16" x14ac:dyDescent="0.35">
      <c r="B22" s="1471" t="s">
        <v>46</v>
      </c>
      <c r="C22" s="1472"/>
      <c r="D22" s="1473"/>
      <c r="E22" s="903">
        <v>1200</v>
      </c>
      <c r="F22" s="901">
        <v>1800</v>
      </c>
      <c r="G22" s="901">
        <v>2500</v>
      </c>
      <c r="H22" s="902">
        <v>2700</v>
      </c>
      <c r="J22" s="901">
        <f>+F22*$I$3*O22</f>
        <v>2570.4</v>
      </c>
      <c r="K22" s="902">
        <f>+F22*$I$3*P22</f>
        <v>2784.6</v>
      </c>
      <c r="M22" s="1165">
        <f t="shared" si="2"/>
        <v>2.8160000000000036E-2</v>
      </c>
      <c r="N22" s="1164">
        <f t="shared" si="3"/>
        <v>3.1333333333333296E-2</v>
      </c>
      <c r="O22" s="136">
        <v>1.2</v>
      </c>
      <c r="P22" s="136">
        <v>1.3</v>
      </c>
    </row>
    <row r="23" spans="2:16" x14ac:dyDescent="0.35">
      <c r="B23" s="1471" t="s">
        <v>47</v>
      </c>
      <c r="C23" s="1472"/>
      <c r="D23" s="1473"/>
      <c r="E23" s="898"/>
      <c r="F23" s="901">
        <v>49700</v>
      </c>
      <c r="G23" s="901">
        <v>67600</v>
      </c>
      <c r="H23" s="902">
        <v>73200</v>
      </c>
      <c r="J23" s="901">
        <f t="shared" si="0"/>
        <v>69788.739999999991</v>
      </c>
      <c r="K23" s="902">
        <f t="shared" si="1"/>
        <v>75111.61</v>
      </c>
      <c r="M23" s="939">
        <f t="shared" si="2"/>
        <v>3.2377810650887434E-2</v>
      </c>
      <c r="N23" s="940">
        <f t="shared" si="3"/>
        <v>2.6114890710382522E-2</v>
      </c>
    </row>
    <row r="24" spans="2:16" x14ac:dyDescent="0.35">
      <c r="B24" s="1471" t="s">
        <v>48</v>
      </c>
      <c r="C24" s="1472"/>
      <c r="D24" s="1473"/>
      <c r="E24" s="898"/>
      <c r="F24" s="901">
        <v>2300</v>
      </c>
      <c r="G24" s="901">
        <v>3000</v>
      </c>
      <c r="H24" s="902">
        <v>3300</v>
      </c>
      <c r="J24" s="901">
        <f>+F24*$I$3*O24</f>
        <v>3092.8099999999995</v>
      </c>
      <c r="K24" s="902">
        <f>+F24*$I$3*P24</f>
        <v>3393.88</v>
      </c>
      <c r="M24" s="1165">
        <f t="shared" si="2"/>
        <v>3.0936666666666498E-2</v>
      </c>
      <c r="N24" s="1164">
        <f t="shared" si="3"/>
        <v>2.8448484848484883E-2</v>
      </c>
      <c r="O24" s="136">
        <v>1.1299999999999999</v>
      </c>
      <c r="P24" s="136">
        <v>1.24</v>
      </c>
    </row>
    <row r="25" spans="2:16" x14ac:dyDescent="0.35">
      <c r="B25" s="1471" t="s">
        <v>49</v>
      </c>
      <c r="C25" s="1472"/>
      <c r="D25" s="1473"/>
      <c r="E25" s="898"/>
      <c r="F25" s="901">
        <v>96200</v>
      </c>
      <c r="G25" s="901">
        <v>130900</v>
      </c>
      <c r="H25" s="902">
        <v>141800</v>
      </c>
      <c r="J25" s="901">
        <f t="shared" si="0"/>
        <v>135084.03999999998</v>
      </c>
      <c r="K25" s="902">
        <f t="shared" si="1"/>
        <v>145387.06</v>
      </c>
      <c r="M25" s="939">
        <f t="shared" si="2"/>
        <v>3.1963636363636201E-2</v>
      </c>
      <c r="N25" s="940">
        <f t="shared" si="3"/>
        <v>2.5296614950634681E-2</v>
      </c>
    </row>
    <row r="26" spans="2:16" x14ac:dyDescent="0.35">
      <c r="B26" s="1471" t="s">
        <v>50</v>
      </c>
      <c r="C26" s="1472"/>
      <c r="D26" s="1473"/>
      <c r="E26" s="898"/>
      <c r="F26" s="901">
        <v>3900</v>
      </c>
      <c r="G26" s="901">
        <v>5300</v>
      </c>
      <c r="H26" s="902">
        <v>5800</v>
      </c>
      <c r="J26" s="901">
        <f t="shared" si="0"/>
        <v>5476.38</v>
      </c>
      <c r="K26" s="902">
        <f>+F26*$I$3*P26</f>
        <v>5986.89</v>
      </c>
      <c r="M26" s="939">
        <f t="shared" si="2"/>
        <v>3.3279245283018885E-2</v>
      </c>
      <c r="N26" s="1164">
        <f t="shared" si="3"/>
        <v>3.2222413793103505E-2</v>
      </c>
      <c r="P26" s="136">
        <v>1.29</v>
      </c>
    </row>
    <row r="27" spans="2:16" x14ac:dyDescent="0.35">
      <c r="B27" s="1471" t="s">
        <v>36</v>
      </c>
      <c r="C27" s="1472"/>
      <c r="D27" s="1473"/>
      <c r="E27" s="898"/>
      <c r="F27" s="901">
        <v>128900</v>
      </c>
      <c r="G27" s="901">
        <v>175300</v>
      </c>
      <c r="H27" s="902">
        <v>189900</v>
      </c>
      <c r="J27" s="901">
        <f t="shared" si="0"/>
        <v>181001.38</v>
      </c>
      <c r="K27" s="902">
        <f t="shared" si="1"/>
        <v>194806.57</v>
      </c>
      <c r="M27" s="939">
        <f t="shared" si="2"/>
        <v>3.2523559612093578E-2</v>
      </c>
      <c r="N27" s="940">
        <f t="shared" si="3"/>
        <v>2.5837651395471336E-2</v>
      </c>
    </row>
    <row r="28" spans="2:16" x14ac:dyDescent="0.35">
      <c r="B28" s="1471" t="s">
        <v>37</v>
      </c>
      <c r="C28" s="1472"/>
      <c r="D28" s="1473"/>
      <c r="E28" s="898"/>
      <c r="F28" s="901">
        <v>232900</v>
      </c>
      <c r="G28" s="901">
        <v>316800</v>
      </c>
      <c r="H28" s="902">
        <v>343200</v>
      </c>
      <c r="J28" s="901">
        <f t="shared" si="0"/>
        <v>327038.18</v>
      </c>
      <c r="K28" s="902">
        <f t="shared" si="1"/>
        <v>351981.77</v>
      </c>
      <c r="M28" s="939">
        <f t="shared" si="2"/>
        <v>3.2317487373737352E-2</v>
      </c>
      <c r="N28" s="940">
        <f t="shared" si="3"/>
        <v>2.5587907925407979E-2</v>
      </c>
    </row>
    <row r="29" spans="2:16" x14ac:dyDescent="0.35">
      <c r="B29" s="1471" t="s">
        <v>51</v>
      </c>
      <c r="C29" s="1472"/>
      <c r="D29" s="1473"/>
      <c r="E29" s="898"/>
      <c r="F29" s="901">
        <v>150300</v>
      </c>
      <c r="G29" s="901">
        <v>204400</v>
      </c>
      <c r="H29" s="902">
        <v>221400</v>
      </c>
      <c r="J29" s="901">
        <f t="shared" si="0"/>
        <v>211051.25999999998</v>
      </c>
      <c r="K29" s="902">
        <f t="shared" si="1"/>
        <v>227148.39</v>
      </c>
      <c r="M29" s="939">
        <f t="shared" si="2"/>
        <v>3.2540410958904011E-2</v>
      </c>
      <c r="N29" s="940">
        <f t="shared" si="3"/>
        <v>2.5963821138211444E-2</v>
      </c>
    </row>
    <row r="30" spans="2:16" x14ac:dyDescent="0.35">
      <c r="B30" s="1471" t="s">
        <v>52</v>
      </c>
      <c r="C30" s="1472"/>
      <c r="D30" s="1473"/>
      <c r="E30" s="898"/>
      <c r="F30" s="901">
        <v>8200</v>
      </c>
      <c r="G30" s="901">
        <v>11200</v>
      </c>
      <c r="H30" s="902">
        <v>12100</v>
      </c>
      <c r="J30" s="901">
        <f t="shared" si="0"/>
        <v>11514.439999999999</v>
      </c>
      <c r="K30" s="902">
        <f>+F30*$I$3*P30</f>
        <v>12490.24</v>
      </c>
      <c r="M30" s="939">
        <f t="shared" si="2"/>
        <v>2.8074999999999885E-2</v>
      </c>
      <c r="N30" s="1164">
        <f t="shared" si="3"/>
        <v>3.2251239669421471E-2</v>
      </c>
      <c r="P30" s="136">
        <v>1.28</v>
      </c>
    </row>
    <row r="31" spans="2:16" x14ac:dyDescent="0.35">
      <c r="B31" s="1471" t="s">
        <v>53</v>
      </c>
      <c r="C31" s="1472"/>
      <c r="D31" s="1473"/>
      <c r="E31" s="898"/>
      <c r="F31" s="901">
        <v>252700</v>
      </c>
      <c r="G31" s="901">
        <v>343600</v>
      </c>
      <c r="H31" s="902">
        <v>372300</v>
      </c>
      <c r="J31" s="901">
        <f t="shared" si="0"/>
        <v>354841.33999999997</v>
      </c>
      <c r="K31" s="902">
        <f t="shared" si="1"/>
        <v>381905.51</v>
      </c>
      <c r="M31" s="939">
        <f t="shared" si="2"/>
        <v>3.2716356228172198E-2</v>
      </c>
      <c r="N31" s="940">
        <f t="shared" si="3"/>
        <v>2.5800456621004591E-2</v>
      </c>
    </row>
    <row r="32" spans="2:16" x14ac:dyDescent="0.35">
      <c r="B32" s="1471" t="s">
        <v>54</v>
      </c>
      <c r="C32" s="1472"/>
      <c r="D32" s="1473"/>
      <c r="E32" s="898"/>
      <c r="F32" s="901">
        <v>9700</v>
      </c>
      <c r="G32" s="901">
        <v>13200</v>
      </c>
      <c r="H32" s="902">
        <v>14300</v>
      </c>
      <c r="J32" s="901">
        <f t="shared" si="0"/>
        <v>13620.74</v>
      </c>
      <c r="K32" s="902">
        <f t="shared" si="1"/>
        <v>14659.61</v>
      </c>
      <c r="M32" s="939">
        <f t="shared" si="2"/>
        <v>3.1874242424242409E-2</v>
      </c>
      <c r="N32" s="940">
        <f t="shared" si="3"/>
        <v>2.5147552447552488E-2</v>
      </c>
    </row>
    <row r="33" spans="2:16" x14ac:dyDescent="0.35">
      <c r="B33" s="1471" t="s">
        <v>55</v>
      </c>
      <c r="C33" s="1472"/>
      <c r="D33" s="1473"/>
      <c r="E33" s="903">
        <v>23300</v>
      </c>
      <c r="F33" s="901">
        <v>35700</v>
      </c>
      <c r="G33" s="901">
        <v>48600</v>
      </c>
      <c r="H33" s="902">
        <v>52600</v>
      </c>
      <c r="J33" s="901">
        <f t="shared" si="0"/>
        <v>50129.939999999995</v>
      </c>
      <c r="K33" s="902">
        <f t="shared" si="1"/>
        <v>53953.41</v>
      </c>
      <c r="M33" s="939">
        <f t="shared" si="2"/>
        <v>3.1480246913580145E-2</v>
      </c>
      <c r="N33" s="940">
        <f t="shared" si="3"/>
        <v>2.5730228136882197E-2</v>
      </c>
    </row>
    <row r="34" spans="2:16" ht="15" thickBot="1" x14ac:dyDescent="0.4">
      <c r="B34" s="1477" t="s">
        <v>56</v>
      </c>
      <c r="C34" s="1478"/>
      <c r="D34" s="1479"/>
      <c r="E34" s="20">
        <v>30800</v>
      </c>
      <c r="F34" s="285">
        <v>47300</v>
      </c>
      <c r="G34" s="285">
        <v>64300</v>
      </c>
      <c r="H34" s="18">
        <v>69700</v>
      </c>
      <c r="J34" s="285">
        <f t="shared" si="0"/>
        <v>66418.66</v>
      </c>
      <c r="K34" s="18">
        <f t="shared" si="1"/>
        <v>71484.490000000005</v>
      </c>
      <c r="M34" s="941">
        <f t="shared" si="2"/>
        <v>3.2949611197511719E-2</v>
      </c>
      <c r="N34" s="942">
        <f t="shared" si="3"/>
        <v>2.5602439024390321E-2</v>
      </c>
    </row>
    <row r="35" spans="2:16" x14ac:dyDescent="0.35">
      <c r="B35" s="1480" t="s">
        <v>39</v>
      </c>
      <c r="C35" s="1481"/>
      <c r="D35" s="1482"/>
      <c r="E35" s="904"/>
      <c r="F35" s="896">
        <v>6200</v>
      </c>
      <c r="G35" s="896">
        <v>8500</v>
      </c>
      <c r="H35" s="897">
        <v>9200</v>
      </c>
      <c r="J35" s="896">
        <f>+F35*$I$3*O35</f>
        <v>8779.82</v>
      </c>
      <c r="K35" s="897">
        <f>+F35*$I$3*P35</f>
        <v>9443.84</v>
      </c>
      <c r="M35" s="1166">
        <f t="shared" si="2"/>
        <v>3.2919999999999963E-2</v>
      </c>
      <c r="N35" s="1167">
        <f t="shared" si="3"/>
        <v>2.6504347826086971E-2</v>
      </c>
      <c r="O35" s="136">
        <v>1.19</v>
      </c>
      <c r="P35" s="136">
        <v>1.28</v>
      </c>
    </row>
    <row r="36" spans="2:16" ht="15" thickBot="1" x14ac:dyDescent="0.4">
      <c r="B36" s="1477" t="s">
        <v>58</v>
      </c>
      <c r="C36" s="1478"/>
      <c r="D36" s="1479"/>
      <c r="E36" s="19"/>
      <c r="F36" s="285">
        <v>4800</v>
      </c>
      <c r="G36" s="285">
        <v>6500</v>
      </c>
      <c r="H36" s="18">
        <v>7000</v>
      </c>
      <c r="J36" s="285">
        <f>+F36*$I$3*O36</f>
        <v>6683.04</v>
      </c>
      <c r="K36" s="18">
        <f>+F36*$I$3*P36</f>
        <v>7197.12</v>
      </c>
      <c r="M36" s="1168">
        <f t="shared" si="2"/>
        <v>2.8159999999999994E-2</v>
      </c>
      <c r="N36" s="1169">
        <f t="shared" si="3"/>
        <v>2.8159999999999984E-2</v>
      </c>
      <c r="O36" s="136">
        <v>1.17</v>
      </c>
      <c r="P36" s="136">
        <v>1.26</v>
      </c>
    </row>
    <row r="37" spans="2:16" x14ac:dyDescent="0.35">
      <c r="B37" s="1480" t="s">
        <v>39</v>
      </c>
      <c r="C37" s="1481"/>
      <c r="D37" s="1482"/>
      <c r="E37" s="21"/>
      <c r="F37" s="909">
        <v>5900</v>
      </c>
      <c r="G37" s="909">
        <v>8000</v>
      </c>
      <c r="H37" s="910">
        <v>8700</v>
      </c>
      <c r="J37" s="909">
        <f>+F37*$I$3*O37</f>
        <v>8214.57</v>
      </c>
      <c r="K37" s="910">
        <f>+F37*$I$3*P37</f>
        <v>8986.880000000001</v>
      </c>
      <c r="M37" s="1174">
        <f t="shared" si="2"/>
        <v>2.6821249999999963E-2</v>
      </c>
      <c r="N37" s="1170">
        <f t="shared" si="3"/>
        <v>3.2974712643678281E-2</v>
      </c>
      <c r="O37" s="136">
        <v>1.17</v>
      </c>
      <c r="P37" s="136">
        <v>1.28</v>
      </c>
    </row>
    <row r="38" spans="2:16" ht="15" thickBot="1" x14ac:dyDescent="0.4">
      <c r="B38" s="1477" t="s">
        <v>58</v>
      </c>
      <c r="C38" s="1478"/>
      <c r="D38" s="1479"/>
      <c r="E38" s="911"/>
      <c r="F38" s="901">
        <v>4700</v>
      </c>
      <c r="G38" s="901">
        <v>6300</v>
      </c>
      <c r="H38" s="902">
        <v>6900</v>
      </c>
      <c r="J38" s="901">
        <f>+F38*$I$3*O38</f>
        <v>6487.8799999999992</v>
      </c>
      <c r="K38" s="902">
        <f t="shared" si="1"/>
        <v>7103.11</v>
      </c>
      <c r="M38" s="1165">
        <f t="shared" si="2"/>
        <v>2.9822222222222094E-2</v>
      </c>
      <c r="N38" s="940">
        <f t="shared" si="3"/>
        <v>2.9436231884057924E-2</v>
      </c>
      <c r="O38" s="136">
        <v>1.1599999999999999</v>
      </c>
    </row>
    <row r="39" spans="2:16" x14ac:dyDescent="0.35">
      <c r="B39" s="1486" t="s">
        <v>61</v>
      </c>
      <c r="C39" s="1487"/>
      <c r="D39" s="1488"/>
      <c r="E39" s="895">
        <v>41300</v>
      </c>
      <c r="F39" s="896">
        <v>63500</v>
      </c>
      <c r="G39" s="896">
        <v>86300</v>
      </c>
      <c r="H39" s="897">
        <v>93500</v>
      </c>
      <c r="J39" s="896">
        <f t="shared" si="0"/>
        <v>89166.7</v>
      </c>
      <c r="K39" s="897">
        <f t="shared" si="1"/>
        <v>95967.55</v>
      </c>
      <c r="M39" s="935">
        <f t="shared" si="2"/>
        <v>3.3217844727694054E-2</v>
      </c>
      <c r="N39" s="936">
        <f t="shared" si="3"/>
        <v>2.6390909090909121E-2</v>
      </c>
    </row>
    <row r="40" spans="2:16" x14ac:dyDescent="0.35">
      <c r="B40" s="1714" t="s">
        <v>43</v>
      </c>
      <c r="C40" s="1715"/>
      <c r="D40" s="1716"/>
      <c r="E40" s="898"/>
      <c r="F40" s="899"/>
      <c r="G40" s="899"/>
      <c r="H40" s="900"/>
      <c r="J40" s="899">
        <f t="shared" si="0"/>
        <v>0</v>
      </c>
      <c r="K40" s="900">
        <f t="shared" si="1"/>
        <v>0</v>
      </c>
      <c r="M40" s="937"/>
      <c r="N40" s="938"/>
    </row>
    <row r="41" spans="2:16" ht="15" thickBot="1" x14ac:dyDescent="0.4">
      <c r="B41" s="1507" t="s">
        <v>61</v>
      </c>
      <c r="C41" s="1508"/>
      <c r="D41" s="1509"/>
      <c r="E41" s="911"/>
      <c r="F41" s="912">
        <v>19100</v>
      </c>
      <c r="G41" s="912">
        <v>25900</v>
      </c>
      <c r="H41" s="913">
        <v>28100</v>
      </c>
      <c r="J41" s="912">
        <f>+F41*$I$3*O41</f>
        <v>26592.929999999997</v>
      </c>
      <c r="K41" s="913">
        <f t="shared" si="1"/>
        <v>28865.83</v>
      </c>
      <c r="M41" s="1171">
        <f t="shared" si="2"/>
        <v>2.6754054054053924E-2</v>
      </c>
      <c r="N41" s="943">
        <f t="shared" si="3"/>
        <v>2.7253736654804333E-2</v>
      </c>
      <c r="O41" s="136">
        <v>1.17</v>
      </c>
    </row>
    <row r="42" spans="2:16" x14ac:dyDescent="0.35">
      <c r="B42" s="1717" t="s">
        <v>63</v>
      </c>
      <c r="C42" s="1718"/>
      <c r="D42" s="1719"/>
      <c r="E42" s="914">
        <v>25700</v>
      </c>
      <c r="F42" s="915">
        <v>39500</v>
      </c>
      <c r="G42" s="915">
        <v>53700</v>
      </c>
      <c r="H42" s="916">
        <v>58200</v>
      </c>
      <c r="J42" s="915">
        <f t="shared" si="0"/>
        <v>55465.899999999994</v>
      </c>
      <c r="K42" s="916">
        <f t="shared" si="1"/>
        <v>59696.35</v>
      </c>
      <c r="M42" s="944">
        <f t="shared" si="2"/>
        <v>3.2884543761638622E-2</v>
      </c>
      <c r="N42" s="945">
        <f t="shared" si="3"/>
        <v>2.5710481099656332E-2</v>
      </c>
    </row>
    <row r="43" spans="2:16" x14ac:dyDescent="0.35">
      <c r="B43" s="1710" t="s">
        <v>64</v>
      </c>
      <c r="C43" s="1711"/>
      <c r="D43" s="1712"/>
      <c r="E43" s="917">
        <v>32800</v>
      </c>
      <c r="F43" s="918">
        <v>50400</v>
      </c>
      <c r="G43" s="918">
        <v>68600</v>
      </c>
      <c r="H43" s="919">
        <v>74300</v>
      </c>
      <c r="J43" s="918">
        <f t="shared" si="0"/>
        <v>70771.679999999993</v>
      </c>
      <c r="K43" s="919">
        <f t="shared" si="1"/>
        <v>76169.52</v>
      </c>
      <c r="M43" s="946">
        <f t="shared" si="2"/>
        <v>3.1657142857142759E-2</v>
      </c>
      <c r="N43" s="947">
        <f t="shared" si="3"/>
        <v>2.5161776581426702E-2</v>
      </c>
    </row>
    <row r="44" spans="2:16" x14ac:dyDescent="0.35">
      <c r="B44" s="1710" t="s">
        <v>65</v>
      </c>
      <c r="C44" s="1711"/>
      <c r="D44" s="1712"/>
      <c r="E44" s="917">
        <v>32800</v>
      </c>
      <c r="F44" s="918">
        <v>50400</v>
      </c>
      <c r="G44" s="918">
        <v>68600</v>
      </c>
      <c r="H44" s="919">
        <v>74300</v>
      </c>
      <c r="J44" s="918">
        <f t="shared" si="0"/>
        <v>70771.679999999993</v>
      </c>
      <c r="K44" s="919">
        <f t="shared" si="1"/>
        <v>76169.52</v>
      </c>
      <c r="M44" s="946">
        <f t="shared" si="2"/>
        <v>3.1657142857142759E-2</v>
      </c>
      <c r="N44" s="947">
        <f t="shared" si="3"/>
        <v>2.5161776581426702E-2</v>
      </c>
    </row>
    <row r="45" spans="2:16" x14ac:dyDescent="0.35">
      <c r="B45" s="1710" t="s">
        <v>66</v>
      </c>
      <c r="C45" s="1711"/>
      <c r="D45" s="1712"/>
      <c r="E45" s="917">
        <v>48900</v>
      </c>
      <c r="F45" s="918">
        <v>75100</v>
      </c>
      <c r="G45" s="918">
        <v>102200</v>
      </c>
      <c r="H45" s="919">
        <v>110700</v>
      </c>
      <c r="J45" s="918">
        <f t="shared" si="0"/>
        <v>105455.42</v>
      </c>
      <c r="K45" s="919">
        <f t="shared" si="1"/>
        <v>113498.63</v>
      </c>
      <c r="M45" s="946">
        <f t="shared" si="2"/>
        <v>3.1853424657534227E-2</v>
      </c>
      <c r="N45" s="947">
        <f t="shared" si="3"/>
        <v>2.5281210478771497E-2</v>
      </c>
    </row>
    <row r="46" spans="2:16" x14ac:dyDescent="0.35">
      <c r="B46" s="1710" t="s">
        <v>67</v>
      </c>
      <c r="C46" s="1711"/>
      <c r="D46" s="1712"/>
      <c r="E46" s="917">
        <v>38300</v>
      </c>
      <c r="F46" s="918">
        <v>58800</v>
      </c>
      <c r="G46" s="918">
        <v>80000</v>
      </c>
      <c r="H46" s="919">
        <v>86700</v>
      </c>
      <c r="J46" s="918">
        <f t="shared" si="0"/>
        <v>82566.959999999992</v>
      </c>
      <c r="K46" s="919">
        <f>+F46*$I$3*P46</f>
        <v>89564.160000000003</v>
      </c>
      <c r="M46" s="946">
        <f t="shared" si="2"/>
        <v>3.20869999999999E-2</v>
      </c>
      <c r="N46" s="1164">
        <f t="shared" si="3"/>
        <v>3.30352941176471E-2</v>
      </c>
      <c r="P46" s="136">
        <v>1.28</v>
      </c>
    </row>
    <row r="47" spans="2:16" x14ac:dyDescent="0.35">
      <c r="B47" s="1710" t="s">
        <v>68</v>
      </c>
      <c r="C47" s="1711"/>
      <c r="D47" s="1712"/>
      <c r="E47" s="917">
        <v>10400</v>
      </c>
      <c r="F47" s="918">
        <v>16000</v>
      </c>
      <c r="G47" s="918">
        <v>21800</v>
      </c>
      <c r="H47" s="919">
        <v>23600</v>
      </c>
      <c r="J47" s="918">
        <f t="shared" si="0"/>
        <v>22467.199999999997</v>
      </c>
      <c r="K47" s="919">
        <f>+F47*$I$3*P47</f>
        <v>24371.200000000001</v>
      </c>
      <c r="M47" s="946">
        <f t="shared" si="2"/>
        <v>3.060550458715583E-2</v>
      </c>
      <c r="N47" s="1164">
        <f t="shared" si="3"/>
        <v>3.2677966101694947E-2</v>
      </c>
      <c r="P47" s="136">
        <v>1.28</v>
      </c>
    </row>
    <row r="48" spans="2:16" x14ac:dyDescent="0.35">
      <c r="B48" s="1713" t="s">
        <v>30</v>
      </c>
      <c r="C48" s="1711"/>
      <c r="D48" s="1712"/>
      <c r="E48" s="920"/>
      <c r="F48" s="921"/>
      <c r="G48" s="921"/>
      <c r="H48" s="922"/>
      <c r="J48" s="921">
        <f t="shared" si="0"/>
        <v>0</v>
      </c>
      <c r="K48" s="922">
        <f t="shared" si="1"/>
        <v>0</v>
      </c>
      <c r="M48" s="948"/>
      <c r="N48" s="949"/>
    </row>
    <row r="49" spans="2:16" x14ac:dyDescent="0.35">
      <c r="B49" s="1710" t="s">
        <v>63</v>
      </c>
      <c r="C49" s="1711"/>
      <c r="D49" s="1712"/>
      <c r="E49" s="920"/>
      <c r="F49" s="918">
        <v>11900</v>
      </c>
      <c r="G49" s="918">
        <v>16200</v>
      </c>
      <c r="H49" s="919">
        <v>17500</v>
      </c>
      <c r="J49" s="918">
        <f t="shared" si="0"/>
        <v>16709.98</v>
      </c>
      <c r="K49" s="919">
        <f t="shared" si="1"/>
        <v>17984.47</v>
      </c>
      <c r="M49" s="946">
        <f t="shared" si="2"/>
        <v>3.1480246913580222E-2</v>
      </c>
      <c r="N49" s="947">
        <f t="shared" si="3"/>
        <v>2.7684000000000066E-2</v>
      </c>
    </row>
    <row r="50" spans="2:16" x14ac:dyDescent="0.35">
      <c r="B50" s="1710" t="s">
        <v>69</v>
      </c>
      <c r="C50" s="1711"/>
      <c r="D50" s="1712"/>
      <c r="E50" s="920"/>
      <c r="F50" s="918">
        <v>15200</v>
      </c>
      <c r="G50" s="918">
        <v>20600</v>
      </c>
      <c r="H50" s="919">
        <v>22300</v>
      </c>
      <c r="J50" s="918">
        <f>+F50*$I$3*O50</f>
        <v>21162.959999999999</v>
      </c>
      <c r="K50" s="919">
        <f t="shared" si="1"/>
        <v>22971.760000000002</v>
      </c>
      <c r="M50" s="1165">
        <f t="shared" si="2"/>
        <v>2.7328155339805784E-2</v>
      </c>
      <c r="N50" s="947">
        <f t="shared" si="3"/>
        <v>3.012376681614359E-2</v>
      </c>
      <c r="O50" s="136">
        <v>1.17</v>
      </c>
    </row>
    <row r="51" spans="2:16" x14ac:dyDescent="0.35">
      <c r="B51" s="1710" t="s">
        <v>65</v>
      </c>
      <c r="C51" s="1711"/>
      <c r="D51" s="1712"/>
      <c r="E51" s="920"/>
      <c r="F51" s="918">
        <v>15200</v>
      </c>
      <c r="G51" s="918">
        <v>20600</v>
      </c>
      <c r="H51" s="919">
        <v>22300</v>
      </c>
      <c r="J51" s="918">
        <f>+F51*$I$3*O51</f>
        <v>21162.959999999999</v>
      </c>
      <c r="K51" s="919">
        <f t="shared" si="1"/>
        <v>22971.760000000002</v>
      </c>
      <c r="M51" s="1165">
        <f t="shared" si="2"/>
        <v>2.7328155339805784E-2</v>
      </c>
      <c r="N51" s="947">
        <f t="shared" si="3"/>
        <v>3.012376681614359E-2</v>
      </c>
      <c r="O51" s="136">
        <v>1.17</v>
      </c>
    </row>
    <row r="52" spans="2:16" x14ac:dyDescent="0.35">
      <c r="B52" s="1710" t="s">
        <v>70</v>
      </c>
      <c r="C52" s="1711"/>
      <c r="D52" s="1712"/>
      <c r="E52" s="920"/>
      <c r="F52" s="918">
        <v>22600</v>
      </c>
      <c r="G52" s="918">
        <v>30700</v>
      </c>
      <c r="H52" s="919">
        <v>33300</v>
      </c>
      <c r="J52" s="918">
        <f t="shared" si="0"/>
        <v>31734.92</v>
      </c>
      <c r="K52" s="919">
        <f t="shared" ref="K52:K58" si="4">+F52*$I$3*P52</f>
        <v>34424.32</v>
      </c>
      <c r="M52" s="946">
        <f t="shared" si="2"/>
        <v>3.3710749185667695E-2</v>
      </c>
      <c r="N52" s="1164">
        <f t="shared" si="3"/>
        <v>3.3763363363363358E-2</v>
      </c>
      <c r="P52" s="136">
        <v>1.28</v>
      </c>
    </row>
    <row r="53" spans="2:16" ht="15" thickBot="1" x14ac:dyDescent="0.4">
      <c r="B53" s="1710" t="s">
        <v>67</v>
      </c>
      <c r="C53" s="1711"/>
      <c r="D53" s="1712"/>
      <c r="E53" s="923"/>
      <c r="F53" s="924">
        <v>17700</v>
      </c>
      <c r="G53" s="924">
        <v>24000</v>
      </c>
      <c r="H53" s="925">
        <v>26100</v>
      </c>
      <c r="J53" s="951">
        <f t="shared" ref="J53:J58" si="5">+F53*$I$3*O53</f>
        <v>24643.71</v>
      </c>
      <c r="K53" s="952">
        <f t="shared" si="4"/>
        <v>26960.639999999999</v>
      </c>
      <c r="M53" s="1168">
        <f t="shared" si="2"/>
        <v>2.6821249999999963E-2</v>
      </c>
      <c r="N53" s="1169">
        <f t="shared" si="3"/>
        <v>3.2974712643678142E-2</v>
      </c>
      <c r="O53" s="136">
        <v>1.17</v>
      </c>
      <c r="P53" s="136">
        <v>1.28</v>
      </c>
    </row>
    <row r="54" spans="2:16" x14ac:dyDescent="0.35">
      <c r="B54" s="1723" t="s">
        <v>63</v>
      </c>
      <c r="C54" s="1724"/>
      <c r="D54" s="1725"/>
      <c r="E54" s="926">
        <v>35100</v>
      </c>
      <c r="F54" s="927">
        <v>54000</v>
      </c>
      <c r="G54" s="927">
        <v>67300</v>
      </c>
      <c r="H54" s="928">
        <v>73400</v>
      </c>
      <c r="J54" s="1175">
        <f t="shared" si="5"/>
        <v>69400.800000000003</v>
      </c>
      <c r="K54" s="1175">
        <f t="shared" si="4"/>
        <v>75826.8</v>
      </c>
      <c r="M54" s="1166">
        <f t="shared" si="2"/>
        <v>3.1215453194650862E-2</v>
      </c>
      <c r="N54" s="1167">
        <f t="shared" si="3"/>
        <v>3.3062670299727558E-2</v>
      </c>
      <c r="O54" s="136">
        <v>1.08</v>
      </c>
      <c r="P54" s="136">
        <v>1.18</v>
      </c>
    </row>
    <row r="55" spans="2:16" x14ac:dyDescent="0.35">
      <c r="B55" s="1704" t="s">
        <v>64</v>
      </c>
      <c r="C55" s="1705"/>
      <c r="D55" s="1706"/>
      <c r="E55" s="929">
        <v>43100</v>
      </c>
      <c r="F55" s="930">
        <v>66200</v>
      </c>
      <c r="G55" s="930">
        <v>82500</v>
      </c>
      <c r="H55" s="931">
        <v>90000</v>
      </c>
      <c r="J55" s="1175">
        <f t="shared" si="5"/>
        <v>85080.24</v>
      </c>
      <c r="K55" s="1175">
        <f t="shared" si="4"/>
        <v>92958.04</v>
      </c>
      <c r="M55" s="1165">
        <f>(J55-G55)/G55</f>
        <v>3.1275636363636429E-2</v>
      </c>
      <c r="N55" s="1164">
        <f t="shared" si="3"/>
        <v>3.2867111111111041E-2</v>
      </c>
      <c r="O55" s="136">
        <v>1.08</v>
      </c>
      <c r="P55" s="136">
        <v>1.18</v>
      </c>
    </row>
    <row r="56" spans="2:16" x14ac:dyDescent="0.35">
      <c r="B56" s="1704" t="s">
        <v>65</v>
      </c>
      <c r="C56" s="1705"/>
      <c r="D56" s="1706"/>
      <c r="E56" s="929">
        <v>42500</v>
      </c>
      <c r="F56" s="930">
        <v>65300</v>
      </c>
      <c r="G56" s="930">
        <v>81300</v>
      </c>
      <c r="H56" s="931">
        <v>88700</v>
      </c>
      <c r="J56" s="1175">
        <f t="shared" si="5"/>
        <v>83923.560000000012</v>
      </c>
      <c r="K56" s="1175">
        <f t="shared" si="4"/>
        <v>91694.26</v>
      </c>
      <c r="M56" s="1165">
        <f t="shared" si="2"/>
        <v>3.2270110701107163E-2</v>
      </c>
      <c r="N56" s="1164">
        <f t="shared" si="3"/>
        <v>3.375715896279588E-2</v>
      </c>
      <c r="O56" s="136">
        <v>1.08</v>
      </c>
      <c r="P56" s="136">
        <v>1.18</v>
      </c>
    </row>
    <row r="57" spans="2:16" x14ac:dyDescent="0.35">
      <c r="B57" s="1704" t="s">
        <v>67</v>
      </c>
      <c r="C57" s="1705"/>
      <c r="D57" s="1706"/>
      <c r="E57" s="929">
        <v>56400</v>
      </c>
      <c r="F57" s="930">
        <v>86700</v>
      </c>
      <c r="G57" s="930">
        <v>108000</v>
      </c>
      <c r="H57" s="931">
        <v>117900</v>
      </c>
      <c r="J57" s="1175">
        <f t="shared" si="5"/>
        <v>111426.84000000001</v>
      </c>
      <c r="K57" s="1175">
        <f t="shared" si="4"/>
        <v>121744.14</v>
      </c>
      <c r="M57" s="1165">
        <f t="shared" si="2"/>
        <v>3.1730000000000105E-2</v>
      </c>
      <c r="N57" s="1164">
        <f t="shared" si="3"/>
        <v>3.2605089058524168E-2</v>
      </c>
      <c r="O57" s="136">
        <v>1.08</v>
      </c>
      <c r="P57" s="136">
        <v>1.18</v>
      </c>
    </row>
    <row r="58" spans="2:16" x14ac:dyDescent="0.35">
      <c r="B58" s="1704" t="s">
        <v>68</v>
      </c>
      <c r="C58" s="1705"/>
      <c r="D58" s="1706"/>
      <c r="E58" s="929">
        <v>10700</v>
      </c>
      <c r="F58" s="930">
        <v>16400</v>
      </c>
      <c r="G58" s="930">
        <v>20500</v>
      </c>
      <c r="H58" s="931">
        <v>22300</v>
      </c>
      <c r="J58" s="1175">
        <f t="shared" si="5"/>
        <v>21077.280000000002</v>
      </c>
      <c r="K58" s="1175">
        <f t="shared" si="4"/>
        <v>23028.879999999997</v>
      </c>
      <c r="M58" s="1165">
        <f t="shared" si="2"/>
        <v>2.8160000000000119E-2</v>
      </c>
      <c r="N58" s="1164">
        <f t="shared" si="3"/>
        <v>3.2685201793721856E-2</v>
      </c>
      <c r="O58" s="136">
        <v>1.08</v>
      </c>
      <c r="P58" s="136">
        <v>1.18</v>
      </c>
    </row>
    <row r="59" spans="2:16" x14ac:dyDescent="0.35">
      <c r="B59" s="1707" t="s">
        <v>30</v>
      </c>
      <c r="C59" s="1708"/>
      <c r="D59" s="1709"/>
      <c r="E59" s="932"/>
      <c r="F59" s="933"/>
      <c r="G59" s="933"/>
      <c r="H59" s="934"/>
      <c r="J59" s="929"/>
      <c r="K59" s="931"/>
      <c r="M59" s="1172"/>
      <c r="N59" s="1173"/>
    </row>
    <row r="60" spans="2:16" x14ac:dyDescent="0.35">
      <c r="B60" s="1704" t="s">
        <v>63</v>
      </c>
      <c r="C60" s="1705"/>
      <c r="D60" s="1706"/>
      <c r="E60" s="932"/>
      <c r="F60" s="930">
        <v>16200</v>
      </c>
      <c r="G60" s="930">
        <f>CEILING(G54*0.3,100)</f>
        <v>20200</v>
      </c>
      <c r="H60" s="931">
        <f>CEILING(H54*0.3,100)</f>
        <v>22100</v>
      </c>
      <c r="J60" s="929">
        <f>+F60*$I$3*O60</f>
        <v>20820.240000000002</v>
      </c>
      <c r="K60" s="931">
        <f>+F60*$I$3*P60</f>
        <v>22748.039999999997</v>
      </c>
      <c r="M60" s="1165">
        <f>(J60-G60)/G60</f>
        <v>3.0704950495049583E-2</v>
      </c>
      <c r="N60" s="1164">
        <f t="shared" si="3"/>
        <v>2.9323076923076799E-2</v>
      </c>
      <c r="O60" s="136">
        <v>1.08</v>
      </c>
      <c r="P60" s="136">
        <v>1.18</v>
      </c>
    </row>
    <row r="61" spans="2:16" x14ac:dyDescent="0.35">
      <c r="B61" s="1704" t="s">
        <v>64</v>
      </c>
      <c r="C61" s="1705"/>
      <c r="D61" s="1706"/>
      <c r="E61" s="932"/>
      <c r="F61" s="930">
        <v>19900</v>
      </c>
      <c r="G61" s="930">
        <f t="shared" ref="G61:H63" si="6">CEILING(G55*0.3,100)</f>
        <v>24800</v>
      </c>
      <c r="H61" s="931">
        <f t="shared" si="6"/>
        <v>27000</v>
      </c>
      <c r="J61" s="929">
        <f>+F61*$I$3*O61</f>
        <v>25575.480000000003</v>
      </c>
      <c r="K61" s="931">
        <f>+F61*$I$3*P61</f>
        <v>27943.579999999998</v>
      </c>
      <c r="M61" s="1165">
        <f t="shared" si="2"/>
        <v>3.1269354838709809E-2</v>
      </c>
      <c r="N61" s="1164">
        <f t="shared" si="3"/>
        <v>3.4947407407407337E-2</v>
      </c>
      <c r="O61" s="136">
        <v>1.08</v>
      </c>
      <c r="P61" s="136">
        <v>1.18</v>
      </c>
    </row>
    <row r="62" spans="2:16" x14ac:dyDescent="0.35">
      <c r="B62" s="1704" t="s">
        <v>65</v>
      </c>
      <c r="C62" s="1705"/>
      <c r="D62" s="1706"/>
      <c r="E62" s="932"/>
      <c r="F62" s="930">
        <v>19600</v>
      </c>
      <c r="G62" s="930">
        <f t="shared" si="6"/>
        <v>24400</v>
      </c>
      <c r="H62" s="931">
        <f t="shared" si="6"/>
        <v>26700</v>
      </c>
      <c r="J62" s="929">
        <f>+F62*$I$3*O62</f>
        <v>25189.920000000002</v>
      </c>
      <c r="K62" s="931">
        <f>+F62*$I$3*P62</f>
        <v>27522.32</v>
      </c>
      <c r="M62" s="1165">
        <f t="shared" si="2"/>
        <v>3.2373770491803358E-2</v>
      </c>
      <c r="N62" s="1164">
        <f t="shared" si="3"/>
        <v>3.0798501872659166E-2</v>
      </c>
      <c r="O62" s="136">
        <v>1.08</v>
      </c>
      <c r="P62" s="136">
        <v>1.18</v>
      </c>
    </row>
    <row r="63" spans="2:16" ht="15" thickBot="1" x14ac:dyDescent="0.4">
      <c r="B63" s="1720" t="s">
        <v>67</v>
      </c>
      <c r="C63" s="1721"/>
      <c r="D63" s="1722"/>
      <c r="E63" s="649"/>
      <c r="F63" s="647">
        <v>26100</v>
      </c>
      <c r="G63" s="647">
        <f t="shared" si="6"/>
        <v>32400</v>
      </c>
      <c r="H63" s="648">
        <f>CEILING(H57*0.3,100)</f>
        <v>35400</v>
      </c>
      <c r="J63" s="929">
        <f>+F63*$I$3*O63</f>
        <v>33233.130000000005</v>
      </c>
      <c r="K63" s="931">
        <f>+F63*$I$3*P63</f>
        <v>36339.03</v>
      </c>
      <c r="M63" s="1168">
        <f t="shared" si="2"/>
        <v>2.5713888888889033E-2</v>
      </c>
      <c r="N63" s="1169">
        <f t="shared" si="3"/>
        <v>2.6526271186440645E-2</v>
      </c>
      <c r="O63" s="136">
        <v>1.07</v>
      </c>
      <c r="P63" s="136">
        <v>1.17</v>
      </c>
    </row>
  </sheetData>
  <mergeCells count="61">
    <mergeCell ref="B9:D9"/>
    <mergeCell ref="B3:D4"/>
    <mergeCell ref="B5:D5"/>
    <mergeCell ref="B6:D6"/>
    <mergeCell ref="B7:D7"/>
    <mergeCell ref="B8:D8"/>
    <mergeCell ref="B21:D21"/>
    <mergeCell ref="B10:D10"/>
    <mergeCell ref="B11:D11"/>
    <mergeCell ref="B12:D12"/>
    <mergeCell ref="B13:D13"/>
    <mergeCell ref="B14:D14"/>
    <mergeCell ref="B15:D15"/>
    <mergeCell ref="B16:D16"/>
    <mergeCell ref="B17:D17"/>
    <mergeCell ref="B18:D18"/>
    <mergeCell ref="B19:D19"/>
    <mergeCell ref="B20:D20"/>
    <mergeCell ref="B33:D33"/>
    <mergeCell ref="B22:D22"/>
    <mergeCell ref="B23:D23"/>
    <mergeCell ref="B24:D24"/>
    <mergeCell ref="B25:D25"/>
    <mergeCell ref="B26:D26"/>
    <mergeCell ref="B27:D27"/>
    <mergeCell ref="B28:D28"/>
    <mergeCell ref="B29:D29"/>
    <mergeCell ref="B30:D30"/>
    <mergeCell ref="B31:D31"/>
    <mergeCell ref="B32:D32"/>
    <mergeCell ref="B45:D45"/>
    <mergeCell ref="B34:D34"/>
    <mergeCell ref="B35:D35"/>
    <mergeCell ref="B36:D36"/>
    <mergeCell ref="B37:D37"/>
    <mergeCell ref="B38:D38"/>
    <mergeCell ref="B39:D39"/>
    <mergeCell ref="B62:D62"/>
    <mergeCell ref="B63:D63"/>
    <mergeCell ref="B52:D52"/>
    <mergeCell ref="B53:D53"/>
    <mergeCell ref="B54:D54"/>
    <mergeCell ref="B55:D55"/>
    <mergeCell ref="B56:D56"/>
    <mergeCell ref="B57:D57"/>
    <mergeCell ref="E3:H3"/>
    <mergeCell ref="B58:D58"/>
    <mergeCell ref="B59:D59"/>
    <mergeCell ref="B60:D60"/>
    <mergeCell ref="B61:D61"/>
    <mergeCell ref="B46:D46"/>
    <mergeCell ref="B47:D47"/>
    <mergeCell ref="B48:D48"/>
    <mergeCell ref="B49:D49"/>
    <mergeCell ref="B50:D50"/>
    <mergeCell ref="B51:D51"/>
    <mergeCell ref="B40:D40"/>
    <mergeCell ref="B41:D41"/>
    <mergeCell ref="B42:D42"/>
    <mergeCell ref="B43:D43"/>
    <mergeCell ref="B44:D44"/>
  </mergeCells>
  <pageMargins left="0.7" right="0.7" top="0.75" bottom="0.75" header="0.3" footer="0.3"/>
  <ignoredErrors>
    <ignoredError sqref="K30 K23:K25 J23" formula="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L62"/>
  <sheetViews>
    <sheetView workbookViewId="0">
      <selection activeCell="O57" sqref="O57"/>
    </sheetView>
  </sheetViews>
  <sheetFormatPr baseColWidth="10" defaultRowHeight="14.5" x14ac:dyDescent="0.35"/>
  <cols>
    <col min="1" max="1" width="37.54296875" bestFit="1" customWidth="1"/>
    <col min="2" max="2" width="39.26953125" bestFit="1" customWidth="1"/>
    <col min="3" max="3" width="13" bestFit="1" customWidth="1"/>
    <col min="4" max="4" width="11.54296875" bestFit="1" customWidth="1"/>
    <col min="5" max="5" width="9.453125" bestFit="1" customWidth="1"/>
    <col min="6" max="6" width="10.54296875" bestFit="1" customWidth="1"/>
    <col min="7" max="8" width="10.453125" bestFit="1" customWidth="1"/>
    <col min="9" max="9" width="9.453125" bestFit="1" customWidth="1"/>
    <col min="11" max="12" width="11.81640625" bestFit="1" customWidth="1"/>
    <col min="13" max="13" width="3.1796875" customWidth="1"/>
    <col min="18" max="18" width="11.81640625" bestFit="1" customWidth="1"/>
  </cols>
  <sheetData>
    <row r="2" spans="1:12" x14ac:dyDescent="0.35">
      <c r="A2" s="1267" t="s">
        <v>3</v>
      </c>
      <c r="B2" s="1267" t="s">
        <v>21</v>
      </c>
      <c r="C2" s="1738" t="s">
        <v>405</v>
      </c>
      <c r="D2" s="1738"/>
      <c r="E2" s="1738"/>
      <c r="F2" s="1738"/>
      <c r="H2" s="1268"/>
      <c r="I2">
        <v>1.19</v>
      </c>
    </row>
    <row r="3" spans="1:12" x14ac:dyDescent="0.35">
      <c r="A3" s="240" t="e">
        <v>#N/A</v>
      </c>
      <c r="B3" s="240" t="e">
        <v>#N/A</v>
      </c>
      <c r="C3" s="240" t="s">
        <v>73</v>
      </c>
      <c r="D3" s="240" t="s">
        <v>199</v>
      </c>
      <c r="E3" s="240" t="s">
        <v>200</v>
      </c>
      <c r="F3" s="240" t="s">
        <v>201</v>
      </c>
      <c r="H3" s="1269" t="s">
        <v>200</v>
      </c>
      <c r="I3" s="1269" t="s">
        <v>201</v>
      </c>
    </row>
    <row r="4" spans="1:12" x14ac:dyDescent="0.35">
      <c r="A4" s="240" t="s">
        <v>28</v>
      </c>
      <c r="B4" s="240" t="s">
        <v>29</v>
      </c>
      <c r="C4" s="240">
        <v>43400</v>
      </c>
      <c r="D4" s="240">
        <v>66700</v>
      </c>
      <c r="E4" s="240">
        <v>90700</v>
      </c>
      <c r="F4" s="240">
        <v>98300</v>
      </c>
      <c r="H4" s="234">
        <f>E4/$I$2</f>
        <v>76218.487394957992</v>
      </c>
      <c r="I4" s="234">
        <f>F4/$I$2</f>
        <v>82605.042016806721</v>
      </c>
      <c r="K4" t="b">
        <f>H4&gt;$D$4</f>
        <v>1</v>
      </c>
      <c r="L4" t="b">
        <f>I4&gt;$D$4</f>
        <v>1</v>
      </c>
    </row>
    <row r="5" spans="1:12" x14ac:dyDescent="0.35">
      <c r="A5" s="240"/>
      <c r="B5" s="240" t="s">
        <v>30</v>
      </c>
      <c r="C5" s="240"/>
      <c r="D5" s="240"/>
      <c r="E5" s="240"/>
      <c r="F5" s="240"/>
      <c r="H5" s="234"/>
      <c r="I5" s="234"/>
    </row>
    <row r="6" spans="1:12" x14ac:dyDescent="0.35">
      <c r="A6" s="240"/>
      <c r="B6" s="240" t="s">
        <v>31</v>
      </c>
      <c r="C6" s="240"/>
      <c r="D6" s="240">
        <v>20100</v>
      </c>
      <c r="E6" s="240">
        <v>27300</v>
      </c>
      <c r="F6" s="240">
        <v>29500</v>
      </c>
      <c r="H6" s="234">
        <f t="shared" ref="H6:H15" si="0">E6/$I$2</f>
        <v>22941.176470588238</v>
      </c>
      <c r="I6" s="234">
        <f t="shared" ref="I6:I15" si="1">F6/$I$2</f>
        <v>24789.915966386554</v>
      </c>
      <c r="K6" t="b">
        <f>H6&gt;D6</f>
        <v>1</v>
      </c>
      <c r="L6" t="b">
        <f>I6&gt;D6</f>
        <v>1</v>
      </c>
    </row>
    <row r="7" spans="1:12" x14ac:dyDescent="0.35">
      <c r="A7" s="240"/>
      <c r="B7" s="240" t="s">
        <v>32</v>
      </c>
      <c r="C7" s="240">
        <v>24600</v>
      </c>
      <c r="D7" s="240">
        <v>37700</v>
      </c>
      <c r="E7" s="240">
        <v>51200</v>
      </c>
      <c r="F7" s="240">
        <v>55400</v>
      </c>
      <c r="H7" s="234">
        <f t="shared" si="0"/>
        <v>43025.210084033613</v>
      </c>
      <c r="I7" s="234">
        <f t="shared" si="1"/>
        <v>46554.621848739494</v>
      </c>
      <c r="K7" t="b">
        <f t="shared" ref="K7:K62" si="2">H7&gt;D7</f>
        <v>1</v>
      </c>
      <c r="L7" t="b">
        <f t="shared" ref="L7:L62" si="3">I7&gt;D7</f>
        <v>1</v>
      </c>
    </row>
    <row r="8" spans="1:12" x14ac:dyDescent="0.35">
      <c r="A8" s="240"/>
      <c r="B8" s="240" t="s">
        <v>33</v>
      </c>
      <c r="C8" s="240">
        <v>4300</v>
      </c>
      <c r="D8" s="240">
        <v>6600</v>
      </c>
      <c r="E8" s="240">
        <v>9000</v>
      </c>
      <c r="F8" s="240">
        <v>9800</v>
      </c>
      <c r="H8" s="234">
        <f t="shared" si="0"/>
        <v>7563.0252100840344</v>
      </c>
      <c r="I8" s="234">
        <f t="shared" si="1"/>
        <v>8235.2941176470595</v>
      </c>
      <c r="K8" t="b">
        <f t="shared" si="2"/>
        <v>1</v>
      </c>
      <c r="L8" t="b">
        <f t="shared" si="3"/>
        <v>1</v>
      </c>
    </row>
    <row r="9" spans="1:12" x14ac:dyDescent="0.35">
      <c r="A9" s="240"/>
      <c r="B9" s="240" t="s">
        <v>34</v>
      </c>
      <c r="C9" s="240">
        <v>6200</v>
      </c>
      <c r="D9" s="240">
        <v>9400</v>
      </c>
      <c r="E9" s="240">
        <v>12600</v>
      </c>
      <c r="F9" s="240">
        <v>13600</v>
      </c>
      <c r="H9" s="234">
        <f t="shared" si="0"/>
        <v>10588.235294117647</v>
      </c>
      <c r="I9" s="234">
        <f t="shared" si="1"/>
        <v>11428.571428571429</v>
      </c>
      <c r="K9" t="b">
        <f t="shared" si="2"/>
        <v>1</v>
      </c>
      <c r="L9" t="b">
        <f t="shared" si="3"/>
        <v>1</v>
      </c>
    </row>
    <row r="10" spans="1:12" x14ac:dyDescent="0.35">
      <c r="A10" s="240"/>
      <c r="B10" s="240" t="s">
        <v>35</v>
      </c>
      <c r="C10" s="240">
        <v>1200</v>
      </c>
      <c r="D10" s="240">
        <v>1700</v>
      </c>
      <c r="E10" s="240">
        <v>2300</v>
      </c>
      <c r="F10" s="240">
        <v>2600</v>
      </c>
      <c r="H10" s="234">
        <f t="shared" si="0"/>
        <v>1932.7731092436975</v>
      </c>
      <c r="I10" s="234">
        <f t="shared" si="1"/>
        <v>2184.8739495798322</v>
      </c>
      <c r="K10" t="b">
        <f t="shared" si="2"/>
        <v>1</v>
      </c>
      <c r="L10" t="b">
        <f t="shared" si="3"/>
        <v>1</v>
      </c>
    </row>
    <row r="11" spans="1:12" x14ac:dyDescent="0.35">
      <c r="A11" s="240"/>
      <c r="B11" s="240" t="s">
        <v>36</v>
      </c>
      <c r="C11" s="240"/>
      <c r="D11" s="240">
        <v>72200</v>
      </c>
      <c r="E11" s="240">
        <v>98200</v>
      </c>
      <c r="F11" s="240">
        <v>106300</v>
      </c>
      <c r="H11" s="234">
        <f t="shared" si="0"/>
        <v>82521.008403361353</v>
      </c>
      <c r="I11" s="234">
        <f t="shared" si="1"/>
        <v>89327.731092436981</v>
      </c>
      <c r="K11" t="b">
        <f t="shared" si="2"/>
        <v>1</v>
      </c>
      <c r="L11" t="b">
        <f t="shared" si="3"/>
        <v>1</v>
      </c>
    </row>
    <row r="12" spans="1:12" x14ac:dyDescent="0.35">
      <c r="A12" s="240"/>
      <c r="B12" s="240" t="s">
        <v>37</v>
      </c>
      <c r="C12" s="240"/>
      <c r="D12" s="240">
        <v>138200</v>
      </c>
      <c r="E12" s="240">
        <v>187900</v>
      </c>
      <c r="F12" s="240">
        <v>203600</v>
      </c>
      <c r="H12" s="234">
        <f t="shared" si="0"/>
        <v>157899.15966386555</v>
      </c>
      <c r="I12" s="234">
        <f t="shared" si="1"/>
        <v>171092.43697478992</v>
      </c>
      <c r="K12" t="b">
        <f t="shared" si="2"/>
        <v>1</v>
      </c>
      <c r="L12" t="b">
        <f t="shared" si="3"/>
        <v>1</v>
      </c>
    </row>
    <row r="13" spans="1:12" x14ac:dyDescent="0.35">
      <c r="A13" s="240" t="s">
        <v>38</v>
      </c>
      <c r="B13" s="240" t="s">
        <v>39</v>
      </c>
      <c r="C13" s="240"/>
      <c r="D13" s="240">
        <v>6500</v>
      </c>
      <c r="E13" s="240">
        <v>8900</v>
      </c>
      <c r="F13" s="240">
        <v>9700</v>
      </c>
      <c r="H13" s="234">
        <f t="shared" si="0"/>
        <v>7478.9915966386561</v>
      </c>
      <c r="I13" s="234">
        <f t="shared" si="1"/>
        <v>8151.2605042016812</v>
      </c>
      <c r="K13" t="b">
        <f t="shared" si="2"/>
        <v>1</v>
      </c>
      <c r="L13" t="b">
        <f t="shared" si="3"/>
        <v>1</v>
      </c>
    </row>
    <row r="14" spans="1:12" x14ac:dyDescent="0.35">
      <c r="A14" s="240"/>
      <c r="B14" s="240" t="s">
        <v>40</v>
      </c>
      <c r="C14" s="240"/>
      <c r="D14" s="240">
        <v>5100</v>
      </c>
      <c r="E14" s="240">
        <v>6800</v>
      </c>
      <c r="F14" s="240">
        <v>7400</v>
      </c>
      <c r="H14" s="234">
        <f t="shared" si="0"/>
        <v>5714.2857142857147</v>
      </c>
      <c r="I14" s="234">
        <f t="shared" si="1"/>
        <v>6218.4873949579833</v>
      </c>
      <c r="K14" t="b">
        <f t="shared" si="2"/>
        <v>1</v>
      </c>
      <c r="L14" t="b">
        <f t="shared" si="3"/>
        <v>1</v>
      </c>
    </row>
    <row r="15" spans="1:12" x14ac:dyDescent="0.35">
      <c r="A15" s="240" t="s">
        <v>41</v>
      </c>
      <c r="B15" s="240" t="s">
        <v>42</v>
      </c>
      <c r="C15" s="240">
        <v>36100</v>
      </c>
      <c r="D15" s="240">
        <v>55500</v>
      </c>
      <c r="E15" s="240">
        <v>75500</v>
      </c>
      <c r="F15" s="240">
        <v>81800</v>
      </c>
      <c r="H15" s="234">
        <f t="shared" si="0"/>
        <v>63445.378151260506</v>
      </c>
      <c r="I15" s="234">
        <f t="shared" si="1"/>
        <v>68739.495798319331</v>
      </c>
      <c r="K15" t="b">
        <f t="shared" si="2"/>
        <v>1</v>
      </c>
      <c r="L15" t="b">
        <f t="shared" si="3"/>
        <v>1</v>
      </c>
    </row>
    <row r="16" spans="1:12" x14ac:dyDescent="0.35">
      <c r="A16" s="240"/>
      <c r="B16" s="240" t="s">
        <v>43</v>
      </c>
      <c r="C16" s="240"/>
      <c r="D16" s="240"/>
      <c r="E16" s="240"/>
      <c r="F16" s="240"/>
      <c r="H16" s="234"/>
      <c r="I16" s="234"/>
    </row>
    <row r="17" spans="1:12" x14ac:dyDescent="0.35">
      <c r="A17" s="240"/>
      <c r="B17" s="240" t="s">
        <v>31</v>
      </c>
      <c r="C17" s="240"/>
      <c r="D17" s="240">
        <v>16700</v>
      </c>
      <c r="E17" s="240">
        <v>22700</v>
      </c>
      <c r="F17" s="240">
        <v>24600</v>
      </c>
      <c r="H17" s="234">
        <f t="shared" ref="H17:H38" si="4">E17/$I$2</f>
        <v>19075.63025210084</v>
      </c>
      <c r="I17" s="234">
        <f t="shared" ref="I17:I38" si="5">F17/$I$2</f>
        <v>20672.268907563026</v>
      </c>
      <c r="K17" t="b">
        <f t="shared" si="2"/>
        <v>1</v>
      </c>
      <c r="L17" t="b">
        <f t="shared" si="3"/>
        <v>1</v>
      </c>
    </row>
    <row r="18" spans="1:12" x14ac:dyDescent="0.35">
      <c r="A18" s="240" t="s">
        <v>44</v>
      </c>
      <c r="B18" s="240" t="s">
        <v>32</v>
      </c>
      <c r="C18" s="240">
        <v>23200</v>
      </c>
      <c r="D18" s="240">
        <v>35600</v>
      </c>
      <c r="E18" s="240">
        <v>48300</v>
      </c>
      <c r="F18" s="240">
        <v>52300</v>
      </c>
      <c r="H18" s="234">
        <f t="shared" si="4"/>
        <v>40588.23529411765</v>
      </c>
      <c r="I18" s="234">
        <f t="shared" si="5"/>
        <v>43949.579831932773</v>
      </c>
      <c r="K18" t="b">
        <f t="shared" si="2"/>
        <v>1</v>
      </c>
      <c r="L18" t="b">
        <f t="shared" si="3"/>
        <v>1</v>
      </c>
    </row>
    <row r="19" spans="1:12" x14ac:dyDescent="0.35">
      <c r="A19" s="240"/>
      <c r="B19" s="240" t="s">
        <v>45</v>
      </c>
      <c r="C19" s="240">
        <v>4800</v>
      </c>
      <c r="D19" s="240">
        <v>7300</v>
      </c>
      <c r="E19" s="240">
        <v>9800</v>
      </c>
      <c r="F19" s="240">
        <v>10600</v>
      </c>
      <c r="H19" s="234">
        <f t="shared" si="4"/>
        <v>8235.2941176470595</v>
      </c>
      <c r="I19" s="234">
        <f t="shared" si="5"/>
        <v>8907.5630252100837</v>
      </c>
      <c r="K19" t="b">
        <f t="shared" si="2"/>
        <v>1</v>
      </c>
      <c r="L19" t="b">
        <f t="shared" si="3"/>
        <v>1</v>
      </c>
    </row>
    <row r="20" spans="1:12" x14ac:dyDescent="0.35">
      <c r="A20" s="240"/>
      <c r="B20" s="240" t="s">
        <v>34</v>
      </c>
      <c r="C20" s="240">
        <v>10200</v>
      </c>
      <c r="D20" s="240">
        <v>15600</v>
      </c>
      <c r="E20" s="240">
        <v>22300</v>
      </c>
      <c r="F20" s="240">
        <v>24200</v>
      </c>
      <c r="H20" s="234">
        <f t="shared" si="4"/>
        <v>18739.495798319327</v>
      </c>
      <c r="I20" s="234">
        <f t="shared" si="5"/>
        <v>20336.134453781513</v>
      </c>
      <c r="K20" t="b">
        <f t="shared" si="2"/>
        <v>1</v>
      </c>
      <c r="L20" t="b">
        <f t="shared" si="3"/>
        <v>1</v>
      </c>
    </row>
    <row r="21" spans="1:12" x14ac:dyDescent="0.35">
      <c r="A21" s="240"/>
      <c r="B21" s="240" t="s">
        <v>46</v>
      </c>
      <c r="C21" s="240">
        <v>1300</v>
      </c>
      <c r="D21" s="240">
        <v>1900</v>
      </c>
      <c r="E21" s="240">
        <v>2700</v>
      </c>
      <c r="F21" s="240">
        <v>2900</v>
      </c>
      <c r="H21" s="234">
        <f t="shared" si="4"/>
        <v>2268.90756302521</v>
      </c>
      <c r="I21" s="234">
        <f t="shared" si="5"/>
        <v>2436.9747899159665</v>
      </c>
      <c r="K21" t="b">
        <f t="shared" si="2"/>
        <v>1</v>
      </c>
      <c r="L21" t="b">
        <f t="shared" si="3"/>
        <v>1</v>
      </c>
    </row>
    <row r="22" spans="1:12" x14ac:dyDescent="0.35">
      <c r="A22" s="240"/>
      <c r="B22" s="240" t="s">
        <v>47</v>
      </c>
      <c r="C22" s="240"/>
      <c r="D22" s="240">
        <v>52000</v>
      </c>
      <c r="E22" s="240">
        <v>70700</v>
      </c>
      <c r="F22" s="240">
        <v>76500</v>
      </c>
      <c r="H22" s="234">
        <f t="shared" si="4"/>
        <v>59411.764705882357</v>
      </c>
      <c r="I22" s="234">
        <f t="shared" si="5"/>
        <v>64285.71428571429</v>
      </c>
      <c r="K22" t="b">
        <f t="shared" si="2"/>
        <v>1</v>
      </c>
      <c r="L22" t="b">
        <f t="shared" si="3"/>
        <v>1</v>
      </c>
    </row>
    <row r="23" spans="1:12" x14ac:dyDescent="0.35">
      <c r="A23" s="240"/>
      <c r="B23" s="240" t="s">
        <v>48</v>
      </c>
      <c r="C23" s="240"/>
      <c r="D23" s="240">
        <v>2500</v>
      </c>
      <c r="E23" s="240">
        <v>31400</v>
      </c>
      <c r="F23" s="240">
        <v>3500</v>
      </c>
      <c r="H23" s="234">
        <f t="shared" si="4"/>
        <v>26386.55462184874</v>
      </c>
      <c r="I23" s="234">
        <f t="shared" si="5"/>
        <v>2941.1764705882356</v>
      </c>
      <c r="K23" t="b">
        <f t="shared" si="2"/>
        <v>1</v>
      </c>
      <c r="L23" t="b">
        <f t="shared" si="3"/>
        <v>1</v>
      </c>
    </row>
    <row r="24" spans="1:12" x14ac:dyDescent="0.35">
      <c r="A24" s="240"/>
      <c r="B24" s="240" t="s">
        <v>49</v>
      </c>
      <c r="C24" s="240"/>
      <c r="D24" s="240">
        <v>100600</v>
      </c>
      <c r="E24" s="240">
        <v>136800</v>
      </c>
      <c r="F24" s="240">
        <v>148200</v>
      </c>
      <c r="H24" s="234">
        <f t="shared" si="4"/>
        <v>114957.98319327732</v>
      </c>
      <c r="I24" s="234">
        <f t="shared" si="5"/>
        <v>124537.81512605042</v>
      </c>
      <c r="K24" t="b">
        <f t="shared" si="2"/>
        <v>1</v>
      </c>
      <c r="L24" t="b">
        <f t="shared" si="3"/>
        <v>1</v>
      </c>
    </row>
    <row r="25" spans="1:12" x14ac:dyDescent="0.35">
      <c r="A25" s="240"/>
      <c r="B25" s="240" t="s">
        <v>50</v>
      </c>
      <c r="C25" s="240"/>
      <c r="D25" s="240">
        <v>4100</v>
      </c>
      <c r="E25" s="240">
        <v>5600</v>
      </c>
      <c r="F25" s="240">
        <v>6100</v>
      </c>
      <c r="H25" s="234">
        <f t="shared" si="4"/>
        <v>4705.8823529411766</v>
      </c>
      <c r="I25" s="234">
        <f t="shared" si="5"/>
        <v>5126.0504201680678</v>
      </c>
      <c r="K25" t="b">
        <f t="shared" si="2"/>
        <v>1</v>
      </c>
      <c r="L25" t="b">
        <f t="shared" si="3"/>
        <v>1</v>
      </c>
    </row>
    <row r="26" spans="1:12" x14ac:dyDescent="0.35">
      <c r="A26" s="240"/>
      <c r="B26" s="240" t="s">
        <v>36</v>
      </c>
      <c r="C26" s="240"/>
      <c r="D26" s="240">
        <v>134800</v>
      </c>
      <c r="E26" s="240">
        <v>183200</v>
      </c>
      <c r="F26" s="240">
        <v>198500</v>
      </c>
      <c r="H26" s="234">
        <f t="shared" si="4"/>
        <v>153949.57983193279</v>
      </c>
      <c r="I26" s="234">
        <f t="shared" si="5"/>
        <v>166806.72268907563</v>
      </c>
      <c r="K26" t="b">
        <f t="shared" si="2"/>
        <v>1</v>
      </c>
      <c r="L26" t="b">
        <f t="shared" si="3"/>
        <v>1</v>
      </c>
    </row>
    <row r="27" spans="1:12" x14ac:dyDescent="0.35">
      <c r="A27" s="240"/>
      <c r="B27" s="240" t="s">
        <v>37</v>
      </c>
      <c r="C27" s="240"/>
      <c r="D27" s="240">
        <v>243400</v>
      </c>
      <c r="E27" s="240">
        <v>331100</v>
      </c>
      <c r="F27" s="240">
        <v>358700</v>
      </c>
      <c r="H27" s="234">
        <f t="shared" si="4"/>
        <v>278235.29411764705</v>
      </c>
      <c r="I27" s="234">
        <f t="shared" si="5"/>
        <v>301428.57142857142</v>
      </c>
      <c r="K27" t="b">
        <f t="shared" si="2"/>
        <v>1</v>
      </c>
      <c r="L27" t="b">
        <f t="shared" si="3"/>
        <v>1</v>
      </c>
    </row>
    <row r="28" spans="1:12" x14ac:dyDescent="0.35">
      <c r="A28" s="240"/>
      <c r="B28" s="240" t="s">
        <v>51</v>
      </c>
      <c r="C28" s="240"/>
      <c r="D28" s="240">
        <v>157100</v>
      </c>
      <c r="E28" s="240">
        <v>213600</v>
      </c>
      <c r="F28" s="240">
        <v>231400</v>
      </c>
      <c r="H28" s="234">
        <f t="shared" si="4"/>
        <v>179495.79831932773</v>
      </c>
      <c r="I28" s="234">
        <f t="shared" si="5"/>
        <v>194453.78151260506</v>
      </c>
      <c r="K28" t="b">
        <f t="shared" si="2"/>
        <v>1</v>
      </c>
      <c r="L28" t="b">
        <f t="shared" si="3"/>
        <v>1</v>
      </c>
    </row>
    <row r="29" spans="1:12" x14ac:dyDescent="0.35">
      <c r="A29" s="240"/>
      <c r="B29" s="240" t="s">
        <v>52</v>
      </c>
      <c r="C29" s="240"/>
      <c r="D29" s="240">
        <v>8600</v>
      </c>
      <c r="E29" s="240">
        <v>11800</v>
      </c>
      <c r="F29" s="240">
        <v>12700</v>
      </c>
      <c r="H29" s="234">
        <f t="shared" si="4"/>
        <v>9915.9663865546227</v>
      </c>
      <c r="I29" s="234">
        <f t="shared" si="5"/>
        <v>10672.268907563026</v>
      </c>
      <c r="K29" t="b">
        <f t="shared" si="2"/>
        <v>1</v>
      </c>
      <c r="L29" t="b">
        <f t="shared" si="3"/>
        <v>1</v>
      </c>
    </row>
    <row r="30" spans="1:12" x14ac:dyDescent="0.35">
      <c r="A30" s="240"/>
      <c r="B30" s="240" t="s">
        <v>53</v>
      </c>
      <c r="C30" s="240"/>
      <c r="D30" s="240">
        <v>264100</v>
      </c>
      <c r="E30" s="240">
        <v>359100</v>
      </c>
      <c r="F30" s="240">
        <v>389100</v>
      </c>
      <c r="H30" s="234">
        <f t="shared" si="4"/>
        <v>301764.70588235295</v>
      </c>
      <c r="I30" s="234">
        <f t="shared" si="5"/>
        <v>326974.78991596639</v>
      </c>
      <c r="K30" t="b">
        <f t="shared" si="2"/>
        <v>1</v>
      </c>
      <c r="L30" t="b">
        <f t="shared" si="3"/>
        <v>1</v>
      </c>
    </row>
    <row r="31" spans="1:12" x14ac:dyDescent="0.35">
      <c r="A31" s="240"/>
      <c r="B31" s="240" t="s">
        <v>54</v>
      </c>
      <c r="C31" s="240"/>
      <c r="D31" s="240">
        <v>10200</v>
      </c>
      <c r="E31" s="240">
        <v>13800</v>
      </c>
      <c r="F31" s="240">
        <v>15000</v>
      </c>
      <c r="H31" s="234">
        <f t="shared" si="4"/>
        <v>11596.638655462186</v>
      </c>
      <c r="I31" s="234">
        <f t="shared" si="5"/>
        <v>12605.042016806723</v>
      </c>
      <c r="K31" t="b">
        <f t="shared" si="2"/>
        <v>1</v>
      </c>
      <c r="L31" t="b">
        <f t="shared" si="3"/>
        <v>1</v>
      </c>
    </row>
    <row r="32" spans="1:12" x14ac:dyDescent="0.35">
      <c r="A32" s="240"/>
      <c r="B32" s="240" t="s">
        <v>55</v>
      </c>
      <c r="C32" s="240">
        <v>24400</v>
      </c>
      <c r="D32" s="240">
        <v>37400</v>
      </c>
      <c r="E32" s="240">
        <v>50800</v>
      </c>
      <c r="F32" s="240">
        <v>55000</v>
      </c>
      <c r="H32" s="234">
        <f t="shared" si="4"/>
        <v>42689.075630252104</v>
      </c>
      <c r="I32" s="234">
        <f t="shared" si="5"/>
        <v>46218.487394957985</v>
      </c>
      <c r="K32" t="b">
        <f t="shared" si="2"/>
        <v>1</v>
      </c>
      <c r="L32" t="b">
        <f t="shared" si="3"/>
        <v>1</v>
      </c>
    </row>
    <row r="33" spans="1:12" x14ac:dyDescent="0.35">
      <c r="A33" s="240"/>
      <c r="B33" s="240" t="s">
        <v>56</v>
      </c>
      <c r="C33" s="240">
        <v>32200</v>
      </c>
      <c r="D33" s="240">
        <v>49500</v>
      </c>
      <c r="E33" s="240">
        <v>67200</v>
      </c>
      <c r="F33" s="240">
        <v>72900</v>
      </c>
      <c r="H33" s="234">
        <f t="shared" si="4"/>
        <v>56470.588235294119</v>
      </c>
      <c r="I33" s="234">
        <f t="shared" si="5"/>
        <v>61260.504201680676</v>
      </c>
      <c r="K33" t="b">
        <f t="shared" si="2"/>
        <v>1</v>
      </c>
      <c r="L33" t="b">
        <f t="shared" si="3"/>
        <v>1</v>
      </c>
    </row>
    <row r="34" spans="1:12" x14ac:dyDescent="0.35">
      <c r="A34" s="240" t="s">
        <v>57</v>
      </c>
      <c r="B34" s="240" t="s">
        <v>39</v>
      </c>
      <c r="C34" s="240"/>
      <c r="D34" s="240">
        <v>6500</v>
      </c>
      <c r="E34" s="240">
        <v>8900</v>
      </c>
      <c r="F34" s="240">
        <v>9700</v>
      </c>
      <c r="H34" s="234">
        <f t="shared" si="4"/>
        <v>7478.9915966386561</v>
      </c>
      <c r="I34" s="234">
        <f t="shared" si="5"/>
        <v>8151.2605042016812</v>
      </c>
      <c r="K34" t="b">
        <f t="shared" si="2"/>
        <v>1</v>
      </c>
      <c r="L34" t="b">
        <f t="shared" si="3"/>
        <v>1</v>
      </c>
    </row>
    <row r="35" spans="1:12" x14ac:dyDescent="0.35">
      <c r="A35" s="240"/>
      <c r="B35" s="240" t="s">
        <v>58</v>
      </c>
      <c r="C35" s="240"/>
      <c r="D35" s="240">
        <v>5100</v>
      </c>
      <c r="E35" s="240">
        <v>6800</v>
      </c>
      <c r="F35" s="240">
        <v>7400</v>
      </c>
      <c r="H35" s="234">
        <f t="shared" si="4"/>
        <v>5714.2857142857147</v>
      </c>
      <c r="I35" s="234">
        <f t="shared" si="5"/>
        <v>6218.4873949579833</v>
      </c>
      <c r="K35" t="b">
        <f t="shared" si="2"/>
        <v>1</v>
      </c>
      <c r="L35" t="b">
        <f t="shared" si="3"/>
        <v>1</v>
      </c>
    </row>
    <row r="36" spans="1:12" x14ac:dyDescent="0.35">
      <c r="A36" s="240" t="s">
        <v>59</v>
      </c>
      <c r="B36" s="240" t="s">
        <v>39</v>
      </c>
      <c r="C36" s="240"/>
      <c r="D36" s="240">
        <v>6200</v>
      </c>
      <c r="E36" s="240">
        <v>8400</v>
      </c>
      <c r="F36" s="240">
        <v>9100</v>
      </c>
      <c r="H36" s="234">
        <f t="shared" si="4"/>
        <v>7058.8235294117649</v>
      </c>
      <c r="I36" s="234">
        <f t="shared" si="5"/>
        <v>7647.0588235294117</v>
      </c>
      <c r="K36" t="b">
        <f t="shared" si="2"/>
        <v>1</v>
      </c>
      <c r="L36" t="b">
        <f t="shared" si="3"/>
        <v>1</v>
      </c>
    </row>
    <row r="37" spans="1:12" x14ac:dyDescent="0.35">
      <c r="A37" s="240"/>
      <c r="B37" s="240" t="s">
        <v>58</v>
      </c>
      <c r="C37" s="240"/>
      <c r="D37" s="240">
        <v>5000</v>
      </c>
      <c r="E37" s="240">
        <v>6600</v>
      </c>
      <c r="F37" s="240">
        <v>7300</v>
      </c>
      <c r="H37" s="234">
        <f t="shared" si="4"/>
        <v>5546.2184873949582</v>
      </c>
      <c r="I37" s="234">
        <f t="shared" si="5"/>
        <v>6134.453781512605</v>
      </c>
      <c r="K37" t="b">
        <f t="shared" si="2"/>
        <v>1</v>
      </c>
      <c r="L37" t="b">
        <f t="shared" si="3"/>
        <v>1</v>
      </c>
    </row>
    <row r="38" spans="1:12" x14ac:dyDescent="0.35">
      <c r="A38" s="240" t="s">
        <v>60</v>
      </c>
      <c r="B38" s="240" t="s">
        <v>61</v>
      </c>
      <c r="C38" s="240">
        <v>43200</v>
      </c>
      <c r="D38" s="240">
        <v>66400</v>
      </c>
      <c r="E38" s="240">
        <v>90200</v>
      </c>
      <c r="F38" s="240">
        <v>97800</v>
      </c>
      <c r="H38" s="234">
        <f t="shared" si="4"/>
        <v>75798.319327731093</v>
      </c>
      <c r="I38" s="234">
        <f t="shared" si="5"/>
        <v>82184.873949579836</v>
      </c>
      <c r="K38" t="b">
        <f t="shared" si="2"/>
        <v>1</v>
      </c>
      <c r="L38" t="b">
        <f t="shared" si="3"/>
        <v>1</v>
      </c>
    </row>
    <row r="39" spans="1:12" x14ac:dyDescent="0.35">
      <c r="A39" s="240"/>
      <c r="B39" s="240" t="s">
        <v>43</v>
      </c>
      <c r="C39" s="240"/>
      <c r="D39" s="240"/>
      <c r="E39" s="240"/>
      <c r="F39" s="240"/>
      <c r="H39" s="234"/>
      <c r="I39" s="234"/>
    </row>
    <row r="40" spans="1:12" x14ac:dyDescent="0.35">
      <c r="A40" s="240"/>
      <c r="B40" s="240" t="s">
        <v>61</v>
      </c>
      <c r="C40" s="240"/>
      <c r="D40" s="240">
        <v>20000</v>
      </c>
      <c r="E40" s="240">
        <v>27100</v>
      </c>
      <c r="F40" s="240">
        <v>29400</v>
      </c>
      <c r="H40" s="234">
        <f t="shared" ref="H40:I46" si="6">E40/$I$2</f>
        <v>22773.10924369748</v>
      </c>
      <c r="I40" s="234">
        <f t="shared" si="6"/>
        <v>24705.882352941178</v>
      </c>
      <c r="K40" t="b">
        <f t="shared" si="2"/>
        <v>1</v>
      </c>
      <c r="L40" t="b">
        <f t="shared" si="3"/>
        <v>1</v>
      </c>
    </row>
    <row r="41" spans="1:12" x14ac:dyDescent="0.35">
      <c r="A41" s="240" t="s">
        <v>62</v>
      </c>
      <c r="B41" s="240" t="s">
        <v>63</v>
      </c>
      <c r="C41" s="240">
        <v>26900</v>
      </c>
      <c r="D41" s="240">
        <v>41300</v>
      </c>
      <c r="E41" s="240">
        <v>56200</v>
      </c>
      <c r="F41" s="240">
        <v>60900</v>
      </c>
      <c r="H41" s="234">
        <f t="shared" si="6"/>
        <v>47226.89075630252</v>
      </c>
      <c r="I41" s="234">
        <f t="shared" si="6"/>
        <v>51176.470588235294</v>
      </c>
      <c r="K41" t="b">
        <f t="shared" si="2"/>
        <v>1</v>
      </c>
      <c r="L41" t="b">
        <f t="shared" si="3"/>
        <v>1</v>
      </c>
    </row>
    <row r="42" spans="1:12" x14ac:dyDescent="0.35">
      <c r="A42" s="240"/>
      <c r="B42" s="240" t="s">
        <v>64</v>
      </c>
      <c r="C42" s="240">
        <v>34300</v>
      </c>
      <c r="D42" s="240">
        <v>52700</v>
      </c>
      <c r="E42" s="240">
        <v>71700</v>
      </c>
      <c r="F42" s="240">
        <v>77700</v>
      </c>
      <c r="H42" s="234">
        <f t="shared" si="6"/>
        <v>60252.100840336134</v>
      </c>
      <c r="I42" s="234">
        <f t="shared" si="6"/>
        <v>65294.117647058825</v>
      </c>
      <c r="K42" t="b">
        <f t="shared" si="2"/>
        <v>1</v>
      </c>
      <c r="L42" t="b">
        <f t="shared" si="3"/>
        <v>1</v>
      </c>
    </row>
    <row r="43" spans="1:12" x14ac:dyDescent="0.35">
      <c r="A43" s="240"/>
      <c r="B43" s="240" t="s">
        <v>65</v>
      </c>
      <c r="C43" s="240">
        <v>34300</v>
      </c>
      <c r="D43" s="240">
        <v>52700</v>
      </c>
      <c r="E43" s="240">
        <v>71700</v>
      </c>
      <c r="F43" s="240">
        <v>77700</v>
      </c>
      <c r="H43" s="234">
        <f t="shared" si="6"/>
        <v>60252.100840336134</v>
      </c>
      <c r="I43" s="234">
        <f t="shared" si="6"/>
        <v>65294.117647058825</v>
      </c>
      <c r="K43" t="b">
        <f t="shared" si="2"/>
        <v>1</v>
      </c>
      <c r="L43" t="b">
        <f t="shared" si="3"/>
        <v>1</v>
      </c>
    </row>
    <row r="44" spans="1:12" x14ac:dyDescent="0.35">
      <c r="A44" s="240"/>
      <c r="B44" s="240" t="s">
        <v>66</v>
      </c>
      <c r="C44" s="240">
        <v>51100</v>
      </c>
      <c r="D44" s="240">
        <v>78500</v>
      </c>
      <c r="E44" s="240">
        <v>106800</v>
      </c>
      <c r="F44" s="240">
        <v>115700</v>
      </c>
      <c r="H44" s="234">
        <f t="shared" si="6"/>
        <v>89747.899159663866</v>
      </c>
      <c r="I44" s="234">
        <f t="shared" si="6"/>
        <v>97226.890756302528</v>
      </c>
      <c r="K44" t="b">
        <f t="shared" si="2"/>
        <v>1</v>
      </c>
      <c r="L44" t="b">
        <f t="shared" si="3"/>
        <v>1</v>
      </c>
    </row>
    <row r="45" spans="1:12" x14ac:dyDescent="0.35">
      <c r="A45" s="240"/>
      <c r="B45" s="240" t="s">
        <v>67</v>
      </c>
      <c r="C45" s="240">
        <v>40000</v>
      </c>
      <c r="D45" s="240">
        <v>61500</v>
      </c>
      <c r="E45" s="240">
        <v>83600</v>
      </c>
      <c r="F45" s="240">
        <v>90700</v>
      </c>
      <c r="H45" s="234">
        <f t="shared" si="6"/>
        <v>70252.100840336134</v>
      </c>
      <c r="I45" s="234">
        <f t="shared" si="6"/>
        <v>76218.487394957992</v>
      </c>
      <c r="K45" t="b">
        <f t="shared" si="2"/>
        <v>1</v>
      </c>
      <c r="L45" t="b">
        <f t="shared" si="3"/>
        <v>1</v>
      </c>
    </row>
    <row r="46" spans="1:12" x14ac:dyDescent="0.35">
      <c r="A46" s="240"/>
      <c r="B46" s="240" t="s">
        <v>68</v>
      </c>
      <c r="C46" s="240">
        <v>11000</v>
      </c>
      <c r="D46" s="240">
        <v>16800</v>
      </c>
      <c r="E46" s="240">
        <v>22800</v>
      </c>
      <c r="F46" s="240">
        <v>24700</v>
      </c>
      <c r="H46" s="234">
        <f t="shared" si="6"/>
        <v>19159.663865546219</v>
      </c>
      <c r="I46" s="234">
        <f t="shared" si="6"/>
        <v>20756.302521008405</v>
      </c>
      <c r="K46" t="b">
        <f t="shared" si="2"/>
        <v>1</v>
      </c>
      <c r="L46" t="b">
        <f t="shared" si="3"/>
        <v>1</v>
      </c>
    </row>
    <row r="47" spans="1:12" x14ac:dyDescent="0.35">
      <c r="A47" s="240"/>
      <c r="B47" s="240" t="s">
        <v>30</v>
      </c>
      <c r="C47" s="240"/>
      <c r="D47" s="240"/>
      <c r="E47" s="240"/>
      <c r="F47" s="240"/>
      <c r="H47" s="234"/>
      <c r="I47" s="234"/>
    </row>
    <row r="48" spans="1:12" x14ac:dyDescent="0.35">
      <c r="A48" s="240"/>
      <c r="B48" s="240" t="s">
        <v>63</v>
      </c>
      <c r="C48" s="240"/>
      <c r="D48" s="240">
        <v>12400</v>
      </c>
      <c r="E48" s="240">
        <v>16900</v>
      </c>
      <c r="F48" s="240">
        <v>18300</v>
      </c>
      <c r="H48" s="234">
        <f t="shared" ref="H48:H57" si="7">E48/$I$2</f>
        <v>14201.680672268909</v>
      </c>
      <c r="I48" s="234">
        <f t="shared" ref="I48:I57" si="8">F48/$I$2</f>
        <v>15378.151260504203</v>
      </c>
      <c r="K48" t="b">
        <f t="shared" si="2"/>
        <v>1</v>
      </c>
      <c r="L48" t="b">
        <f t="shared" si="3"/>
        <v>1</v>
      </c>
    </row>
    <row r="49" spans="1:12" x14ac:dyDescent="0.35">
      <c r="A49" s="240"/>
      <c r="B49" s="240" t="s">
        <v>69</v>
      </c>
      <c r="C49" s="240"/>
      <c r="D49" s="240">
        <v>15900</v>
      </c>
      <c r="E49" s="240">
        <v>21600</v>
      </c>
      <c r="F49" s="240">
        <v>23400</v>
      </c>
      <c r="H49" s="234">
        <f t="shared" si="7"/>
        <v>18151.26050420168</v>
      </c>
      <c r="I49" s="234">
        <f t="shared" si="8"/>
        <v>19663.865546218487</v>
      </c>
      <c r="K49" t="b">
        <f t="shared" si="2"/>
        <v>1</v>
      </c>
      <c r="L49" t="b">
        <f t="shared" si="3"/>
        <v>1</v>
      </c>
    </row>
    <row r="50" spans="1:12" x14ac:dyDescent="0.35">
      <c r="A50" s="240"/>
      <c r="B50" s="240" t="s">
        <v>65</v>
      </c>
      <c r="C50" s="240"/>
      <c r="D50" s="240">
        <v>15900</v>
      </c>
      <c r="E50" s="240">
        <v>21600</v>
      </c>
      <c r="F50" s="240">
        <v>23400</v>
      </c>
      <c r="H50" s="234">
        <f t="shared" si="7"/>
        <v>18151.26050420168</v>
      </c>
      <c r="I50" s="234">
        <f t="shared" si="8"/>
        <v>19663.865546218487</v>
      </c>
      <c r="K50" t="b">
        <f t="shared" si="2"/>
        <v>1</v>
      </c>
      <c r="L50" t="b">
        <f t="shared" si="3"/>
        <v>1</v>
      </c>
    </row>
    <row r="51" spans="1:12" x14ac:dyDescent="0.35">
      <c r="A51" s="240"/>
      <c r="B51" s="240" t="s">
        <v>70</v>
      </c>
      <c r="C51" s="240"/>
      <c r="D51" s="240">
        <v>23600</v>
      </c>
      <c r="E51" s="240">
        <v>32100</v>
      </c>
      <c r="F51" s="240">
        <v>34800</v>
      </c>
      <c r="H51" s="234">
        <f t="shared" si="7"/>
        <v>26974.789915966387</v>
      </c>
      <c r="I51" s="234">
        <f t="shared" si="8"/>
        <v>29243.697478991598</v>
      </c>
      <c r="K51" t="b">
        <f t="shared" si="2"/>
        <v>1</v>
      </c>
      <c r="L51" t="b">
        <f t="shared" si="3"/>
        <v>1</v>
      </c>
    </row>
    <row r="52" spans="1:12" x14ac:dyDescent="0.35">
      <c r="A52" s="240"/>
      <c r="B52" s="240" t="s">
        <v>67</v>
      </c>
      <c r="C52" s="240"/>
      <c r="D52" s="240">
        <v>18500</v>
      </c>
      <c r="E52" s="240">
        <v>25100</v>
      </c>
      <c r="F52" s="240">
        <v>27300</v>
      </c>
      <c r="H52" s="234">
        <f t="shared" si="7"/>
        <v>21092.436974789918</v>
      </c>
      <c r="I52" s="234">
        <f t="shared" si="8"/>
        <v>22941.176470588238</v>
      </c>
      <c r="K52" t="b">
        <f t="shared" si="2"/>
        <v>1</v>
      </c>
      <c r="L52" t="b">
        <f t="shared" si="3"/>
        <v>1</v>
      </c>
    </row>
    <row r="53" spans="1:12" x14ac:dyDescent="0.35">
      <c r="A53" s="240" t="s">
        <v>71</v>
      </c>
      <c r="B53" s="240" t="s">
        <v>63</v>
      </c>
      <c r="C53" s="240">
        <v>36800</v>
      </c>
      <c r="D53" s="240">
        <v>56500</v>
      </c>
      <c r="E53" s="240">
        <v>70400</v>
      </c>
      <c r="F53" s="240">
        <v>76800</v>
      </c>
      <c r="H53" s="234">
        <f t="shared" si="7"/>
        <v>59159.663865546223</v>
      </c>
      <c r="I53" s="234">
        <f t="shared" si="8"/>
        <v>64537.815126050424</v>
      </c>
      <c r="K53" t="b">
        <f t="shared" si="2"/>
        <v>1</v>
      </c>
      <c r="L53" t="b">
        <f t="shared" si="3"/>
        <v>1</v>
      </c>
    </row>
    <row r="54" spans="1:12" x14ac:dyDescent="0.35">
      <c r="A54" s="240"/>
      <c r="B54" s="240" t="s">
        <v>64</v>
      </c>
      <c r="C54" s="240">
        <v>45000</v>
      </c>
      <c r="D54" s="240">
        <v>69200</v>
      </c>
      <c r="E54" s="240">
        <v>86300</v>
      </c>
      <c r="F54" s="240">
        <v>94100</v>
      </c>
      <c r="H54" s="234">
        <f t="shared" si="7"/>
        <v>72521.008403361353</v>
      </c>
      <c r="I54" s="234">
        <f t="shared" si="8"/>
        <v>79075.630252100847</v>
      </c>
      <c r="K54" t="b">
        <f t="shared" si="2"/>
        <v>1</v>
      </c>
      <c r="L54" t="b">
        <f t="shared" si="3"/>
        <v>1</v>
      </c>
    </row>
    <row r="55" spans="1:12" x14ac:dyDescent="0.35">
      <c r="A55" s="240"/>
      <c r="B55" s="240" t="s">
        <v>65</v>
      </c>
      <c r="C55" s="240">
        <v>44400</v>
      </c>
      <c r="D55" s="240">
        <v>68300</v>
      </c>
      <c r="E55" s="240">
        <v>85000</v>
      </c>
      <c r="F55" s="240">
        <v>92700</v>
      </c>
      <c r="H55" s="234">
        <f t="shared" si="7"/>
        <v>71428.571428571435</v>
      </c>
      <c r="I55" s="234">
        <f t="shared" si="8"/>
        <v>77899.159663865546</v>
      </c>
      <c r="K55" t="b">
        <f t="shared" si="2"/>
        <v>1</v>
      </c>
      <c r="L55" t="b">
        <f t="shared" si="3"/>
        <v>1</v>
      </c>
    </row>
    <row r="56" spans="1:12" x14ac:dyDescent="0.35">
      <c r="A56" s="240"/>
      <c r="B56" s="240" t="s">
        <v>67</v>
      </c>
      <c r="C56" s="240">
        <v>59000</v>
      </c>
      <c r="D56" s="240">
        <v>90700</v>
      </c>
      <c r="E56" s="240">
        <v>112900</v>
      </c>
      <c r="F56" s="240">
        <v>123300</v>
      </c>
      <c r="H56" s="234">
        <f t="shared" si="7"/>
        <v>94873.94957983194</v>
      </c>
      <c r="I56" s="234">
        <f t="shared" si="8"/>
        <v>103613.44537815127</v>
      </c>
      <c r="K56" t="b">
        <f t="shared" si="2"/>
        <v>1</v>
      </c>
      <c r="L56" t="b">
        <f t="shared" si="3"/>
        <v>1</v>
      </c>
    </row>
    <row r="57" spans="1:12" x14ac:dyDescent="0.35">
      <c r="A57" s="240"/>
      <c r="B57" s="240" t="s">
        <v>68</v>
      </c>
      <c r="C57" s="240">
        <v>11200</v>
      </c>
      <c r="D57" s="240">
        <v>17200</v>
      </c>
      <c r="E57" s="240">
        <v>21500</v>
      </c>
      <c r="F57" s="240">
        <v>23400</v>
      </c>
      <c r="H57" s="234">
        <f t="shared" si="7"/>
        <v>18067.226890756305</v>
      </c>
      <c r="I57" s="234">
        <f t="shared" si="8"/>
        <v>19663.865546218487</v>
      </c>
      <c r="K57" t="b">
        <f t="shared" si="2"/>
        <v>1</v>
      </c>
      <c r="L57" t="b">
        <f t="shared" si="3"/>
        <v>1</v>
      </c>
    </row>
    <row r="58" spans="1:12" x14ac:dyDescent="0.35">
      <c r="A58" s="240"/>
      <c r="B58" s="240" t="s">
        <v>30</v>
      </c>
      <c r="C58" s="240"/>
      <c r="D58" s="240"/>
      <c r="E58" s="240"/>
      <c r="F58" s="240"/>
      <c r="H58" s="234"/>
      <c r="I58" s="234"/>
    </row>
    <row r="59" spans="1:12" x14ac:dyDescent="0.35">
      <c r="A59" s="240"/>
      <c r="B59" s="240" t="s">
        <v>63</v>
      </c>
      <c r="C59" s="240"/>
      <c r="D59" s="240">
        <v>17000</v>
      </c>
      <c r="E59" s="240">
        <v>21200</v>
      </c>
      <c r="F59" s="240">
        <v>23100</v>
      </c>
      <c r="H59" s="234">
        <f t="shared" ref="H59:I62" si="9">E59/$I$2</f>
        <v>17815.126050420167</v>
      </c>
      <c r="I59" s="234">
        <f t="shared" si="9"/>
        <v>19411.764705882353</v>
      </c>
      <c r="K59" t="b">
        <f t="shared" si="2"/>
        <v>1</v>
      </c>
      <c r="L59" t="b">
        <f t="shared" si="3"/>
        <v>1</v>
      </c>
    </row>
    <row r="60" spans="1:12" x14ac:dyDescent="0.35">
      <c r="A60" s="240"/>
      <c r="B60" s="240" t="s">
        <v>64</v>
      </c>
      <c r="C60" s="240"/>
      <c r="D60" s="240">
        <v>20800</v>
      </c>
      <c r="E60" s="240">
        <v>25900</v>
      </c>
      <c r="F60" s="240">
        <v>28300</v>
      </c>
      <c r="H60" s="234">
        <f t="shared" si="9"/>
        <v>21764.705882352941</v>
      </c>
      <c r="I60" s="234">
        <f t="shared" si="9"/>
        <v>23781.512605042019</v>
      </c>
      <c r="K60" t="b">
        <f t="shared" si="2"/>
        <v>1</v>
      </c>
      <c r="L60" t="b">
        <f t="shared" si="3"/>
        <v>1</v>
      </c>
    </row>
    <row r="61" spans="1:12" x14ac:dyDescent="0.35">
      <c r="A61" s="240"/>
      <c r="B61" s="240" t="s">
        <v>65</v>
      </c>
      <c r="C61" s="240"/>
      <c r="D61" s="240">
        <v>20500</v>
      </c>
      <c r="E61" s="240">
        <v>25500</v>
      </c>
      <c r="F61" s="240">
        <v>27900</v>
      </c>
      <c r="H61" s="234">
        <f t="shared" si="9"/>
        <v>21428.571428571431</v>
      </c>
      <c r="I61" s="234">
        <f t="shared" si="9"/>
        <v>23445.378151260506</v>
      </c>
      <c r="K61" t="b">
        <f t="shared" si="2"/>
        <v>1</v>
      </c>
      <c r="L61" t="b">
        <f t="shared" si="3"/>
        <v>1</v>
      </c>
    </row>
    <row r="62" spans="1:12" x14ac:dyDescent="0.35">
      <c r="A62" s="240"/>
      <c r="B62" s="240" t="s">
        <v>67</v>
      </c>
      <c r="C62" s="240"/>
      <c r="D62" s="240">
        <v>27300</v>
      </c>
      <c r="E62" s="240">
        <v>33900</v>
      </c>
      <c r="F62" s="240">
        <v>37000</v>
      </c>
      <c r="H62" s="234">
        <f t="shared" si="9"/>
        <v>28487.394957983193</v>
      </c>
      <c r="I62" s="234">
        <f t="shared" si="9"/>
        <v>31092.436974789918</v>
      </c>
      <c r="K62" t="b">
        <f t="shared" si="2"/>
        <v>1</v>
      </c>
      <c r="L62" t="b">
        <f t="shared" si="3"/>
        <v>1</v>
      </c>
    </row>
  </sheetData>
  <mergeCells count="1">
    <mergeCell ref="C2:F2"/>
  </mergeCells>
  <pageMargins left="0.7" right="0.7" top="0.75" bottom="0.75" header="0.3" footer="0.3"/>
  <pageSetup paperSize="14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39"/>
  <sheetViews>
    <sheetView topLeftCell="A25" workbookViewId="0"/>
  </sheetViews>
  <sheetFormatPr baseColWidth="10" defaultRowHeight="14.5" x14ac:dyDescent="0.35"/>
  <cols>
    <col min="11" max="11" width="35.54296875" customWidth="1"/>
  </cols>
  <sheetData>
    <row r="1" spans="2:12" x14ac:dyDescent="0.35">
      <c r="B1" s="4"/>
      <c r="C1" s="4"/>
      <c r="D1" s="4"/>
      <c r="E1" s="4"/>
      <c r="F1" s="4"/>
      <c r="G1" s="4"/>
      <c r="H1" s="3"/>
      <c r="I1" s="4"/>
      <c r="J1" s="4"/>
      <c r="K1" s="4"/>
      <c r="L1" s="4"/>
    </row>
    <row r="2" spans="2:12" ht="18" x14ac:dyDescent="0.35">
      <c r="B2" s="4"/>
      <c r="C2" s="4"/>
      <c r="D2" s="4"/>
      <c r="E2" s="4"/>
      <c r="F2" s="4"/>
      <c r="G2" s="4"/>
      <c r="H2" s="178" t="s">
        <v>250</v>
      </c>
      <c r="I2" s="4"/>
      <c r="J2" s="4"/>
      <c r="K2" s="4"/>
      <c r="L2" s="4"/>
    </row>
    <row r="3" spans="2:12" x14ac:dyDescent="0.35">
      <c r="B3" s="4"/>
      <c r="C3" s="4"/>
      <c r="D3" s="4"/>
      <c r="E3" s="4"/>
      <c r="F3" s="4"/>
      <c r="G3" s="4"/>
      <c r="H3" s="4"/>
      <c r="I3" s="4"/>
      <c r="J3" s="4"/>
      <c r="K3" s="4"/>
      <c r="L3" s="4"/>
    </row>
    <row r="4" spans="2:12" x14ac:dyDescent="0.35">
      <c r="B4" s="4"/>
      <c r="C4" s="4"/>
      <c r="D4" s="4"/>
      <c r="E4" s="4"/>
      <c r="F4" s="4"/>
      <c r="G4" s="4"/>
      <c r="H4" s="4"/>
      <c r="I4" s="4"/>
      <c r="J4" s="4"/>
      <c r="K4" s="4"/>
      <c r="L4" s="4"/>
    </row>
    <row r="5" spans="2:12" ht="18" x14ac:dyDescent="0.35">
      <c r="B5" s="1313" t="s">
        <v>251</v>
      </c>
      <c r="C5" s="1313"/>
      <c r="D5" s="1313"/>
      <c r="E5" s="1313"/>
      <c r="F5" s="179"/>
      <c r="G5" s="179"/>
      <c r="H5" s="179"/>
      <c r="I5" s="179"/>
      <c r="J5" s="179"/>
      <c r="K5" s="179"/>
      <c r="L5" s="179"/>
    </row>
    <row r="6" spans="2:12" x14ac:dyDescent="0.35">
      <c r="B6" s="4"/>
      <c r="C6" s="1313" t="s">
        <v>2</v>
      </c>
      <c r="D6" s="1313"/>
      <c r="E6" s="1313"/>
      <c r="F6" s="1313"/>
      <c r="G6" s="1313"/>
      <c r="H6" s="1313"/>
      <c r="I6" s="1313"/>
      <c r="J6" s="1313"/>
      <c r="K6" s="1313"/>
      <c r="L6" s="4"/>
    </row>
    <row r="7" spans="2:12" x14ac:dyDescent="0.35">
      <c r="B7" s="4"/>
      <c r="C7" s="1313" t="s">
        <v>252</v>
      </c>
      <c r="D7" s="1313"/>
      <c r="E7" s="1313"/>
      <c r="F7" s="1313"/>
      <c r="G7" s="1313"/>
      <c r="H7" s="1313"/>
      <c r="I7" s="1313"/>
      <c r="J7" s="1313"/>
      <c r="K7" s="1313"/>
      <c r="L7" s="4"/>
    </row>
    <row r="8" spans="2:12" x14ac:dyDescent="0.35">
      <c r="B8" s="4"/>
      <c r="C8" s="4"/>
      <c r="D8" s="4"/>
      <c r="E8" s="4"/>
      <c r="F8" s="4"/>
      <c r="G8" s="4"/>
      <c r="H8" s="4"/>
      <c r="I8" s="4"/>
      <c r="J8" s="4"/>
      <c r="K8" s="4"/>
      <c r="L8" s="4"/>
    </row>
    <row r="9" spans="2:12" ht="18" x14ac:dyDescent="0.35">
      <c r="B9" s="1313" t="s">
        <v>253</v>
      </c>
      <c r="C9" s="1313"/>
      <c r="D9" s="1313"/>
      <c r="E9" s="1313"/>
      <c r="F9" s="179"/>
      <c r="G9" s="179"/>
      <c r="H9" s="179"/>
      <c r="I9" s="179"/>
      <c r="J9" s="179"/>
      <c r="K9" s="179"/>
      <c r="L9" s="179"/>
    </row>
    <row r="10" spans="2:12" x14ac:dyDescent="0.35">
      <c r="B10" s="4"/>
      <c r="C10" s="1313" t="s">
        <v>254</v>
      </c>
      <c r="D10" s="1313"/>
      <c r="E10" s="1313"/>
      <c r="F10" s="1313"/>
      <c r="G10" s="1313"/>
      <c r="H10" s="1313"/>
      <c r="I10" s="1313"/>
      <c r="J10" s="1313"/>
      <c r="K10" s="1313"/>
      <c r="L10" s="4"/>
    </row>
    <row r="11" spans="2:12" x14ac:dyDescent="0.35">
      <c r="B11" s="4"/>
      <c r="C11" s="1313" t="s">
        <v>255</v>
      </c>
      <c r="D11" s="1313"/>
      <c r="E11" s="1313"/>
      <c r="F11" s="1313"/>
      <c r="G11" s="1313"/>
      <c r="H11" s="1313"/>
      <c r="I11" s="4"/>
      <c r="J11" s="4"/>
      <c r="K11" s="4"/>
      <c r="L11" s="4"/>
    </row>
    <row r="12" spans="2:12" x14ac:dyDescent="0.35">
      <c r="B12" s="4"/>
      <c r="C12" s="4"/>
      <c r="D12" s="4"/>
      <c r="E12" s="4"/>
      <c r="F12" s="4"/>
      <c r="G12" s="4"/>
      <c r="H12" s="4"/>
      <c r="I12" s="4"/>
      <c r="J12" s="4"/>
      <c r="K12" s="4"/>
      <c r="L12" s="4"/>
    </row>
    <row r="13" spans="2:12" ht="18" x14ac:dyDescent="0.35">
      <c r="B13" s="1313" t="s">
        <v>256</v>
      </c>
      <c r="C13" s="1313"/>
      <c r="D13" s="1313"/>
      <c r="E13" s="1313"/>
      <c r="F13" s="1313"/>
      <c r="G13" s="179"/>
      <c r="H13" s="179"/>
      <c r="I13" s="179"/>
      <c r="J13" s="179"/>
      <c r="K13" s="179"/>
      <c r="L13" s="179"/>
    </row>
    <row r="14" spans="2:12" x14ac:dyDescent="0.35">
      <c r="B14" s="4"/>
      <c r="C14" s="1313" t="s">
        <v>257</v>
      </c>
      <c r="D14" s="1313"/>
      <c r="E14" s="1313"/>
      <c r="F14" s="1313"/>
      <c r="G14" s="1313"/>
      <c r="H14" s="1313"/>
      <c r="I14" s="1313"/>
      <c r="J14" s="1313"/>
      <c r="K14" s="1313"/>
      <c r="L14" s="4"/>
    </row>
    <row r="15" spans="2:12" x14ac:dyDescent="0.35">
      <c r="B15" s="4"/>
      <c r="C15" s="4"/>
      <c r="D15" s="4"/>
      <c r="E15" s="4"/>
      <c r="F15" s="4"/>
      <c r="G15" s="4"/>
      <c r="H15" s="4"/>
      <c r="I15" s="4"/>
      <c r="J15" s="4"/>
      <c r="K15" s="4"/>
      <c r="L15" s="4"/>
    </row>
    <row r="16" spans="2:12" ht="18" x14ac:dyDescent="0.35">
      <c r="B16" s="1313" t="s">
        <v>258</v>
      </c>
      <c r="C16" s="1313"/>
      <c r="D16" s="1313"/>
      <c r="E16" s="1313"/>
      <c r="F16" s="1313"/>
      <c r="G16" s="179"/>
      <c r="H16" s="179"/>
      <c r="I16" s="179"/>
      <c r="J16" s="179"/>
      <c r="K16" s="179"/>
      <c r="L16" s="179"/>
    </row>
    <row r="17" spans="2:12" x14ac:dyDescent="0.35">
      <c r="B17" s="4"/>
      <c r="C17" s="1313" t="s">
        <v>259</v>
      </c>
      <c r="D17" s="1313"/>
      <c r="E17" s="1313"/>
      <c r="F17" s="1313"/>
      <c r="G17" s="1313"/>
      <c r="H17" s="1313"/>
      <c r="I17" s="1313"/>
      <c r="J17" s="1313"/>
      <c r="K17" s="1313"/>
      <c r="L17" s="4"/>
    </row>
    <row r="18" spans="2:12" x14ac:dyDescent="0.35">
      <c r="B18" s="4"/>
      <c r="C18" s="1313" t="s">
        <v>260</v>
      </c>
      <c r="D18" s="1313"/>
      <c r="E18" s="1313"/>
      <c r="F18" s="1313"/>
      <c r="G18" s="1313"/>
      <c r="H18" s="1313"/>
      <c r="I18" s="1313"/>
      <c r="J18" s="1313"/>
      <c r="K18" s="1313"/>
      <c r="L18" s="4"/>
    </row>
    <row r="19" spans="2:12" x14ac:dyDescent="0.35">
      <c r="B19" s="4"/>
      <c r="C19" s="1313" t="s">
        <v>261</v>
      </c>
      <c r="D19" s="1313"/>
      <c r="E19" s="1313"/>
      <c r="F19" s="1313"/>
      <c r="G19" s="1313"/>
      <c r="H19" s="1313"/>
      <c r="I19" s="1313"/>
      <c r="J19" s="1313"/>
      <c r="K19" s="1313"/>
      <c r="L19" s="4"/>
    </row>
    <row r="20" spans="2:12" x14ac:dyDescent="0.35">
      <c r="B20" s="4"/>
      <c r="C20" s="1313" t="s">
        <v>262</v>
      </c>
      <c r="D20" s="1313"/>
      <c r="E20" s="1313"/>
      <c r="F20" s="1313"/>
      <c r="G20" s="1313"/>
      <c r="H20" s="1313"/>
      <c r="I20" s="1313"/>
      <c r="J20" s="1313"/>
      <c r="K20" s="1313"/>
      <c r="L20" s="4"/>
    </row>
    <row r="21" spans="2:12" x14ac:dyDescent="0.35">
      <c r="B21" s="4"/>
      <c r="C21" s="1313" t="s">
        <v>190</v>
      </c>
      <c r="D21" s="1313"/>
      <c r="E21" s="1313"/>
      <c r="F21" s="1313"/>
      <c r="G21" s="1313"/>
      <c r="H21" s="1313"/>
      <c r="I21" s="1313"/>
      <c r="J21" s="1313"/>
      <c r="K21" s="1313"/>
      <c r="L21" s="4"/>
    </row>
    <row r="22" spans="2:12" x14ac:dyDescent="0.35">
      <c r="B22" s="4"/>
      <c r="C22" s="1314" t="s">
        <v>194</v>
      </c>
      <c r="D22" s="1313"/>
      <c r="E22" s="1313"/>
      <c r="F22" s="1313"/>
      <c r="G22" s="1313"/>
      <c r="H22" s="1313"/>
      <c r="I22" s="1313"/>
      <c r="J22" s="1313"/>
      <c r="K22" s="1313"/>
      <c r="L22" s="4"/>
    </row>
    <row r="23" spans="2:12" x14ac:dyDescent="0.35">
      <c r="B23" s="4"/>
      <c r="C23" s="4"/>
      <c r="D23" s="4"/>
      <c r="E23" s="4"/>
      <c r="F23" s="4"/>
      <c r="G23" s="4"/>
      <c r="H23" s="4"/>
      <c r="I23" s="4"/>
      <c r="J23" s="4"/>
      <c r="K23" s="4"/>
      <c r="L23" s="4"/>
    </row>
    <row r="24" spans="2:12" ht="18" x14ac:dyDescent="0.35">
      <c r="B24" s="1313" t="s">
        <v>263</v>
      </c>
      <c r="C24" s="1313"/>
      <c r="D24" s="1313"/>
      <c r="E24" s="1313"/>
      <c r="F24" s="179"/>
      <c r="G24" s="179"/>
      <c r="H24" s="179"/>
      <c r="I24" s="179"/>
      <c r="J24" s="179"/>
      <c r="K24" s="179"/>
      <c r="L24" s="179"/>
    </row>
    <row r="25" spans="2:12" x14ac:dyDescent="0.35">
      <c r="B25" s="4"/>
      <c r="C25" s="1313" t="s">
        <v>198</v>
      </c>
      <c r="D25" s="1313"/>
      <c r="E25" s="1313"/>
      <c r="F25" s="1313"/>
      <c r="G25" s="1313"/>
      <c r="H25" s="1313"/>
      <c r="I25" s="1313"/>
      <c r="J25" s="1313"/>
      <c r="K25" s="1313"/>
      <c r="L25" s="4"/>
    </row>
    <row r="26" spans="2:12" x14ac:dyDescent="0.35">
      <c r="B26" s="4"/>
      <c r="C26" s="181"/>
      <c r="D26" s="181"/>
      <c r="E26" s="181"/>
      <c r="F26" s="181"/>
      <c r="G26" s="181"/>
      <c r="H26" s="181"/>
      <c r="I26" s="181"/>
      <c r="J26" s="181"/>
      <c r="K26" s="181"/>
      <c r="L26" s="4"/>
    </row>
    <row r="27" spans="2:12" ht="18" x14ac:dyDescent="0.35">
      <c r="B27" s="1313" t="s">
        <v>264</v>
      </c>
      <c r="C27" s="1313"/>
      <c r="D27" s="1313"/>
      <c r="E27" s="1313"/>
      <c r="F27" s="179"/>
      <c r="G27" s="179"/>
      <c r="H27" s="179"/>
      <c r="I27" s="179"/>
      <c r="J27" s="179"/>
      <c r="K27" s="179"/>
      <c r="L27" s="179"/>
    </row>
    <row r="28" spans="2:12" x14ac:dyDescent="0.35">
      <c r="B28" s="4"/>
      <c r="C28" s="1313" t="s">
        <v>265</v>
      </c>
      <c r="D28" s="1313"/>
      <c r="E28" s="1313"/>
      <c r="F28" s="1313"/>
      <c r="G28" s="1313"/>
      <c r="H28" s="1313"/>
      <c r="I28" s="1313"/>
      <c r="J28" s="1313"/>
      <c r="K28" s="1313"/>
      <c r="L28" s="4"/>
    </row>
    <row r="29" spans="2:12" x14ac:dyDescent="0.35">
      <c r="B29" s="4"/>
      <c r="C29" s="181"/>
      <c r="D29" s="181"/>
      <c r="E29" s="181"/>
      <c r="F29" s="181"/>
      <c r="G29" s="181"/>
      <c r="H29" s="181"/>
      <c r="I29" s="181"/>
      <c r="J29" s="181"/>
      <c r="K29" s="181"/>
      <c r="L29" s="4"/>
    </row>
    <row r="30" spans="2:12" ht="18" x14ac:dyDescent="0.35">
      <c r="B30" s="1313" t="s">
        <v>266</v>
      </c>
      <c r="C30" s="1313"/>
      <c r="D30" s="1313"/>
      <c r="E30" s="1313"/>
      <c r="F30" s="179"/>
      <c r="G30" s="179"/>
      <c r="H30" s="179"/>
      <c r="I30" s="179"/>
      <c r="J30" s="179"/>
      <c r="K30" s="179"/>
      <c r="L30" s="179"/>
    </row>
    <row r="31" spans="2:12" x14ac:dyDescent="0.35">
      <c r="B31" s="4"/>
      <c r="C31" s="1313" t="s">
        <v>267</v>
      </c>
      <c r="D31" s="1313"/>
      <c r="E31" s="1313"/>
      <c r="F31" s="1313"/>
      <c r="G31" s="1313"/>
      <c r="H31" s="1313"/>
      <c r="I31" s="1313"/>
      <c r="J31" s="1313"/>
      <c r="K31" s="1313"/>
      <c r="L31" s="4"/>
    </row>
    <row r="32" spans="2:12" x14ac:dyDescent="0.35">
      <c r="B32" s="4"/>
      <c r="C32" s="181"/>
      <c r="D32" s="181"/>
      <c r="E32" s="181"/>
      <c r="F32" s="181"/>
      <c r="G32" s="181"/>
      <c r="H32" s="181"/>
      <c r="I32" s="181"/>
      <c r="J32" s="181"/>
      <c r="K32" s="181"/>
      <c r="L32" s="4"/>
    </row>
    <row r="33" spans="2:12" ht="18" x14ac:dyDescent="0.35">
      <c r="B33" s="1313" t="s">
        <v>268</v>
      </c>
      <c r="C33" s="1313"/>
      <c r="D33" s="1313"/>
      <c r="E33" s="1313"/>
      <c r="F33" s="179"/>
      <c r="G33" s="179"/>
      <c r="H33" s="179"/>
      <c r="I33" s="179"/>
      <c r="J33" s="179"/>
      <c r="K33" s="179"/>
      <c r="L33" s="179"/>
    </row>
    <row r="34" spans="2:12" ht="18" x14ac:dyDescent="0.35">
      <c r="B34" s="181"/>
      <c r="C34" s="181"/>
      <c r="D34" s="181"/>
      <c r="E34" s="181"/>
      <c r="F34" s="179"/>
      <c r="G34" s="179"/>
      <c r="H34" s="179"/>
      <c r="I34" s="179"/>
      <c r="J34" s="179"/>
      <c r="K34" s="179"/>
      <c r="L34" s="179"/>
    </row>
    <row r="35" spans="2:12" x14ac:dyDescent="0.35">
      <c r="B35" s="180" t="s">
        <v>269</v>
      </c>
      <c r="C35" s="180"/>
      <c r="D35" s="4"/>
      <c r="E35" s="4"/>
      <c r="F35" s="4"/>
      <c r="G35" s="4"/>
      <c r="H35" s="4"/>
      <c r="I35" s="4"/>
      <c r="J35" s="4"/>
      <c r="K35" s="4"/>
      <c r="L35" s="4"/>
    </row>
    <row r="36" spans="2:12" x14ac:dyDescent="0.35">
      <c r="B36" s="4"/>
      <c r="C36" s="180" t="s">
        <v>270</v>
      </c>
      <c r="D36" s="180"/>
      <c r="E36" s="180"/>
      <c r="F36" s="4"/>
      <c r="G36" s="4"/>
      <c r="H36" s="4"/>
      <c r="I36" s="4"/>
      <c r="J36" s="4"/>
      <c r="K36" s="4"/>
      <c r="L36" s="4"/>
    </row>
    <row r="37" spans="2:12" x14ac:dyDescent="0.35">
      <c r="B37" s="4"/>
      <c r="C37" s="4"/>
      <c r="D37" s="4"/>
      <c r="E37" s="4"/>
      <c r="F37" s="4"/>
      <c r="G37" s="4"/>
      <c r="H37" s="4"/>
      <c r="I37" s="4"/>
      <c r="J37" s="4"/>
      <c r="K37" s="4"/>
      <c r="L37" s="4"/>
    </row>
    <row r="38" spans="2:12" x14ac:dyDescent="0.35">
      <c r="B38" s="192" t="s">
        <v>271</v>
      </c>
      <c r="D38" s="4"/>
    </row>
    <row r="39" spans="2:12" x14ac:dyDescent="0.35">
      <c r="C39" s="180" t="s">
        <v>272</v>
      </c>
    </row>
  </sheetData>
  <sheetProtection algorithmName="SHA-512" hashValue="d6xPEroqxm1y2uPc6Xhv8TB50AEzDaVDqyhWu6xf+Y5Or/VQSEy2w+nwhR26fZFKsLski/VAlee3RcaaDi1rfQ==" saltValue="FyFA9jvhZwdi56lNgaimKQ==" spinCount="100000" sheet="1" objects="1" scenarios="1"/>
  <mergeCells count="22">
    <mergeCell ref="C28:K28"/>
    <mergeCell ref="B30:E30"/>
    <mergeCell ref="C31:K31"/>
    <mergeCell ref="B33:E33"/>
    <mergeCell ref="C20:K20"/>
    <mergeCell ref="C21:K21"/>
    <mergeCell ref="C22:K22"/>
    <mergeCell ref="B24:E24"/>
    <mergeCell ref="C25:K25"/>
    <mergeCell ref="B27:E27"/>
    <mergeCell ref="C19:K19"/>
    <mergeCell ref="B5:E5"/>
    <mergeCell ref="C6:K6"/>
    <mergeCell ref="C7:K7"/>
    <mergeCell ref="B9:E9"/>
    <mergeCell ref="C10:K10"/>
    <mergeCell ref="C11:H11"/>
    <mergeCell ref="B13:F13"/>
    <mergeCell ref="C14:K14"/>
    <mergeCell ref="B16:F16"/>
    <mergeCell ref="C17:K17"/>
    <mergeCell ref="C18:K18"/>
  </mergeCells>
  <hyperlinks>
    <hyperlink ref="B5" location="'A) Reajuste Tarifas y Ocupación'!A1" display="A) Reajuste Tarifas y Ocupación" xr:uid="{00000000-0004-0000-0100-000000000000}"/>
    <hyperlink ref="C6" location="'A) Reajuste Tarifas y Ocupación'!B9:H37" display="TABLA 1. REAJUSTE DE TARIFAS POR PRESTACIÓN Y SEGMENTO" xr:uid="{00000000-0004-0000-0100-000001000000}"/>
    <hyperlink ref="C7" location="'A) Reajuste Tarifas y Ocupación'!J9:Q37" display="TABLA 2. METAS DE OCUPACIÓN POR PRESTACIÓN Y SEGMENTO" xr:uid="{00000000-0004-0000-0100-000002000000}"/>
    <hyperlink ref="B9" location="'B) Comparación Mercado'!A1" display="B) Comparación Mercado" xr:uid="{00000000-0004-0000-0100-000003000000}"/>
    <hyperlink ref="C10" location="'B) Comparación Mercado'!A13" display="TABLA 1. COMPARACIÓN TARIFAS CON PRECIOS DE MERCADO" xr:uid="{00000000-0004-0000-0100-000004000000}"/>
    <hyperlink ref="B13" location="'D) Estimación Costos'!A1" display="D) Estimación Costos" xr:uid="{00000000-0004-0000-0100-000005000000}"/>
    <hyperlink ref="C14" location="'D) Estimación Costos'!A7" display="TABLA 1. COSTOS DIRECTOS POR CENTRO DE COSTO" xr:uid="{00000000-0004-0000-0100-000006000000}"/>
    <hyperlink ref="B30" location="'E) Resumen Ingresos y Egresos'!A1" display="E) Resumen Ingresos y Egresos" xr:uid="{00000000-0004-0000-0100-000007000000}"/>
    <hyperlink ref="C31" location="'E) Resumen Ingresos y Egresos'!A7:J25" display="TABLA 1. RESUMEN DE INGRESOS Y EGRESOS POR CENTRO DE COSTO" xr:uid="{00000000-0004-0000-0100-000008000000}"/>
    <hyperlink ref="B33" location="'G) Detalle Datos'!A1" display="G) Detalle Datos" xr:uid="{00000000-0004-0000-0100-000009000000}"/>
    <hyperlink ref="C6:K6" location="'A) Resumen Ingresos y Egresos'!A6" display="TABLA 1: RESUMEN DE INGRESOS Y EGRESOS DE CENTROS DE BENEFICIOS" xr:uid="{00000000-0004-0000-0100-00000A000000}"/>
    <hyperlink ref="C7:K7" location="'A) Resumen Ingresos y Egresos'!A26" display="TABLA 2:  DETALLE DE INGRESOS POR PRESTACIÓN Y SEGMENTO" xr:uid="{00000000-0004-0000-0100-00000B000000}"/>
    <hyperlink ref="C31:K31" location="'G) Comparación Mercado'!A13" display="TABLA 14:COMPARACIÓN TARIFAS CON PRECIOS DE MERCADO" xr:uid="{00000000-0004-0000-0100-00000C000000}"/>
    <hyperlink ref="C14:K14" location="'C) Costos Directos'!A7" display="TABLA 5: COSTOS DIRECTOS DE CENTROS DE BENEFICIOS " xr:uid="{00000000-0004-0000-0100-00000D000000}"/>
    <hyperlink ref="B27" location="'C) Remuneraciones'!A1" display="C) Remuneraciones" xr:uid="{00000000-0004-0000-0100-00000E000000}"/>
    <hyperlink ref="C28" location="'C) Remuneraciones'!A9:M36" display="TABLA 1. REMUNERACIONES DEL PERSONAL CÓDIGO DEL TRABAJO POR CENTRO DE COSTO" xr:uid="{00000000-0004-0000-0100-00000F000000}"/>
    <hyperlink ref="C28:K28" location="'F) Remuneraciones'!B7" display="TABLA 13: REMUNERACIONES DEL PERSONAL LEY 18.712 DE CENTROS DE BENEFICIOS" xr:uid="{00000000-0004-0000-0100-000010000000}"/>
    <hyperlink ref="B16" location="'D) Estimación Costos'!A1" display="D) Estimación Costos" xr:uid="{00000000-0004-0000-0100-000011000000}"/>
    <hyperlink ref="C17" location="'D) Estimación Costos'!A7" display="TABLA 1. COSTOS DIRECTOS POR CENTRO DE COSTO" xr:uid="{00000000-0004-0000-0100-000012000000}"/>
    <hyperlink ref="C18" location="'D) Estimación Costos'!A1096" display="TABLA 2. COSTOS INDIRECTOS EN REMUNERACIONES DE UNIDADES DE APOYO ADMINISTRATIVO" xr:uid="{00000000-0004-0000-0100-000013000000}"/>
    <hyperlink ref="C19" location="'D) Estimación Costos'!A1150:L1185" display="TABLA 3. COSTOS DE OPERACIÓN PISCINAS POR CENTRO DE COSTO" xr:uid="{00000000-0004-0000-0100-000014000000}"/>
    <hyperlink ref="C19:K19" location="'D) Costos Indirectos '!U12" display="TABLA 8: COSTOS DE OPERACION ADMINISTRACIÓN CENTRAL Y  APOYO ADMINISTRATIVO ASISTENCIA RECREATIVA" xr:uid="{00000000-0004-0000-0100-000015000000}"/>
    <hyperlink ref="C17:K17" location="'D) Costos Indirectos '!B10" display="TABLA 6: REMUNERACIONES DEL PERSONAL LEY 18.712 ADMINISTRACION CENTRAL Y APOYO ADMINISTRATIVO ASISTENCIA RECREATIVA" xr:uid="{00000000-0004-0000-0100-000016000000}"/>
    <hyperlink ref="C10:K10" location="'B) Reajuste Tarifas y Ocupación'!A5" display="TABLA 3: REAJUSTE DE TARIFAS POR PRESTACIÓN Y SEGMENTO" xr:uid="{00000000-0004-0000-0100-000017000000}"/>
    <hyperlink ref="C11" location="'B) Reajuste Tarifas y Ocupación'!A1" display="TABLA 4: METAS DE OCUPACIÓN POR PRESTACIÓN Y SEGMENTO" xr:uid="{00000000-0004-0000-0100-000018000000}"/>
    <hyperlink ref="C20" location="'D) Estimación Costos'!A1150:L1185" display="TABLA 3. COSTOS DE OPERACIÓN PISCINAS POR CENTRO DE COSTO" xr:uid="{00000000-0004-0000-0100-000019000000}"/>
    <hyperlink ref="C20:K20" location="'D) Costos Indirectos '!Z9" display="TABLA 9: RESUMEN DISTRIBUCION COSTOS REMUNERACIONES ADMINISTRACION CENTRAL Y APOYO ADMINISTRATIVO A. RECREATIVA" xr:uid="{00000000-0004-0000-0100-00001A000000}"/>
    <hyperlink ref="C21" location="'D) Estimación Costos'!A1150:L1185" display="TABLA 3. COSTOS DE OPERACIÓN PISCINAS POR CENTRO DE COSTO" xr:uid="{00000000-0004-0000-0100-00001B000000}"/>
    <hyperlink ref="C21:K21" location="'D) Costos Indirectos '!AG9" display="TABLA 10: RESUMEN DISTRIBUCION COSTOS OPERACIÓN ADMINISTRACION CENTRAL  Y APOYO ADMINISTRATIVO A. RECREATIVA" xr:uid="{00000000-0004-0000-0100-00001C000000}"/>
    <hyperlink ref="C22" location="'D) Estimación Costos'!A1150:L1185" display="TABLA 3. COSTOS DE OPERACIÓN PISCINAS POR CENTRO DE COSTO" xr:uid="{00000000-0004-0000-0100-00001D000000}"/>
    <hyperlink ref="C22:K22" location="'D) Costos Indirectos '!AN9" display="'D) Costos Indirectos '!AN9" xr:uid="{00000000-0004-0000-0100-00001E000000}"/>
    <hyperlink ref="B24" location="'F) Resumen Tarifado '!A1" display="F) Resumen Tarifado" xr:uid="{00000000-0004-0000-0100-00001F000000}"/>
    <hyperlink ref="C25" location="'F) Resumen Tarifado '!A7:R40" display="TABLA 1. RESUMEN DE TARIFADO POR CENTRO DE COSTO" xr:uid="{00000000-0004-0000-0100-000020000000}"/>
    <hyperlink ref="C25:K25" location="'E) Resumen Tarifado '!A6" display="TABLA 12: RESUMEN DE TARIFADO" xr:uid="{00000000-0004-0000-0100-000021000000}"/>
    <hyperlink ref="B24:E24" location="'E) Resumen Tarifado '!A1" display="F) Resumen Tarifado" xr:uid="{00000000-0004-0000-0100-000022000000}"/>
    <hyperlink ref="B27:E27" location="'F) Remuneraciones'!A1" display="F) Remuneraciones" xr:uid="{00000000-0004-0000-0100-000023000000}"/>
    <hyperlink ref="B30:E30" location="'G) Comparación Mercado'!A1" display="G) Comparación Mercado" xr:uid="{00000000-0004-0000-0100-000024000000}"/>
    <hyperlink ref="B33:E33" location="'H) Detalle Datos'!A1" display="G) Detalle Datos" xr:uid="{00000000-0004-0000-0100-000025000000}"/>
    <hyperlink ref="B9:E9" location="'B) Reajuste Tarifas y Ocupación'!A1" display="B) Reajuste Tarifa y Ocupación" xr:uid="{00000000-0004-0000-0100-000026000000}"/>
    <hyperlink ref="C18:K18" location="'D) Costos Indirectos '!M10" display="TABLA 7: DISTRIBUCION COSTOS REMUNERACIONES ADMINISTRACION CENTRAL Y APOYO ADMINISTRATIVO A. RECREATIVA" xr:uid="{00000000-0004-0000-0100-000027000000}"/>
    <hyperlink ref="C11:H11" location="'B) Reajuste Tarifas y Ocupación'!S5" display="TABLA 4: METAS DE OCUPACIÓN POR PRESTACIÓN Y SEGMENTO" xr:uid="{00000000-0004-0000-0100-000028000000}"/>
    <hyperlink ref="B35:C35" location="'I) Costo Desayuno'!A1" display="I) Costo Desyuno" xr:uid="{00000000-0004-0000-0100-000029000000}"/>
    <hyperlink ref="C36:E36" location="'I) Costo Desayuno'!B8" display="TABLA 15: COSTO DESAYUNO" xr:uid="{00000000-0004-0000-0100-00002A000000}"/>
    <hyperlink ref="C36" location="'I) Costo Desayuno'!B12" display="TABLA 15: COSTO DESAYUNO" xr:uid="{00000000-0004-0000-0100-00002B000000}"/>
    <hyperlink ref="B38" location="'J)ESTRUCTURA ECONOMICA MENS.'!A1" display="J) Estructura Económica Mensual" xr:uid="{00000000-0004-0000-0100-00002C000000}"/>
    <hyperlink ref="C39" location="'J)ESTRUCTURA ECONOMICA MENS.'!A1" display="TABLA N°16:  RESULTADO OPERACIONAL MENSUAL" xr:uid="{00000000-0004-0000-0100-00002D000000}"/>
    <hyperlink ref="B5:E5" location="'A) Resumen Ingresos y Egresos'!A1" display="A) Resumen Ingresos y Egresos" xr:uid="{00000000-0004-0000-0100-00002E000000}"/>
    <hyperlink ref="B13:F13" location="'C) Costos Directos'!A1" display="C) Estimación Costos Directos" xr:uid="{00000000-0004-0000-0100-00002F000000}"/>
    <hyperlink ref="B16:F16" location="'D) Costos Indirectos '!A1" display="D) Costos Indirectos" xr:uid="{00000000-0004-0000-0100-00003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T140"/>
  <sheetViews>
    <sheetView workbookViewId="0"/>
  </sheetViews>
  <sheetFormatPr baseColWidth="10" defaultRowHeight="14.5" x14ac:dyDescent="0.35"/>
  <cols>
    <col min="2" max="2" width="36.7265625" bestFit="1" customWidth="1"/>
    <col min="3" max="3" width="15.26953125" bestFit="1" customWidth="1"/>
    <col min="4" max="4" width="14.1796875" bestFit="1" customWidth="1"/>
    <col min="5" max="5" width="13.26953125" customWidth="1"/>
    <col min="6" max="6" width="11.81640625" bestFit="1" customWidth="1"/>
    <col min="7" max="7" width="13" bestFit="1" customWidth="1"/>
    <col min="8" max="10" width="11.81640625" bestFit="1" customWidth="1"/>
    <col min="11" max="11" width="14.26953125" bestFit="1" customWidth="1"/>
    <col min="12" max="13" width="11.81640625" bestFit="1" customWidth="1"/>
    <col min="14" max="14" width="12" bestFit="1" customWidth="1"/>
    <col min="15" max="15" width="19.81640625" bestFit="1" customWidth="1"/>
    <col min="16" max="16" width="12.26953125" bestFit="1" customWidth="1"/>
    <col min="17" max="18" width="13" bestFit="1" customWidth="1"/>
    <col min="19" max="19" width="14.54296875" bestFit="1" customWidth="1"/>
    <col min="20" max="20" width="13" bestFit="1" customWidth="1"/>
  </cols>
  <sheetData>
    <row r="2" spans="2:16" x14ac:dyDescent="0.35">
      <c r="B2" s="1317" t="s">
        <v>274</v>
      </c>
      <c r="C2" s="1318"/>
      <c r="D2" s="198" t="s">
        <v>275</v>
      </c>
      <c r="F2" s="1328" t="s">
        <v>280</v>
      </c>
      <c r="G2" s="1329"/>
      <c r="I2" s="226" t="s">
        <v>300</v>
      </c>
      <c r="J2" s="227" t="s">
        <v>301</v>
      </c>
      <c r="M2" s="1323"/>
      <c r="N2" s="1324"/>
      <c r="O2" s="237" t="s">
        <v>303</v>
      </c>
      <c r="P2" s="237" t="s">
        <v>304</v>
      </c>
    </row>
    <row r="3" spans="2:16" x14ac:dyDescent="0.35">
      <c r="B3" s="1319" t="s">
        <v>276</v>
      </c>
      <c r="C3" s="1320"/>
      <c r="D3" s="228">
        <f>'A) Resumen Ingresos y Egresos'!N9/'A) Resumen Ingresos y Egresos'!D9</f>
        <v>-0.65708687293601342</v>
      </c>
      <c r="F3" s="199">
        <v>2019</v>
      </c>
      <c r="G3" s="205">
        <v>138078266</v>
      </c>
      <c r="I3" s="235">
        <v>2017</v>
      </c>
      <c r="J3" s="236">
        <v>216489827</v>
      </c>
      <c r="M3" s="1325" t="s">
        <v>305</v>
      </c>
      <c r="N3" s="1325"/>
      <c r="O3" s="238">
        <v>263686403</v>
      </c>
      <c r="P3" s="239">
        <v>0.1</v>
      </c>
    </row>
    <row r="4" spans="2:16" x14ac:dyDescent="0.35">
      <c r="B4" s="1321" t="s">
        <v>38</v>
      </c>
      <c r="C4" s="1322"/>
      <c r="D4" s="229">
        <f>'A) Resumen Ingresos y Egresos'!N10/'A) Resumen Ingresos y Egresos'!D10</f>
        <v>-0.48158107632212743</v>
      </c>
      <c r="F4" s="200">
        <v>2020</v>
      </c>
      <c r="G4" s="206">
        <v>149289466</v>
      </c>
      <c r="I4" s="235">
        <v>2018</v>
      </c>
      <c r="J4" s="236">
        <v>226368228</v>
      </c>
      <c r="M4" s="1325" t="s">
        <v>306</v>
      </c>
      <c r="N4" s="1325"/>
      <c r="O4" s="238">
        <f>D138</f>
        <v>209050621.7142857</v>
      </c>
      <c r="P4" s="244">
        <v>-0.02</v>
      </c>
    </row>
    <row r="5" spans="2:16" x14ac:dyDescent="0.35">
      <c r="B5" s="1321" t="s">
        <v>277</v>
      </c>
      <c r="C5" s="1322"/>
      <c r="D5" s="230">
        <f>'A) Resumen Ingresos y Egresos'!N11/'A) Resumen Ingresos y Egresos'!D11</f>
        <v>0.17618088676912205</v>
      </c>
      <c r="F5" s="200">
        <v>2021</v>
      </c>
      <c r="G5" s="206">
        <v>110599213</v>
      </c>
      <c r="I5" s="235">
        <v>2019</v>
      </c>
      <c r="J5" s="236">
        <v>213549038</v>
      </c>
      <c r="M5" s="1325" t="s">
        <v>307</v>
      </c>
      <c r="N5" s="1325"/>
      <c r="O5" s="238">
        <v>292206500</v>
      </c>
      <c r="P5" s="239">
        <v>7.0000000000000007E-2</v>
      </c>
    </row>
    <row r="6" spans="2:16" x14ac:dyDescent="0.35">
      <c r="B6" s="1321" t="s">
        <v>44</v>
      </c>
      <c r="C6" s="1322"/>
      <c r="D6" s="230">
        <f>'A) Resumen Ingresos y Egresos'!N12/'A) Resumen Ingresos y Egresos'!D12</f>
        <v>-3.4381449254046889E-2</v>
      </c>
      <c r="F6" s="201">
        <v>2022</v>
      </c>
      <c r="G6" s="207">
        <v>70697520</v>
      </c>
      <c r="I6" s="235">
        <v>2020</v>
      </c>
      <c r="J6" s="236">
        <v>84087058</v>
      </c>
    </row>
    <row r="7" spans="2:16" x14ac:dyDescent="0.35">
      <c r="B7" s="1321" t="s">
        <v>57</v>
      </c>
      <c r="C7" s="1322"/>
      <c r="D7" s="230">
        <f>'A) Resumen Ingresos y Egresos'!N13/'A) Resumen Ingresos y Egresos'!D13</f>
        <v>-1.4106611329193728</v>
      </c>
      <c r="F7" s="203">
        <v>2023</v>
      </c>
      <c r="G7" s="209">
        <f>G6/7*12</f>
        <v>121195748.57142857</v>
      </c>
      <c r="I7" s="235">
        <v>2021</v>
      </c>
      <c r="J7" s="236">
        <v>122004612</v>
      </c>
    </row>
    <row r="8" spans="2:16" x14ac:dyDescent="0.35">
      <c r="B8" s="1321" t="s">
        <v>59</v>
      </c>
      <c r="C8" s="1322"/>
      <c r="D8" s="230">
        <f>'A) Resumen Ingresos y Egresos'!N14/'A) Resumen Ingresos y Egresos'!D14</f>
        <v>-0.35632016658621729</v>
      </c>
      <c r="I8" s="235">
        <v>2022</v>
      </c>
      <c r="J8" s="236">
        <v>95019821</v>
      </c>
      <c r="K8" t="s">
        <v>302</v>
      </c>
    </row>
    <row r="9" spans="2:16" x14ac:dyDescent="0.35">
      <c r="B9" s="1321" t="s">
        <v>60</v>
      </c>
      <c r="C9" s="1322"/>
      <c r="D9" s="229">
        <f>'A) Resumen Ingresos y Egresos'!N15/'A) Resumen Ingresos y Egresos'!D15</f>
        <v>0.53283878293374065</v>
      </c>
    </row>
    <row r="10" spans="2:16" x14ac:dyDescent="0.35">
      <c r="B10" s="1321" t="s">
        <v>278</v>
      </c>
      <c r="C10" s="1322"/>
      <c r="D10" s="230">
        <f>'A) Resumen Ingresos y Egresos'!N16/'A) Resumen Ingresos y Egresos'!D16</f>
        <v>0.25866786506046296</v>
      </c>
    </row>
    <row r="11" spans="2:16" x14ac:dyDescent="0.35">
      <c r="B11" s="1326" t="s">
        <v>279</v>
      </c>
      <c r="C11" s="1327"/>
      <c r="D11" s="231">
        <f>'A) Resumen Ingresos y Egresos'!N17/'A) Resumen Ingresos y Egresos'!D17</f>
        <v>2.4156168175637201E-2</v>
      </c>
    </row>
    <row r="12" spans="2:16" x14ac:dyDescent="0.35">
      <c r="B12" s="1315" t="s">
        <v>89</v>
      </c>
      <c r="C12" s="1316"/>
      <c r="D12" s="232">
        <f>'A) Resumen Ingresos y Egresos'!N18/'A) Resumen Ingresos y Egresos'!D18</f>
        <v>-1.4159505465181811E-2</v>
      </c>
    </row>
    <row r="14" spans="2:16" ht="15" thickBot="1" x14ac:dyDescent="0.4"/>
    <row r="15" spans="2:16" ht="15" thickBot="1" x14ac:dyDescent="0.4">
      <c r="B15">
        <v>2019</v>
      </c>
      <c r="C15" s="211">
        <v>26598987</v>
      </c>
      <c r="D15" s="211">
        <v>21618935</v>
      </c>
      <c r="E15" s="211">
        <v>13878613</v>
      </c>
      <c r="F15" s="211">
        <v>12128865</v>
      </c>
      <c r="G15" s="211">
        <v>17681701</v>
      </c>
      <c r="H15" s="211">
        <v>13722687</v>
      </c>
      <c r="I15" s="211">
        <v>11915233</v>
      </c>
      <c r="J15" s="211">
        <v>11810070</v>
      </c>
      <c r="K15" s="211">
        <v>13380817</v>
      </c>
      <c r="L15" s="211">
        <v>13415375</v>
      </c>
      <c r="M15" s="211">
        <v>17636346</v>
      </c>
      <c r="N15" s="211">
        <v>39761409</v>
      </c>
      <c r="O15" s="212">
        <v>213549038</v>
      </c>
    </row>
    <row r="16" spans="2:16" x14ac:dyDescent="0.35">
      <c r="B16" s="213">
        <v>0.03</v>
      </c>
      <c r="C16" s="214">
        <f>C15*$B$16+C15</f>
        <v>27396956.609999999</v>
      </c>
      <c r="D16" s="214">
        <f t="shared" ref="D16:O16" si="0">D15*$B$16+D15</f>
        <v>22267503.050000001</v>
      </c>
      <c r="E16" s="214">
        <f t="shared" si="0"/>
        <v>14294971.390000001</v>
      </c>
      <c r="F16" s="214">
        <f t="shared" si="0"/>
        <v>12492730.949999999</v>
      </c>
      <c r="G16" s="214">
        <f t="shared" si="0"/>
        <v>18212152.030000001</v>
      </c>
      <c r="H16" s="214">
        <f t="shared" si="0"/>
        <v>14134367.609999999</v>
      </c>
      <c r="I16" s="214">
        <f t="shared" si="0"/>
        <v>12272689.99</v>
      </c>
      <c r="J16" s="214">
        <f t="shared" si="0"/>
        <v>12164372.1</v>
      </c>
      <c r="K16" s="214">
        <f t="shared" si="0"/>
        <v>13782241.51</v>
      </c>
      <c r="L16" s="214">
        <f t="shared" si="0"/>
        <v>13817836.25</v>
      </c>
      <c r="M16" s="214">
        <f t="shared" si="0"/>
        <v>18165436.379999999</v>
      </c>
      <c r="N16" s="214">
        <f t="shared" si="0"/>
        <v>40954251.270000003</v>
      </c>
      <c r="O16" s="214">
        <f t="shared" si="0"/>
        <v>219955509.13999999</v>
      </c>
    </row>
    <row r="17" spans="2:20" ht="15" thickBot="1" x14ac:dyDescent="0.4"/>
    <row r="18" spans="2:20" ht="15" thickBot="1" x14ac:dyDescent="0.4">
      <c r="B18">
        <v>2020</v>
      </c>
      <c r="C18" s="211">
        <v>27396957</v>
      </c>
      <c r="D18" s="211">
        <v>22267503</v>
      </c>
      <c r="E18" s="211">
        <v>14294971</v>
      </c>
      <c r="F18" s="211">
        <v>12492731</v>
      </c>
      <c r="G18" s="211">
        <v>18212152</v>
      </c>
      <c r="H18" s="211">
        <v>14134368</v>
      </c>
      <c r="I18" s="211">
        <v>12272690</v>
      </c>
      <c r="J18" s="211">
        <v>12164372</v>
      </c>
      <c r="K18" s="211">
        <v>13782242</v>
      </c>
      <c r="L18" s="211">
        <v>13817836</v>
      </c>
      <c r="M18" s="211">
        <v>18165436</v>
      </c>
      <c r="N18" s="211">
        <v>40954251</v>
      </c>
      <c r="O18" s="212">
        <v>219955509</v>
      </c>
    </row>
    <row r="19" spans="2:20" x14ac:dyDescent="0.35">
      <c r="B19" s="213">
        <v>0.03</v>
      </c>
      <c r="C19" s="214">
        <f>C18*$B$19+C18</f>
        <v>28218865.710000001</v>
      </c>
      <c r="D19" s="214">
        <f t="shared" ref="D19:O19" si="1">D18*$B$19+D18</f>
        <v>22935528.09</v>
      </c>
      <c r="E19" s="214">
        <f t="shared" si="1"/>
        <v>14723820.130000001</v>
      </c>
      <c r="F19" s="214">
        <f t="shared" si="1"/>
        <v>12867512.93</v>
      </c>
      <c r="G19" s="214">
        <f t="shared" si="1"/>
        <v>18758516.559999999</v>
      </c>
      <c r="H19" s="214">
        <f t="shared" si="1"/>
        <v>14558399.039999999</v>
      </c>
      <c r="I19" s="214">
        <f t="shared" si="1"/>
        <v>12640870.699999999</v>
      </c>
      <c r="J19" s="214">
        <f t="shared" si="1"/>
        <v>12529303.16</v>
      </c>
      <c r="K19" s="214">
        <f t="shared" si="1"/>
        <v>14195709.26</v>
      </c>
      <c r="L19" s="214">
        <f t="shared" si="1"/>
        <v>14232371.08</v>
      </c>
      <c r="M19" s="214">
        <f t="shared" si="1"/>
        <v>18710399.079999998</v>
      </c>
      <c r="N19" s="214">
        <f t="shared" si="1"/>
        <v>42182878.530000001</v>
      </c>
      <c r="O19" s="214">
        <f t="shared" si="1"/>
        <v>226554174.27000001</v>
      </c>
    </row>
    <row r="20" spans="2:20" ht="15" thickBot="1" x14ac:dyDescent="0.4"/>
    <row r="21" spans="2:20" ht="15" thickBot="1" x14ac:dyDescent="0.4">
      <c r="B21">
        <v>2021</v>
      </c>
      <c r="C21" s="211">
        <v>28218866</v>
      </c>
      <c r="D21" s="211">
        <v>22935528</v>
      </c>
      <c r="E21" s="211">
        <v>14723820</v>
      </c>
      <c r="F21" s="211">
        <v>12867513</v>
      </c>
      <c r="G21" s="211">
        <v>18758517</v>
      </c>
      <c r="H21" s="211">
        <v>14558399</v>
      </c>
      <c r="I21" s="211">
        <v>12640871</v>
      </c>
      <c r="J21" s="211">
        <v>12529303</v>
      </c>
      <c r="K21" s="211">
        <v>14195709</v>
      </c>
      <c r="L21" s="211">
        <v>14232371</v>
      </c>
      <c r="M21" s="211">
        <v>18710399</v>
      </c>
      <c r="N21" s="211">
        <v>42182879</v>
      </c>
      <c r="O21" s="212">
        <v>226554174</v>
      </c>
    </row>
    <row r="22" spans="2:20" x14ac:dyDescent="0.35">
      <c r="B22" s="215">
        <v>5.7000000000000002E-2</v>
      </c>
      <c r="C22" s="214">
        <f>C21*$B$22+C21</f>
        <v>29827341.362</v>
      </c>
      <c r="D22" s="214">
        <f t="shared" ref="D22:O22" si="2">D21*$B$22+D21</f>
        <v>24242853.096000001</v>
      </c>
      <c r="E22" s="214">
        <f t="shared" si="2"/>
        <v>15563077.74</v>
      </c>
      <c r="F22" s="214">
        <f t="shared" si="2"/>
        <v>13600961.241</v>
      </c>
      <c r="G22" s="214">
        <f t="shared" si="2"/>
        <v>19827752.469000001</v>
      </c>
      <c r="H22" s="214">
        <f t="shared" si="2"/>
        <v>15388227.743000001</v>
      </c>
      <c r="I22" s="214">
        <f t="shared" si="2"/>
        <v>13361400.647</v>
      </c>
      <c r="J22" s="214">
        <f t="shared" si="2"/>
        <v>13243473.271</v>
      </c>
      <c r="K22" s="214">
        <f t="shared" si="2"/>
        <v>15004864.413000001</v>
      </c>
      <c r="L22" s="214">
        <f t="shared" si="2"/>
        <v>15043616.147</v>
      </c>
      <c r="M22" s="214">
        <f t="shared" si="2"/>
        <v>19776891.743000001</v>
      </c>
      <c r="N22" s="214">
        <f t="shared" si="2"/>
        <v>44587303.103</v>
      </c>
      <c r="O22" s="214">
        <f t="shared" si="2"/>
        <v>239467761.91800001</v>
      </c>
    </row>
    <row r="23" spans="2:20" ht="15" thickBot="1" x14ac:dyDescent="0.4"/>
    <row r="24" spans="2:20" ht="15" thickBot="1" x14ac:dyDescent="0.4">
      <c r="B24">
        <v>2022</v>
      </c>
      <c r="C24" s="211">
        <v>29065432</v>
      </c>
      <c r="D24" s="211">
        <v>23623594</v>
      </c>
      <c r="E24" s="211">
        <v>15165535</v>
      </c>
      <c r="F24" s="211">
        <v>13253538</v>
      </c>
      <c r="G24" s="211">
        <v>19321273</v>
      </c>
      <c r="H24" s="211">
        <v>14995151</v>
      </c>
      <c r="I24" s="211">
        <v>13020097</v>
      </c>
      <c r="J24" s="211">
        <v>12905182</v>
      </c>
      <c r="K24" s="211">
        <v>14621580</v>
      </c>
      <c r="L24" s="211">
        <v>14659342</v>
      </c>
      <c r="M24" s="211">
        <v>19271711</v>
      </c>
      <c r="N24" s="211">
        <v>43448365</v>
      </c>
      <c r="O24" s="212">
        <v>233350799</v>
      </c>
    </row>
    <row r="25" spans="2:20" x14ac:dyDescent="0.35">
      <c r="B25" s="213">
        <v>0.13</v>
      </c>
      <c r="C25" s="216">
        <f>C24*$B$25+C24</f>
        <v>32843938.16</v>
      </c>
      <c r="D25" s="216">
        <f t="shared" ref="D25:O25" si="3">D24*$B$25+D24</f>
        <v>26694661.219999999</v>
      </c>
      <c r="E25" s="216">
        <f t="shared" si="3"/>
        <v>17137054.550000001</v>
      </c>
      <c r="F25" s="216">
        <f t="shared" si="3"/>
        <v>14976497.939999999</v>
      </c>
      <c r="G25" s="216">
        <f t="shared" si="3"/>
        <v>21833038.490000002</v>
      </c>
      <c r="H25" s="216">
        <f t="shared" si="3"/>
        <v>16944520.629999999</v>
      </c>
      <c r="I25" s="216">
        <f t="shared" si="3"/>
        <v>14712709.609999999</v>
      </c>
      <c r="J25" s="216">
        <f t="shared" si="3"/>
        <v>14582855.66</v>
      </c>
      <c r="K25" s="216">
        <f t="shared" si="3"/>
        <v>16522385.4</v>
      </c>
      <c r="L25" s="216">
        <f t="shared" si="3"/>
        <v>16565056.460000001</v>
      </c>
      <c r="M25" s="216">
        <f t="shared" si="3"/>
        <v>21777033.43</v>
      </c>
      <c r="N25" s="216">
        <f t="shared" si="3"/>
        <v>49096652.450000003</v>
      </c>
      <c r="O25" s="216">
        <f t="shared" si="3"/>
        <v>263686402.87</v>
      </c>
    </row>
    <row r="28" spans="2:20" ht="15" thickBot="1" x14ac:dyDescent="0.4"/>
    <row r="29" spans="2:20" ht="15" thickBot="1" x14ac:dyDescent="0.4">
      <c r="B29" s="220">
        <v>2019</v>
      </c>
    </row>
    <row r="30" spans="2:20" x14ac:dyDescent="0.35">
      <c r="B30" t="s">
        <v>276</v>
      </c>
      <c r="C30" s="197" t="s">
        <v>284</v>
      </c>
      <c r="D30" s="197" t="s">
        <v>285</v>
      </c>
      <c r="E30" s="197" t="s">
        <v>286</v>
      </c>
      <c r="F30" s="197" t="s">
        <v>287</v>
      </c>
      <c r="G30" s="197" t="s">
        <v>288</v>
      </c>
      <c r="H30" s="197" t="s">
        <v>289</v>
      </c>
      <c r="I30" s="197" t="s">
        <v>290</v>
      </c>
      <c r="J30" s="197" t="s">
        <v>291</v>
      </c>
      <c r="K30" s="197" t="s">
        <v>292</v>
      </c>
      <c r="L30" s="197" t="s">
        <v>293</v>
      </c>
      <c r="M30" s="197" t="s">
        <v>294</v>
      </c>
      <c r="N30" s="197" t="s">
        <v>295</v>
      </c>
      <c r="O30" s="218" t="s">
        <v>296</v>
      </c>
      <c r="Q30" s="213">
        <v>0.03</v>
      </c>
      <c r="R30" s="213">
        <v>0.03</v>
      </c>
      <c r="S30" s="233">
        <v>5.7000000000000002E-2</v>
      </c>
      <c r="T30" s="213">
        <v>0.13</v>
      </c>
    </row>
    <row r="31" spans="2:20" x14ac:dyDescent="0.35">
      <c r="B31" t="s">
        <v>281</v>
      </c>
      <c r="C31" s="248">
        <v>1955600</v>
      </c>
      <c r="D31" s="248">
        <v>1504002</v>
      </c>
      <c r="E31" s="248">
        <v>253026</v>
      </c>
      <c r="F31" s="248">
        <v>348600</v>
      </c>
      <c r="G31" s="248">
        <v>478535</v>
      </c>
      <c r="H31" s="248">
        <v>266900</v>
      </c>
      <c r="I31" s="248">
        <v>970800</v>
      </c>
      <c r="J31" s="248">
        <v>1089929</v>
      </c>
      <c r="K31" s="248">
        <v>672635</v>
      </c>
      <c r="L31" s="248">
        <v>582579</v>
      </c>
      <c r="M31" s="248">
        <v>1214928</v>
      </c>
      <c r="N31" s="248">
        <v>3678234</v>
      </c>
      <c r="O31" s="219">
        <f>SUM(C31:N31)</f>
        <v>13015768</v>
      </c>
      <c r="Q31" s="234">
        <f>O31+(O31*Q30)</f>
        <v>13406241.039999999</v>
      </c>
      <c r="R31" s="208">
        <f>Q31+(Q31*R30)</f>
        <v>13808428.271199999</v>
      </c>
      <c r="S31" s="208">
        <f>R31+(R31*S30)</f>
        <v>14595508.682658399</v>
      </c>
      <c r="T31" s="208">
        <f>S31+(S31*T30)</f>
        <v>16492924.81140399</v>
      </c>
    </row>
    <row r="32" spans="2:20" x14ac:dyDescent="0.35">
      <c r="B32" t="s">
        <v>282</v>
      </c>
      <c r="C32" s="210">
        <v>1208764</v>
      </c>
      <c r="D32" s="210">
        <v>1386703</v>
      </c>
      <c r="E32" s="210">
        <v>71161</v>
      </c>
      <c r="F32" s="217">
        <v>-1804442</v>
      </c>
      <c r="G32" s="210">
        <v>447869</v>
      </c>
      <c r="H32" s="210">
        <v>361896</v>
      </c>
      <c r="I32" s="217">
        <v>-543795</v>
      </c>
      <c r="J32" s="217">
        <v>-242118</v>
      </c>
      <c r="K32" s="217">
        <v>-1913991</v>
      </c>
      <c r="L32" s="217">
        <v>-150624</v>
      </c>
      <c r="M32" s="210">
        <v>804527</v>
      </c>
      <c r="N32" s="210">
        <v>2038765</v>
      </c>
      <c r="O32" s="219">
        <v>1664715</v>
      </c>
    </row>
    <row r="33" spans="2:20" x14ac:dyDescent="0.35">
      <c r="B33" t="s">
        <v>283</v>
      </c>
      <c r="C33" s="202">
        <f>C32/C31</f>
        <v>0.61810390672939253</v>
      </c>
      <c r="D33" s="202">
        <f t="shared" ref="D33:O33" si="4">D32/D31</f>
        <v>0.92200874732879345</v>
      </c>
      <c r="E33" s="202">
        <f t="shared" si="4"/>
        <v>0.28123987258226429</v>
      </c>
      <c r="F33" s="202">
        <f t="shared" si="4"/>
        <v>-5.1762535857716578</v>
      </c>
      <c r="G33" s="202">
        <f t="shared" si="4"/>
        <v>0.93591691307845826</v>
      </c>
      <c r="H33" s="202">
        <f t="shared" si="4"/>
        <v>1.3559235668789809</v>
      </c>
      <c r="I33" s="202">
        <f t="shared" si="4"/>
        <v>-0.56015142150803465</v>
      </c>
      <c r="J33" s="202">
        <f t="shared" si="4"/>
        <v>-0.22214107524435078</v>
      </c>
      <c r="K33" s="202">
        <f t="shared" si="4"/>
        <v>-2.8455120533424516</v>
      </c>
      <c r="L33" s="202">
        <f t="shared" si="4"/>
        <v>-0.25854690951785081</v>
      </c>
      <c r="M33" s="202">
        <f t="shared" si="4"/>
        <v>0.66220138148104246</v>
      </c>
      <c r="N33" s="202">
        <f t="shared" si="4"/>
        <v>0.55427822155958539</v>
      </c>
      <c r="O33" s="223">
        <f t="shared" si="4"/>
        <v>0.12789986729941713</v>
      </c>
    </row>
    <row r="34" spans="2:20" ht="15" thickBot="1" x14ac:dyDescent="0.4"/>
    <row r="35" spans="2:20" ht="15" thickBot="1" x14ac:dyDescent="0.4">
      <c r="B35" s="220">
        <v>2022</v>
      </c>
    </row>
    <row r="36" spans="2:20" x14ac:dyDescent="0.35">
      <c r="B36" t="s">
        <v>276</v>
      </c>
      <c r="C36" t="s">
        <v>297</v>
      </c>
      <c r="D36" t="s">
        <v>298</v>
      </c>
    </row>
    <row r="37" spans="2:20" x14ac:dyDescent="0.35">
      <c r="B37" t="s">
        <v>281</v>
      </c>
      <c r="C37" s="249">
        <v>7602281</v>
      </c>
      <c r="D37" s="241">
        <f>C37/8*12</f>
        <v>11403421.5</v>
      </c>
    </row>
    <row r="38" spans="2:20" x14ac:dyDescent="0.35">
      <c r="B38" t="s">
        <v>282</v>
      </c>
      <c r="C38" s="217">
        <v>-34100945</v>
      </c>
      <c r="D38" s="222">
        <f>C38/7*12</f>
        <v>-58458762.857142866</v>
      </c>
    </row>
    <row r="39" spans="2:20" x14ac:dyDescent="0.35">
      <c r="B39" t="s">
        <v>283</v>
      </c>
      <c r="C39" s="221">
        <f>C38/C37</f>
        <v>-4.4856201711039096</v>
      </c>
      <c r="D39" s="221">
        <f>D38/D37</f>
        <v>-5.1264230526901828</v>
      </c>
    </row>
    <row r="40" spans="2:20" ht="15" thickBot="1" x14ac:dyDescent="0.4"/>
    <row r="41" spans="2:20" ht="15" thickBot="1" x14ac:dyDescent="0.4">
      <c r="B41" s="220">
        <v>2019</v>
      </c>
    </row>
    <row r="42" spans="2:20" x14ac:dyDescent="0.35">
      <c r="B42" t="s">
        <v>38</v>
      </c>
      <c r="C42" s="197" t="s">
        <v>284</v>
      </c>
      <c r="D42" s="197" t="s">
        <v>285</v>
      </c>
      <c r="E42" s="197" t="s">
        <v>286</v>
      </c>
      <c r="F42" s="197" t="s">
        <v>287</v>
      </c>
      <c r="G42" s="197" t="s">
        <v>288</v>
      </c>
      <c r="H42" s="197" t="s">
        <v>289</v>
      </c>
      <c r="I42" s="197" t="s">
        <v>290</v>
      </c>
      <c r="J42" s="197" t="s">
        <v>291</v>
      </c>
      <c r="K42" s="197" t="s">
        <v>292</v>
      </c>
      <c r="L42" s="197" t="s">
        <v>293</v>
      </c>
      <c r="M42" s="197" t="s">
        <v>294</v>
      </c>
      <c r="N42" s="197" t="s">
        <v>295</v>
      </c>
      <c r="O42" s="218" t="s">
        <v>296</v>
      </c>
      <c r="Q42" s="213">
        <v>0.03</v>
      </c>
      <c r="R42" s="213">
        <v>0.03</v>
      </c>
      <c r="S42" s="233">
        <v>5.7000000000000002E-2</v>
      </c>
      <c r="T42" s="213">
        <v>0.13</v>
      </c>
    </row>
    <row r="43" spans="2:20" x14ac:dyDescent="0.35">
      <c r="B43" t="s">
        <v>281</v>
      </c>
      <c r="C43">
        <v>0</v>
      </c>
      <c r="D43">
        <v>0</v>
      </c>
      <c r="E43">
        <v>0</v>
      </c>
      <c r="F43">
        <v>0</v>
      </c>
      <c r="G43">
        <v>0</v>
      </c>
      <c r="H43">
        <v>0</v>
      </c>
      <c r="I43">
        <v>0</v>
      </c>
      <c r="J43">
        <v>0</v>
      </c>
      <c r="K43">
        <v>0</v>
      </c>
      <c r="L43">
        <v>0</v>
      </c>
      <c r="M43">
        <v>0</v>
      </c>
      <c r="N43">
        <v>0</v>
      </c>
      <c r="O43" s="252">
        <v>1803710</v>
      </c>
      <c r="Q43" s="234">
        <f>$O$43+($O$43*Q42)</f>
        <v>1857821.3</v>
      </c>
      <c r="R43" s="234">
        <f>Q43+(Q43*R42)</f>
        <v>1913555.939</v>
      </c>
      <c r="S43" s="253">
        <f>R43+(R43*S42)</f>
        <v>2022628.6275230001</v>
      </c>
      <c r="T43" s="234">
        <f>S43+(S43*T42)</f>
        <v>2285570.3491009902</v>
      </c>
    </row>
    <row r="44" spans="2:20" x14ac:dyDescent="0.35">
      <c r="B44" t="s">
        <v>282</v>
      </c>
      <c r="C44">
        <v>0</v>
      </c>
      <c r="D44">
        <v>0</v>
      </c>
      <c r="E44">
        <v>0</v>
      </c>
      <c r="F44">
        <v>0</v>
      </c>
      <c r="G44">
        <v>0</v>
      </c>
      <c r="H44">
        <v>0</v>
      </c>
      <c r="I44">
        <v>0</v>
      </c>
      <c r="J44">
        <v>0</v>
      </c>
      <c r="K44">
        <v>0</v>
      </c>
      <c r="L44">
        <v>0</v>
      </c>
      <c r="M44">
        <v>0</v>
      </c>
      <c r="N44">
        <v>0</v>
      </c>
      <c r="O44" s="195">
        <v>0</v>
      </c>
    </row>
    <row r="45" spans="2:20" x14ac:dyDescent="0.35">
      <c r="B45" t="s">
        <v>283</v>
      </c>
      <c r="C45" t="e">
        <f>C44/C43</f>
        <v>#DIV/0!</v>
      </c>
      <c r="D45" t="e">
        <f t="shared" ref="D45:O45" si="5">D44/D43</f>
        <v>#DIV/0!</v>
      </c>
      <c r="E45" t="e">
        <f t="shared" si="5"/>
        <v>#DIV/0!</v>
      </c>
      <c r="F45" t="e">
        <f t="shared" si="5"/>
        <v>#DIV/0!</v>
      </c>
      <c r="G45" t="e">
        <f t="shared" si="5"/>
        <v>#DIV/0!</v>
      </c>
      <c r="H45" t="e">
        <f t="shared" si="5"/>
        <v>#DIV/0!</v>
      </c>
      <c r="I45" t="e">
        <f t="shared" si="5"/>
        <v>#DIV/0!</v>
      </c>
      <c r="J45" t="e">
        <f t="shared" si="5"/>
        <v>#DIV/0!</v>
      </c>
      <c r="K45" t="e">
        <f t="shared" si="5"/>
        <v>#DIV/0!</v>
      </c>
      <c r="L45" t="e">
        <f t="shared" si="5"/>
        <v>#DIV/0!</v>
      </c>
      <c r="M45" t="e">
        <f t="shared" si="5"/>
        <v>#DIV/0!</v>
      </c>
      <c r="N45" t="e">
        <f t="shared" si="5"/>
        <v>#DIV/0!</v>
      </c>
      <c r="O45" s="204">
        <f t="shared" si="5"/>
        <v>0</v>
      </c>
    </row>
    <row r="46" spans="2:20" ht="15" thickBot="1" x14ac:dyDescent="0.4"/>
    <row r="47" spans="2:20" ht="15" thickBot="1" x14ac:dyDescent="0.4">
      <c r="B47" s="220">
        <v>2022</v>
      </c>
    </row>
    <row r="48" spans="2:20" x14ac:dyDescent="0.35">
      <c r="B48" t="s">
        <v>38</v>
      </c>
      <c r="C48" t="s">
        <v>297</v>
      </c>
      <c r="D48" t="s">
        <v>298</v>
      </c>
    </row>
    <row r="49" spans="2:20" x14ac:dyDescent="0.35">
      <c r="B49" t="s">
        <v>281</v>
      </c>
      <c r="C49">
        <v>0</v>
      </c>
      <c r="D49" s="242">
        <f>C49/7*12</f>
        <v>0</v>
      </c>
    </row>
    <row r="50" spans="2:20" x14ac:dyDescent="0.35">
      <c r="B50" t="s">
        <v>282</v>
      </c>
      <c r="C50">
        <v>0</v>
      </c>
      <c r="D50">
        <f>C50/7*12</f>
        <v>0</v>
      </c>
    </row>
    <row r="51" spans="2:20" x14ac:dyDescent="0.35">
      <c r="B51" t="s">
        <v>283</v>
      </c>
      <c r="C51" t="e">
        <f>C50/C49</f>
        <v>#DIV/0!</v>
      </c>
      <c r="D51" t="e">
        <f>D50/D49</f>
        <v>#DIV/0!</v>
      </c>
    </row>
    <row r="52" spans="2:20" ht="15" thickBot="1" x14ac:dyDescent="0.4"/>
    <row r="53" spans="2:20" ht="15" thickBot="1" x14ac:dyDescent="0.4">
      <c r="B53" s="220">
        <v>2019</v>
      </c>
    </row>
    <row r="54" spans="2:20" x14ac:dyDescent="0.35">
      <c r="B54" t="s">
        <v>277</v>
      </c>
      <c r="C54" s="197" t="s">
        <v>284</v>
      </c>
      <c r="D54" s="197" t="s">
        <v>285</v>
      </c>
      <c r="E54" s="197" t="s">
        <v>286</v>
      </c>
      <c r="F54" s="197" t="s">
        <v>287</v>
      </c>
      <c r="G54" s="197" t="s">
        <v>288</v>
      </c>
      <c r="H54" s="197" t="s">
        <v>289</v>
      </c>
      <c r="I54" s="197" t="s">
        <v>290</v>
      </c>
      <c r="J54" s="197" t="s">
        <v>291</v>
      </c>
      <c r="K54" s="197" t="s">
        <v>292</v>
      </c>
      <c r="L54" s="197" t="s">
        <v>293</v>
      </c>
      <c r="M54" s="197" t="s">
        <v>294</v>
      </c>
      <c r="N54" s="197" t="s">
        <v>295</v>
      </c>
      <c r="O54" s="218" t="s">
        <v>296</v>
      </c>
      <c r="Q54" s="213">
        <v>0.03</v>
      </c>
      <c r="R54" s="213">
        <v>0.03</v>
      </c>
      <c r="S54" s="233">
        <v>5.7000000000000002E-2</v>
      </c>
      <c r="T54" s="213">
        <v>0.13</v>
      </c>
    </row>
    <row r="55" spans="2:20" x14ac:dyDescent="0.35">
      <c r="B55" t="s">
        <v>281</v>
      </c>
      <c r="C55" s="210">
        <v>205600</v>
      </c>
      <c r="D55" s="210">
        <v>152400</v>
      </c>
      <c r="E55" s="210">
        <v>3100</v>
      </c>
      <c r="F55" s="210">
        <v>40600</v>
      </c>
      <c r="G55" s="210">
        <v>82500</v>
      </c>
      <c r="H55" s="210">
        <v>194800</v>
      </c>
      <c r="I55" s="210">
        <v>62200</v>
      </c>
      <c r="J55" s="210">
        <v>82500</v>
      </c>
      <c r="K55" s="210">
        <v>102800</v>
      </c>
      <c r="L55" s="210">
        <v>39200</v>
      </c>
      <c r="M55" s="210">
        <v>0</v>
      </c>
      <c r="N55" s="210">
        <v>31100</v>
      </c>
      <c r="O55" s="219">
        <v>996800</v>
      </c>
      <c r="Q55" s="208">
        <f>$O$55+($O$55*Q54)</f>
        <v>1026704</v>
      </c>
      <c r="R55" s="208">
        <f>Q55+(Q55*R54)</f>
        <v>1057505.1200000001</v>
      </c>
      <c r="S55" s="208">
        <f>R55+(R55*S54)</f>
        <v>1117782.9118400002</v>
      </c>
      <c r="T55" s="208">
        <f>S55+(S55*T54)</f>
        <v>1263094.6903792003</v>
      </c>
    </row>
    <row r="56" spans="2:20" x14ac:dyDescent="0.35">
      <c r="B56" t="s">
        <v>282</v>
      </c>
      <c r="C56" s="210">
        <v>205600</v>
      </c>
      <c r="D56" s="210">
        <v>152400</v>
      </c>
      <c r="E56" s="210">
        <v>3100</v>
      </c>
      <c r="F56" s="210">
        <v>40600</v>
      </c>
      <c r="G56" s="210">
        <v>82500</v>
      </c>
      <c r="H56" s="210">
        <v>194800</v>
      </c>
      <c r="I56" s="210">
        <v>62200</v>
      </c>
      <c r="J56" s="210">
        <v>61206</v>
      </c>
      <c r="K56" s="210">
        <v>82976</v>
      </c>
      <c r="L56" s="210">
        <v>39200</v>
      </c>
      <c r="M56" s="217">
        <v>-152484</v>
      </c>
      <c r="N56" s="217">
        <v>-122373</v>
      </c>
      <c r="O56" s="219">
        <v>649725</v>
      </c>
    </row>
    <row r="57" spans="2:20" x14ac:dyDescent="0.35">
      <c r="B57" t="s">
        <v>283</v>
      </c>
      <c r="C57" s="202">
        <f>C56/C55</f>
        <v>1</v>
      </c>
      <c r="D57" s="202">
        <f t="shared" ref="D57:O57" si="6">D56/D55</f>
        <v>1</v>
      </c>
      <c r="E57" s="202">
        <f t="shared" si="6"/>
        <v>1</v>
      </c>
      <c r="F57" s="202">
        <f t="shared" si="6"/>
        <v>1</v>
      </c>
      <c r="G57" s="202">
        <f t="shared" si="6"/>
        <v>1</v>
      </c>
      <c r="H57" s="202">
        <f t="shared" si="6"/>
        <v>1</v>
      </c>
      <c r="I57" s="202">
        <f t="shared" si="6"/>
        <v>1</v>
      </c>
      <c r="J57" s="202">
        <f t="shared" si="6"/>
        <v>0.74189090909090905</v>
      </c>
      <c r="K57" s="202">
        <f t="shared" si="6"/>
        <v>0.80715953307392996</v>
      </c>
      <c r="L57" s="202">
        <f t="shared" si="6"/>
        <v>1</v>
      </c>
      <c r="M57" s="221" t="e">
        <f t="shared" si="6"/>
        <v>#DIV/0!</v>
      </c>
      <c r="N57" s="221">
        <f t="shared" si="6"/>
        <v>-3.9348231511254017</v>
      </c>
      <c r="O57" s="223">
        <f t="shared" si="6"/>
        <v>0.6518107945425361</v>
      </c>
    </row>
    <row r="58" spans="2:20" ht="15" thickBot="1" x14ac:dyDescent="0.4"/>
    <row r="59" spans="2:20" ht="15" thickBot="1" x14ac:dyDescent="0.4">
      <c r="B59" s="220">
        <v>2022</v>
      </c>
    </row>
    <row r="60" spans="2:20" x14ac:dyDescent="0.35">
      <c r="B60" t="s">
        <v>277</v>
      </c>
      <c r="C60" t="s">
        <v>297</v>
      </c>
      <c r="D60" t="s">
        <v>298</v>
      </c>
    </row>
    <row r="61" spans="2:20" x14ac:dyDescent="0.35">
      <c r="B61" t="s">
        <v>281</v>
      </c>
      <c r="C61" s="210">
        <v>1260808</v>
      </c>
      <c r="D61" s="241">
        <f>C61/8*12</f>
        <v>1891212</v>
      </c>
    </row>
    <row r="62" spans="2:20" x14ac:dyDescent="0.35">
      <c r="B62" t="s">
        <v>282</v>
      </c>
      <c r="C62" s="210">
        <v>1075863</v>
      </c>
      <c r="D62" s="208">
        <f>C62/7*12</f>
        <v>1844336.5714285714</v>
      </c>
    </row>
    <row r="63" spans="2:20" x14ac:dyDescent="0.35">
      <c r="B63" t="s">
        <v>283</v>
      </c>
      <c r="C63" s="202">
        <f>C62/C61</f>
        <v>0.85331232035329729</v>
      </c>
      <c r="D63" s="202">
        <f>D62/D61</f>
        <v>0.97521408040376822</v>
      </c>
    </row>
    <row r="64" spans="2:20" ht="15" thickBot="1" x14ac:dyDescent="0.4"/>
    <row r="65" spans="2:20" ht="15" thickBot="1" x14ac:dyDescent="0.4">
      <c r="B65" s="220">
        <v>2019</v>
      </c>
    </row>
    <row r="66" spans="2:20" x14ac:dyDescent="0.35">
      <c r="B66" t="s">
        <v>44</v>
      </c>
      <c r="C66" s="197" t="s">
        <v>284</v>
      </c>
      <c r="D66" s="197" t="s">
        <v>285</v>
      </c>
      <c r="E66" s="197" t="s">
        <v>286</v>
      </c>
      <c r="F66" s="197" t="s">
        <v>287</v>
      </c>
      <c r="G66" s="197" t="s">
        <v>288</v>
      </c>
      <c r="H66" s="197" t="s">
        <v>289</v>
      </c>
      <c r="I66" s="197" t="s">
        <v>290</v>
      </c>
      <c r="J66" s="197" t="s">
        <v>291</v>
      </c>
      <c r="K66" s="197" t="s">
        <v>292</v>
      </c>
      <c r="L66" s="197" t="s">
        <v>293</v>
      </c>
      <c r="M66" s="197" t="s">
        <v>294</v>
      </c>
      <c r="N66" s="197" t="s">
        <v>295</v>
      </c>
      <c r="O66" s="218" t="s">
        <v>296</v>
      </c>
      <c r="Q66" s="213">
        <v>0.03</v>
      </c>
      <c r="R66" s="213">
        <v>0.03</v>
      </c>
      <c r="S66" s="233">
        <v>5.7000000000000002E-2</v>
      </c>
      <c r="T66" s="213">
        <v>0.13</v>
      </c>
    </row>
    <row r="67" spans="2:20" x14ac:dyDescent="0.35">
      <c r="B67" t="s">
        <v>281</v>
      </c>
      <c r="C67" s="250">
        <v>6820375</v>
      </c>
      <c r="D67" s="250">
        <v>5248987</v>
      </c>
      <c r="E67" s="250">
        <v>3358465</v>
      </c>
      <c r="F67" s="250">
        <v>3698870</v>
      </c>
      <c r="G67" s="250">
        <v>3070148</v>
      </c>
      <c r="H67" s="250">
        <v>965690</v>
      </c>
      <c r="I67" s="250">
        <v>2178803</v>
      </c>
      <c r="J67" s="250">
        <v>1035778</v>
      </c>
      <c r="K67" s="250">
        <v>2603939</v>
      </c>
      <c r="L67" s="250">
        <v>3968305</v>
      </c>
      <c r="M67" s="250">
        <v>5407410</v>
      </c>
      <c r="N67" s="250">
        <v>21715563</v>
      </c>
      <c r="O67" s="206">
        <f>SUM(C67:N67)</f>
        <v>60072333</v>
      </c>
      <c r="Q67" s="208">
        <f>$O$67+($O$67*Q66)</f>
        <v>61874502.990000002</v>
      </c>
      <c r="R67" s="208">
        <f>Q67+(Q67*R66)</f>
        <v>63730738.079700001</v>
      </c>
      <c r="S67" s="208">
        <f>R67+(R67*S66)</f>
        <v>67363390.150242895</v>
      </c>
      <c r="T67" s="208">
        <f>S67+(S67*T66)</f>
        <v>76120630.869774476</v>
      </c>
    </row>
    <row r="68" spans="2:20" x14ac:dyDescent="0.35">
      <c r="B68" t="s">
        <v>282</v>
      </c>
      <c r="C68" s="210">
        <v>1784866</v>
      </c>
      <c r="D68" s="210">
        <v>561617</v>
      </c>
      <c r="E68" s="217">
        <v>-8090109</v>
      </c>
      <c r="F68" s="217">
        <v>-589532</v>
      </c>
      <c r="G68" s="217">
        <v>-17865</v>
      </c>
      <c r="H68" s="217">
        <v>-1987992</v>
      </c>
      <c r="I68" s="217">
        <v>-249028</v>
      </c>
      <c r="J68" s="217">
        <v>-2803451</v>
      </c>
      <c r="K68" s="217">
        <v>-3823158</v>
      </c>
      <c r="L68" s="217">
        <v>-5481846</v>
      </c>
      <c r="M68" s="210">
        <v>453305</v>
      </c>
      <c r="N68" s="210">
        <v>12210161</v>
      </c>
      <c r="O68" s="224">
        <v>-8033032</v>
      </c>
    </row>
    <row r="69" spans="2:20" x14ac:dyDescent="0.35">
      <c r="B69" t="s">
        <v>283</v>
      </c>
      <c r="C69" s="202">
        <f>C68/C67</f>
        <v>0.26169616773271265</v>
      </c>
      <c r="D69" s="202">
        <f t="shared" ref="D69:O69" si="7">D68/D67</f>
        <v>0.10699531166680352</v>
      </c>
      <c r="E69" s="221">
        <f t="shared" si="7"/>
        <v>-2.4088710169675731</v>
      </c>
      <c r="F69" s="221">
        <f t="shared" si="7"/>
        <v>-0.15938164899009696</v>
      </c>
      <c r="G69" s="221">
        <f t="shared" si="7"/>
        <v>-5.8189377189633851E-3</v>
      </c>
      <c r="H69" s="221">
        <f t="shared" si="7"/>
        <v>-2.0586233677474137</v>
      </c>
      <c r="I69" s="221">
        <f t="shared" si="7"/>
        <v>-0.11429578534635761</v>
      </c>
      <c r="J69" s="221">
        <f t="shared" si="7"/>
        <v>-2.7066137724493085</v>
      </c>
      <c r="K69" s="221">
        <f t="shared" si="7"/>
        <v>-1.4682210297553053</v>
      </c>
      <c r="L69" s="221">
        <f t="shared" si="7"/>
        <v>-1.3814074271004875</v>
      </c>
      <c r="M69" s="202">
        <f t="shared" si="7"/>
        <v>8.3830336519701662E-2</v>
      </c>
      <c r="N69" s="202">
        <f t="shared" si="7"/>
        <v>0.56227697158945411</v>
      </c>
      <c r="O69" s="225">
        <f t="shared" si="7"/>
        <v>-0.13372265731713798</v>
      </c>
    </row>
    <row r="70" spans="2:20" ht="15" thickBot="1" x14ac:dyDescent="0.4"/>
    <row r="71" spans="2:20" ht="15" thickBot="1" x14ac:dyDescent="0.4">
      <c r="B71" s="220">
        <v>2022</v>
      </c>
    </row>
    <row r="72" spans="2:20" x14ac:dyDescent="0.35">
      <c r="B72" t="s">
        <v>44</v>
      </c>
      <c r="C72" t="s">
        <v>297</v>
      </c>
      <c r="D72" t="s">
        <v>298</v>
      </c>
    </row>
    <row r="73" spans="2:20" x14ac:dyDescent="0.35">
      <c r="B73" t="s">
        <v>281</v>
      </c>
      <c r="C73" s="251">
        <v>34516706</v>
      </c>
      <c r="D73" s="241">
        <f>C73/8*12</f>
        <v>51775059</v>
      </c>
    </row>
    <row r="74" spans="2:20" x14ac:dyDescent="0.35">
      <c r="B74" t="s">
        <v>282</v>
      </c>
      <c r="C74" s="217">
        <v>-4525253</v>
      </c>
      <c r="D74" s="222">
        <f>C74/7*12</f>
        <v>-7757576.5714285718</v>
      </c>
    </row>
    <row r="75" spans="2:20" x14ac:dyDescent="0.35">
      <c r="B75" t="s">
        <v>283</v>
      </c>
      <c r="C75" s="221">
        <f>C74/C73</f>
        <v>-0.13110326924011811</v>
      </c>
      <c r="D75" s="221">
        <f>D74/D73</f>
        <v>-0.14983230770299213</v>
      </c>
    </row>
    <row r="76" spans="2:20" ht="15" thickBot="1" x14ac:dyDescent="0.4"/>
    <row r="77" spans="2:20" ht="15" thickBot="1" x14ac:dyDescent="0.4">
      <c r="B77" s="220">
        <v>2019</v>
      </c>
    </row>
    <row r="78" spans="2:20" x14ac:dyDescent="0.35">
      <c r="B78" t="s">
        <v>57</v>
      </c>
      <c r="C78" s="197" t="s">
        <v>284</v>
      </c>
      <c r="D78" s="197" t="s">
        <v>285</v>
      </c>
      <c r="E78" s="197" t="s">
        <v>286</v>
      </c>
      <c r="F78" s="197" t="s">
        <v>287</v>
      </c>
      <c r="G78" s="197" t="s">
        <v>288</v>
      </c>
      <c r="H78" s="197" t="s">
        <v>289</v>
      </c>
      <c r="I78" s="197" t="s">
        <v>290</v>
      </c>
      <c r="J78" s="197" t="s">
        <v>291</v>
      </c>
      <c r="K78" s="197" t="s">
        <v>292</v>
      </c>
      <c r="L78" s="197" t="s">
        <v>293</v>
      </c>
      <c r="M78" s="197" t="s">
        <v>294</v>
      </c>
      <c r="N78" s="197" t="s">
        <v>295</v>
      </c>
      <c r="O78" s="218" t="s">
        <v>296</v>
      </c>
      <c r="Q78" s="213">
        <v>0.03</v>
      </c>
      <c r="R78" s="213">
        <v>0.03</v>
      </c>
      <c r="S78" s="233">
        <v>5.7000000000000002E-2</v>
      </c>
      <c r="T78" s="213">
        <v>0.13</v>
      </c>
    </row>
    <row r="79" spans="2:20" x14ac:dyDescent="0.35">
      <c r="B79" t="s">
        <v>281</v>
      </c>
      <c r="C79">
        <v>0</v>
      </c>
      <c r="D79">
        <v>0</v>
      </c>
      <c r="E79">
        <v>0</v>
      </c>
      <c r="F79">
        <v>0</v>
      </c>
      <c r="G79">
        <v>0</v>
      </c>
      <c r="H79">
        <v>0</v>
      </c>
      <c r="I79">
        <v>0</v>
      </c>
      <c r="J79">
        <v>0</v>
      </c>
      <c r="K79">
        <v>0</v>
      </c>
      <c r="L79">
        <v>0</v>
      </c>
      <c r="M79">
        <v>0</v>
      </c>
      <c r="N79">
        <v>0</v>
      </c>
      <c r="O79" s="195">
        <v>0</v>
      </c>
      <c r="Q79">
        <f>$O$79+($O$79*Q78)</f>
        <v>0</v>
      </c>
      <c r="R79">
        <f>$O$79+($O$79*R78)</f>
        <v>0</v>
      </c>
      <c r="S79">
        <f>$O$79+($O$79*S78)</f>
        <v>0</v>
      </c>
      <c r="T79">
        <f>$O$79+($O$79*T78)</f>
        <v>0</v>
      </c>
    </row>
    <row r="80" spans="2:20" x14ac:dyDescent="0.35">
      <c r="B80" t="s">
        <v>282</v>
      </c>
      <c r="C80">
        <v>0</v>
      </c>
      <c r="D80">
        <v>0</v>
      </c>
      <c r="E80">
        <v>0</v>
      </c>
      <c r="F80">
        <v>0</v>
      </c>
      <c r="G80">
        <v>0</v>
      </c>
      <c r="H80">
        <v>0</v>
      </c>
      <c r="I80">
        <v>0</v>
      </c>
      <c r="J80">
        <v>0</v>
      </c>
      <c r="K80">
        <v>0</v>
      </c>
      <c r="L80">
        <v>0</v>
      </c>
      <c r="M80">
        <v>0</v>
      </c>
      <c r="N80">
        <v>0</v>
      </c>
      <c r="O80" s="195">
        <v>0</v>
      </c>
    </row>
    <row r="81" spans="2:20" x14ac:dyDescent="0.35">
      <c r="B81" t="s">
        <v>283</v>
      </c>
      <c r="C81" t="e">
        <f>C80/C79</f>
        <v>#DIV/0!</v>
      </c>
      <c r="D81" t="e">
        <f t="shared" ref="D81:O81" si="8">D80/D79</f>
        <v>#DIV/0!</v>
      </c>
      <c r="E81" t="e">
        <f t="shared" si="8"/>
        <v>#DIV/0!</v>
      </c>
      <c r="F81" t="e">
        <f t="shared" si="8"/>
        <v>#DIV/0!</v>
      </c>
      <c r="G81" t="e">
        <f t="shared" si="8"/>
        <v>#DIV/0!</v>
      </c>
      <c r="H81" t="e">
        <f t="shared" si="8"/>
        <v>#DIV/0!</v>
      </c>
      <c r="I81" t="e">
        <f t="shared" si="8"/>
        <v>#DIV/0!</v>
      </c>
      <c r="J81" t="e">
        <f t="shared" si="8"/>
        <v>#DIV/0!</v>
      </c>
      <c r="K81" t="e">
        <f t="shared" si="8"/>
        <v>#DIV/0!</v>
      </c>
      <c r="L81" t="e">
        <f t="shared" si="8"/>
        <v>#DIV/0!</v>
      </c>
      <c r="M81" t="e">
        <f t="shared" si="8"/>
        <v>#DIV/0!</v>
      </c>
      <c r="N81" t="e">
        <f t="shared" si="8"/>
        <v>#DIV/0!</v>
      </c>
      <c r="O81" s="204" t="e">
        <f t="shared" si="8"/>
        <v>#DIV/0!</v>
      </c>
    </row>
    <row r="82" spans="2:20" ht="15" thickBot="1" x14ac:dyDescent="0.4"/>
    <row r="83" spans="2:20" ht="15" thickBot="1" x14ac:dyDescent="0.4">
      <c r="B83" s="220">
        <v>2022</v>
      </c>
    </row>
    <row r="84" spans="2:20" x14ac:dyDescent="0.35">
      <c r="B84" t="s">
        <v>57</v>
      </c>
      <c r="C84" t="s">
        <v>297</v>
      </c>
      <c r="D84" t="s">
        <v>298</v>
      </c>
    </row>
    <row r="85" spans="2:20" x14ac:dyDescent="0.35">
      <c r="B85" t="s">
        <v>281</v>
      </c>
      <c r="C85" s="210">
        <v>8600</v>
      </c>
      <c r="D85" s="243">
        <f>C85/7*12</f>
        <v>14742.857142857145</v>
      </c>
    </row>
    <row r="86" spans="2:20" x14ac:dyDescent="0.35">
      <c r="B86" t="s">
        <v>282</v>
      </c>
      <c r="C86" s="210">
        <v>8600</v>
      </c>
      <c r="D86" s="210">
        <f>C86/7*12</f>
        <v>14742.857142857145</v>
      </c>
    </row>
    <row r="87" spans="2:20" x14ac:dyDescent="0.35">
      <c r="B87" t="s">
        <v>283</v>
      </c>
      <c r="C87" s="202">
        <f>C86/C85</f>
        <v>1</v>
      </c>
      <c r="D87" s="202">
        <f>D86/D85</f>
        <v>1</v>
      </c>
    </row>
    <row r="88" spans="2:20" ht="15" thickBot="1" x14ac:dyDescent="0.4"/>
    <row r="89" spans="2:20" ht="15" thickBot="1" x14ac:dyDescent="0.4">
      <c r="B89" s="220">
        <v>2019</v>
      </c>
    </row>
    <row r="90" spans="2:20" x14ac:dyDescent="0.35">
      <c r="B90" t="s">
        <v>59</v>
      </c>
      <c r="C90" s="197" t="s">
        <v>284</v>
      </c>
      <c r="D90" s="197" t="s">
        <v>285</v>
      </c>
      <c r="E90" s="197" t="s">
        <v>286</v>
      </c>
      <c r="F90" s="197" t="s">
        <v>287</v>
      </c>
      <c r="G90" s="197" t="s">
        <v>288</v>
      </c>
      <c r="H90" s="197" t="s">
        <v>289</v>
      </c>
      <c r="I90" s="197" t="s">
        <v>290</v>
      </c>
      <c r="J90" s="197" t="s">
        <v>291</v>
      </c>
      <c r="K90" s="197" t="s">
        <v>292</v>
      </c>
      <c r="L90" s="197" t="s">
        <v>293</v>
      </c>
      <c r="M90" s="197" t="s">
        <v>294</v>
      </c>
      <c r="N90" s="197" t="s">
        <v>295</v>
      </c>
      <c r="O90" s="218" t="s">
        <v>296</v>
      </c>
      <c r="Q90" s="213">
        <v>0.03</v>
      </c>
      <c r="R90" s="213">
        <v>0.03</v>
      </c>
      <c r="S90" s="233">
        <v>5.7000000000000002E-2</v>
      </c>
      <c r="T90" s="213">
        <v>0.13</v>
      </c>
    </row>
    <row r="91" spans="2:20" x14ac:dyDescent="0.35">
      <c r="B91" t="s">
        <v>281</v>
      </c>
      <c r="C91">
        <v>0</v>
      </c>
      <c r="D91">
        <v>0</v>
      </c>
      <c r="E91">
        <v>0</v>
      </c>
      <c r="F91">
        <v>0</v>
      </c>
      <c r="G91">
        <v>0</v>
      </c>
      <c r="H91">
        <v>0</v>
      </c>
      <c r="I91">
        <v>0</v>
      </c>
      <c r="J91">
        <v>0</v>
      </c>
      <c r="K91">
        <v>0</v>
      </c>
      <c r="L91">
        <v>0</v>
      </c>
      <c r="M91">
        <v>0</v>
      </c>
      <c r="N91">
        <v>0</v>
      </c>
      <c r="O91" s="195">
        <v>0</v>
      </c>
      <c r="Q91">
        <f>$O$91+($O$91*Q90)</f>
        <v>0</v>
      </c>
      <c r="R91">
        <f>$O$91+($O$91*R90)</f>
        <v>0</v>
      </c>
      <c r="S91">
        <f>$O$91+($O$91*S90)</f>
        <v>0</v>
      </c>
      <c r="T91">
        <f>$O$91+($O$91*T90)</f>
        <v>0</v>
      </c>
    </row>
    <row r="92" spans="2:20" x14ac:dyDescent="0.35">
      <c r="B92" t="s">
        <v>282</v>
      </c>
      <c r="C92">
        <v>0</v>
      </c>
      <c r="D92">
        <v>0</v>
      </c>
      <c r="E92">
        <v>0</v>
      </c>
      <c r="F92">
        <v>0</v>
      </c>
      <c r="G92">
        <v>0</v>
      </c>
      <c r="H92">
        <v>0</v>
      </c>
      <c r="I92">
        <v>0</v>
      </c>
      <c r="J92">
        <v>0</v>
      </c>
      <c r="K92">
        <v>0</v>
      </c>
      <c r="L92">
        <v>0</v>
      </c>
      <c r="M92">
        <v>0</v>
      </c>
      <c r="N92">
        <v>0</v>
      </c>
      <c r="O92" s="195">
        <v>0</v>
      </c>
    </row>
    <row r="93" spans="2:20" x14ac:dyDescent="0.35">
      <c r="B93" t="s">
        <v>283</v>
      </c>
      <c r="C93" t="e">
        <f>C92/C91</f>
        <v>#DIV/0!</v>
      </c>
      <c r="D93" t="e">
        <f t="shared" ref="D93:O93" si="9">D92/D91</f>
        <v>#DIV/0!</v>
      </c>
      <c r="E93" t="e">
        <f t="shared" si="9"/>
        <v>#DIV/0!</v>
      </c>
      <c r="F93" t="e">
        <f t="shared" si="9"/>
        <v>#DIV/0!</v>
      </c>
      <c r="G93" t="e">
        <f t="shared" si="9"/>
        <v>#DIV/0!</v>
      </c>
      <c r="H93" t="e">
        <f t="shared" si="9"/>
        <v>#DIV/0!</v>
      </c>
      <c r="I93" t="e">
        <f t="shared" si="9"/>
        <v>#DIV/0!</v>
      </c>
      <c r="J93" t="e">
        <f t="shared" si="9"/>
        <v>#DIV/0!</v>
      </c>
      <c r="K93" t="e">
        <f t="shared" si="9"/>
        <v>#DIV/0!</v>
      </c>
      <c r="L93" t="e">
        <f t="shared" si="9"/>
        <v>#DIV/0!</v>
      </c>
      <c r="M93" t="e">
        <f t="shared" si="9"/>
        <v>#DIV/0!</v>
      </c>
      <c r="N93" t="e">
        <f t="shared" si="9"/>
        <v>#DIV/0!</v>
      </c>
      <c r="O93" s="204" t="e">
        <f t="shared" si="9"/>
        <v>#DIV/0!</v>
      </c>
    </row>
    <row r="94" spans="2:20" ht="15" thickBot="1" x14ac:dyDescent="0.4"/>
    <row r="95" spans="2:20" ht="15" thickBot="1" x14ac:dyDescent="0.4">
      <c r="B95" s="220">
        <v>2022</v>
      </c>
    </row>
    <row r="96" spans="2:20" x14ac:dyDescent="0.35">
      <c r="B96" t="s">
        <v>59</v>
      </c>
      <c r="C96" t="s">
        <v>297</v>
      </c>
      <c r="D96" t="s">
        <v>298</v>
      </c>
    </row>
    <row r="97" spans="2:20" x14ac:dyDescent="0.35">
      <c r="B97" t="s">
        <v>281</v>
      </c>
      <c r="C97" s="210">
        <v>144811</v>
      </c>
      <c r="D97" s="241">
        <f>C97/7*12</f>
        <v>248247.42857142858</v>
      </c>
    </row>
    <row r="98" spans="2:20" x14ac:dyDescent="0.35">
      <c r="B98" t="s">
        <v>282</v>
      </c>
      <c r="C98" s="217">
        <v>-16119449</v>
      </c>
      <c r="D98" s="222">
        <f>C98/7*12</f>
        <v>-27633341.142857142</v>
      </c>
      <c r="E98" t="s">
        <v>299</v>
      </c>
    </row>
    <row r="99" spans="2:20" x14ac:dyDescent="0.35">
      <c r="B99" t="s">
        <v>283</v>
      </c>
      <c r="C99" s="221">
        <f>C98/C97</f>
        <v>-111.31370545055279</v>
      </c>
      <c r="D99" s="221">
        <f>D98/D97</f>
        <v>-111.31370545055279</v>
      </c>
    </row>
    <row r="100" spans="2:20" ht="15" thickBot="1" x14ac:dyDescent="0.4"/>
    <row r="101" spans="2:20" ht="15" thickBot="1" x14ac:dyDescent="0.4">
      <c r="B101" s="220">
        <v>2019</v>
      </c>
    </row>
    <row r="102" spans="2:20" x14ac:dyDescent="0.35">
      <c r="B102" t="s">
        <v>60</v>
      </c>
      <c r="C102" s="197" t="s">
        <v>284</v>
      </c>
      <c r="D102" s="197" t="s">
        <v>285</v>
      </c>
      <c r="E102" s="197" t="s">
        <v>286</v>
      </c>
      <c r="F102" s="197" t="s">
        <v>287</v>
      </c>
      <c r="G102" s="197" t="s">
        <v>288</v>
      </c>
      <c r="H102" s="197" t="s">
        <v>289</v>
      </c>
      <c r="I102" s="197" t="s">
        <v>290</v>
      </c>
      <c r="J102" s="197" t="s">
        <v>291</v>
      </c>
      <c r="K102" s="197" t="s">
        <v>292</v>
      </c>
      <c r="L102" s="197" t="s">
        <v>293</v>
      </c>
      <c r="M102" s="197" t="s">
        <v>294</v>
      </c>
      <c r="N102" s="197" t="s">
        <v>295</v>
      </c>
      <c r="O102" s="218" t="s">
        <v>296</v>
      </c>
      <c r="Q102" s="213">
        <v>0.03</v>
      </c>
      <c r="R102" s="213">
        <v>0.03</v>
      </c>
      <c r="S102" s="233">
        <v>5.7000000000000002E-2</v>
      </c>
      <c r="T102" s="213">
        <v>0.13</v>
      </c>
    </row>
    <row r="103" spans="2:20" x14ac:dyDescent="0.35">
      <c r="B103" t="s">
        <v>281</v>
      </c>
      <c r="C103" s="210">
        <v>1406855</v>
      </c>
      <c r="D103" s="210">
        <v>942953</v>
      </c>
      <c r="E103" s="210">
        <v>649492</v>
      </c>
      <c r="F103" s="210">
        <v>164339</v>
      </c>
      <c r="G103" s="210">
        <v>197701</v>
      </c>
      <c r="H103" s="210">
        <v>21400</v>
      </c>
      <c r="I103" s="210">
        <v>272400</v>
      </c>
      <c r="J103" s="210">
        <v>316886</v>
      </c>
      <c r="K103" s="210">
        <v>199716</v>
      </c>
      <c r="L103" s="210">
        <v>246501</v>
      </c>
      <c r="M103" s="210">
        <v>196020</v>
      </c>
      <c r="N103" s="210">
        <v>216550</v>
      </c>
      <c r="O103" s="206">
        <v>4830813</v>
      </c>
      <c r="Q103" s="208">
        <f>$O$103+($O$103*Q102)</f>
        <v>4975737.3899999997</v>
      </c>
      <c r="R103" s="208">
        <f>$O$103+($O$103*R102)</f>
        <v>4975737.3899999997</v>
      </c>
      <c r="S103" s="208">
        <f>$O$103+($O$103*S102)</f>
        <v>5106169.341</v>
      </c>
      <c r="T103" s="208">
        <f>$O$103+($O$103*T102)</f>
        <v>5458818.6900000004</v>
      </c>
    </row>
    <row r="104" spans="2:20" x14ac:dyDescent="0.35">
      <c r="B104" t="s">
        <v>282</v>
      </c>
      <c r="C104" s="210">
        <v>840441</v>
      </c>
      <c r="D104" s="210">
        <v>505135</v>
      </c>
      <c r="E104" s="210">
        <v>275946</v>
      </c>
      <c r="F104" s="217">
        <v>-209207</v>
      </c>
      <c r="G104" s="217">
        <v>-384603</v>
      </c>
      <c r="H104" s="217">
        <v>-352146</v>
      </c>
      <c r="I104" s="217">
        <v>-101146</v>
      </c>
      <c r="J104" s="217">
        <v>-109550</v>
      </c>
      <c r="K104" s="217">
        <v>-235138</v>
      </c>
      <c r="L104" s="217">
        <v>-127045</v>
      </c>
      <c r="M104" s="217">
        <v>-423147</v>
      </c>
      <c r="N104" s="217">
        <v>-463924</v>
      </c>
      <c r="O104" s="224">
        <v>-784384</v>
      </c>
    </row>
    <row r="105" spans="2:20" x14ac:dyDescent="0.35">
      <c r="B105" t="s">
        <v>283</v>
      </c>
      <c r="C105" s="202">
        <f>C104/C103</f>
        <v>0.59738992291316451</v>
      </c>
      <c r="D105" s="202">
        <f t="shared" ref="D105:O105" si="10">D104/D103</f>
        <v>0.53569478012159677</v>
      </c>
      <c r="E105" s="202">
        <f t="shared" si="10"/>
        <v>0.42486435552708884</v>
      </c>
      <c r="F105" s="221">
        <f t="shared" si="10"/>
        <v>-1.2730210114458529</v>
      </c>
      <c r="G105" s="221">
        <f t="shared" si="10"/>
        <v>-1.9453771098780481</v>
      </c>
      <c r="H105" s="221">
        <f t="shared" si="10"/>
        <v>-16.455420560747662</v>
      </c>
      <c r="I105" s="221">
        <f t="shared" si="10"/>
        <v>-0.37131424375917765</v>
      </c>
      <c r="J105" s="221">
        <f t="shared" si="10"/>
        <v>-0.345707920198431</v>
      </c>
      <c r="K105" s="221">
        <f t="shared" si="10"/>
        <v>-1.177361853832442</v>
      </c>
      <c r="L105" s="221">
        <f t="shared" si="10"/>
        <v>-0.51539344667972953</v>
      </c>
      <c r="M105" s="221">
        <f t="shared" si="10"/>
        <v>-2.1586929905111725</v>
      </c>
      <c r="N105" s="221">
        <f t="shared" si="10"/>
        <v>-2.142341260678827</v>
      </c>
      <c r="O105" s="225">
        <f t="shared" si="10"/>
        <v>-0.16237101291231931</v>
      </c>
    </row>
    <row r="106" spans="2:20" ht="15" thickBot="1" x14ac:dyDescent="0.4"/>
    <row r="107" spans="2:20" ht="15" thickBot="1" x14ac:dyDescent="0.4">
      <c r="B107" s="220">
        <v>2022</v>
      </c>
    </row>
    <row r="108" spans="2:20" x14ac:dyDescent="0.35">
      <c r="B108" t="s">
        <v>60</v>
      </c>
      <c r="C108" t="s">
        <v>297</v>
      </c>
      <c r="D108" t="s">
        <v>298</v>
      </c>
    </row>
    <row r="109" spans="2:20" x14ac:dyDescent="0.35">
      <c r="B109" t="s">
        <v>281</v>
      </c>
      <c r="C109" s="210">
        <v>4292003</v>
      </c>
      <c r="D109" s="241">
        <f>C109/8*12</f>
        <v>6438004.5</v>
      </c>
    </row>
    <row r="110" spans="2:20" x14ac:dyDescent="0.35">
      <c r="B110" t="s">
        <v>282</v>
      </c>
      <c r="C110" s="217">
        <v>-175993</v>
      </c>
      <c r="D110" s="222">
        <f>C110/7*12</f>
        <v>-301702.28571428568</v>
      </c>
    </row>
    <row r="111" spans="2:20" x14ac:dyDescent="0.35">
      <c r="B111" t="s">
        <v>283</v>
      </c>
      <c r="C111" s="221">
        <f>C110/C109</f>
        <v>-4.10048641624901E-2</v>
      </c>
      <c r="D111" s="221">
        <f>D110/D109</f>
        <v>-4.686270189998868E-2</v>
      </c>
    </row>
    <row r="112" spans="2:20" ht="15" thickBot="1" x14ac:dyDescent="0.4"/>
    <row r="113" spans="2:20" ht="15" thickBot="1" x14ac:dyDescent="0.4">
      <c r="B113" s="220">
        <v>2019</v>
      </c>
    </row>
    <row r="114" spans="2:20" x14ac:dyDescent="0.35">
      <c r="B114" t="s">
        <v>278</v>
      </c>
      <c r="C114" s="197" t="s">
        <v>284</v>
      </c>
      <c r="D114" s="197" t="s">
        <v>285</v>
      </c>
      <c r="E114" s="197" t="s">
        <v>286</v>
      </c>
      <c r="F114" s="197" t="s">
        <v>287</v>
      </c>
      <c r="G114" s="197" t="s">
        <v>288</v>
      </c>
      <c r="H114" s="197" t="s">
        <v>289</v>
      </c>
      <c r="I114" s="197" t="s">
        <v>290</v>
      </c>
      <c r="J114" s="197" t="s">
        <v>291</v>
      </c>
      <c r="K114" s="197" t="s">
        <v>292</v>
      </c>
      <c r="L114" s="197" t="s">
        <v>293</v>
      </c>
      <c r="M114" s="197" t="s">
        <v>294</v>
      </c>
      <c r="N114" s="197" t="s">
        <v>295</v>
      </c>
      <c r="O114" s="218" t="s">
        <v>296</v>
      </c>
      <c r="Q114" s="213">
        <v>0.03</v>
      </c>
      <c r="R114" s="213">
        <v>0.03</v>
      </c>
      <c r="S114" s="233">
        <v>5.7000000000000002E-2</v>
      </c>
      <c r="T114" s="213">
        <v>0.13</v>
      </c>
    </row>
    <row r="115" spans="2:20" x14ac:dyDescent="0.35">
      <c r="B115" t="s">
        <v>281</v>
      </c>
      <c r="C115" s="210">
        <v>7838807</v>
      </c>
      <c r="D115" s="210">
        <v>7051891</v>
      </c>
      <c r="E115" s="210">
        <v>4551069</v>
      </c>
      <c r="F115" s="210">
        <v>3062818</v>
      </c>
      <c r="G115" s="210">
        <v>5334160</v>
      </c>
      <c r="H115" s="210">
        <v>5557001</v>
      </c>
      <c r="I115" s="210">
        <v>4543068</v>
      </c>
      <c r="J115" s="210">
        <v>4891031</v>
      </c>
      <c r="K115" s="210">
        <v>4400444</v>
      </c>
      <c r="L115" s="210">
        <v>4190752</v>
      </c>
      <c r="M115" s="210">
        <v>5165650</v>
      </c>
      <c r="N115" s="210">
        <v>7301084</v>
      </c>
      <c r="O115" s="219">
        <v>63887775</v>
      </c>
      <c r="Q115" s="208">
        <f>$O$115+($O$115*Q114)</f>
        <v>65804408.25</v>
      </c>
      <c r="R115" s="208">
        <f>$O$115+($O$115*R114)</f>
        <v>65804408.25</v>
      </c>
      <c r="S115" s="208">
        <f>$O$115+($O$115*S114)</f>
        <v>67529378.174999997</v>
      </c>
      <c r="T115" s="208">
        <f>$O$115+($O$115*T114)</f>
        <v>72193185.75</v>
      </c>
    </row>
    <row r="116" spans="2:20" x14ac:dyDescent="0.35">
      <c r="B116" t="s">
        <v>282</v>
      </c>
      <c r="C116" s="210">
        <v>1208764</v>
      </c>
      <c r="D116" s="210">
        <v>1386703</v>
      </c>
      <c r="E116" s="210">
        <v>71161</v>
      </c>
      <c r="F116" s="217">
        <v>-1804442</v>
      </c>
      <c r="G116" s="210">
        <v>447869</v>
      </c>
      <c r="H116" s="210">
        <v>361896</v>
      </c>
      <c r="I116" s="217">
        <v>-543795</v>
      </c>
      <c r="J116" s="217">
        <v>-242118</v>
      </c>
      <c r="K116" s="217">
        <v>-1913991</v>
      </c>
      <c r="L116" s="217">
        <v>-150624</v>
      </c>
      <c r="M116" s="210">
        <v>804527</v>
      </c>
      <c r="N116" s="210">
        <v>2038765</v>
      </c>
      <c r="O116" s="219">
        <v>1664715</v>
      </c>
    </row>
    <row r="117" spans="2:20" x14ac:dyDescent="0.35">
      <c r="B117" t="s">
        <v>283</v>
      </c>
      <c r="C117" s="202">
        <f>C116/C115</f>
        <v>0.15420254638237682</v>
      </c>
      <c r="D117" s="202">
        <f t="shared" ref="D117:O117" si="11">D116/D115</f>
        <v>0.19664271611685433</v>
      </c>
      <c r="E117" s="202">
        <f t="shared" si="11"/>
        <v>1.5636106593857398E-2</v>
      </c>
      <c r="F117" s="221">
        <f t="shared" si="11"/>
        <v>-0.58914437619212112</v>
      </c>
      <c r="G117" s="202">
        <f t="shared" si="11"/>
        <v>8.3962423324384722E-2</v>
      </c>
      <c r="H117" s="202">
        <f t="shared" si="11"/>
        <v>6.5124335950272463E-2</v>
      </c>
      <c r="I117" s="221">
        <f t="shared" si="11"/>
        <v>-0.11969774610461477</v>
      </c>
      <c r="J117" s="221">
        <f t="shared" si="11"/>
        <v>-4.9502446416716639E-2</v>
      </c>
      <c r="K117" s="221">
        <f t="shared" si="11"/>
        <v>-0.43495406372629669</v>
      </c>
      <c r="L117" s="221">
        <f t="shared" si="11"/>
        <v>-3.5941997999404403E-2</v>
      </c>
      <c r="M117" s="202">
        <f t="shared" si="11"/>
        <v>0.15574554993079284</v>
      </c>
      <c r="N117" s="202">
        <f t="shared" si="11"/>
        <v>0.27924141127536678</v>
      </c>
      <c r="O117" s="223">
        <f t="shared" si="11"/>
        <v>2.6056862991393894E-2</v>
      </c>
    </row>
    <row r="118" spans="2:20" ht="15" thickBot="1" x14ac:dyDescent="0.4"/>
    <row r="119" spans="2:20" ht="15" thickBot="1" x14ac:dyDescent="0.4">
      <c r="B119" s="220">
        <v>2022</v>
      </c>
    </row>
    <row r="120" spans="2:20" x14ac:dyDescent="0.35">
      <c r="B120" t="s">
        <v>278</v>
      </c>
      <c r="C120" t="s">
        <v>297</v>
      </c>
      <c r="D120" t="s">
        <v>298</v>
      </c>
    </row>
    <row r="121" spans="2:20" x14ac:dyDescent="0.35">
      <c r="B121" t="s">
        <v>281</v>
      </c>
      <c r="C121" s="210">
        <v>44451372</v>
      </c>
      <c r="D121" s="241">
        <f>C121/8*12</f>
        <v>66677058</v>
      </c>
    </row>
    <row r="122" spans="2:20" x14ac:dyDescent="0.35">
      <c r="B122" t="s">
        <v>282</v>
      </c>
      <c r="C122" s="217">
        <v>-34100945</v>
      </c>
      <c r="D122" s="222">
        <f>C122/7*12</f>
        <v>-58458762.857142866</v>
      </c>
    </row>
    <row r="123" spans="2:20" x14ac:dyDescent="0.35">
      <c r="B123" t="s">
        <v>283</v>
      </c>
      <c r="C123" s="221">
        <f>C122/C121</f>
        <v>-0.76715168656661481</v>
      </c>
      <c r="D123" s="221">
        <f>D122/D121</f>
        <v>-0.87674478464756</v>
      </c>
    </row>
    <row r="124" spans="2:20" ht="15" thickBot="1" x14ac:dyDescent="0.4"/>
    <row r="125" spans="2:20" ht="15" thickBot="1" x14ac:dyDescent="0.4">
      <c r="B125" s="220">
        <v>2019</v>
      </c>
    </row>
    <row r="126" spans="2:20" x14ac:dyDescent="0.35">
      <c r="B126" t="s">
        <v>279</v>
      </c>
      <c r="C126" s="197" t="s">
        <v>284</v>
      </c>
      <c r="D126" s="197" t="s">
        <v>285</v>
      </c>
      <c r="E126" s="197" t="s">
        <v>286</v>
      </c>
      <c r="F126" s="197" t="s">
        <v>287</v>
      </c>
      <c r="G126" s="197" t="s">
        <v>288</v>
      </c>
      <c r="H126" s="197" t="s">
        <v>289</v>
      </c>
      <c r="I126" s="197" t="s">
        <v>290</v>
      </c>
      <c r="J126" s="197" t="s">
        <v>291</v>
      </c>
      <c r="K126" s="197" t="s">
        <v>292</v>
      </c>
      <c r="L126" s="197" t="s">
        <v>293</v>
      </c>
      <c r="M126" s="197" t="s">
        <v>294</v>
      </c>
      <c r="N126" s="197" t="s">
        <v>295</v>
      </c>
      <c r="O126" s="218" t="s">
        <v>296</v>
      </c>
      <c r="Q126" s="213">
        <v>0.03</v>
      </c>
      <c r="R126" s="213">
        <v>0.03</v>
      </c>
      <c r="S126" s="233">
        <v>5.7000000000000002E-2</v>
      </c>
      <c r="T126" s="213">
        <v>0.13</v>
      </c>
    </row>
    <row r="127" spans="2:20" x14ac:dyDescent="0.35">
      <c r="B127" t="s">
        <v>281</v>
      </c>
      <c r="C127" s="248">
        <v>8371750</v>
      </c>
      <c r="D127" s="248">
        <v>6718702</v>
      </c>
      <c r="E127" s="248">
        <v>5063461</v>
      </c>
      <c r="F127" s="248">
        <v>4813638</v>
      </c>
      <c r="G127" s="248">
        <v>8518657</v>
      </c>
      <c r="H127" s="248">
        <v>6716896</v>
      </c>
      <c r="I127" s="248">
        <v>3887962</v>
      </c>
      <c r="J127" s="248">
        <v>4393946</v>
      </c>
      <c r="K127" s="248">
        <v>5401283</v>
      </c>
      <c r="L127" s="248">
        <v>4388038</v>
      </c>
      <c r="M127" s="248">
        <v>5652338</v>
      </c>
      <c r="N127" s="248">
        <v>6818878</v>
      </c>
      <c r="O127" s="219">
        <f>SUM(C127:N127)</f>
        <v>70745549</v>
      </c>
      <c r="Q127" s="208">
        <f>$O$127+($O$127*Q126)</f>
        <v>72867915.469999999</v>
      </c>
      <c r="R127" s="208">
        <f>$O$127+($O$127*R126)</f>
        <v>72867915.469999999</v>
      </c>
      <c r="S127" s="208">
        <f>$O$127+($O$127*S126)</f>
        <v>74778045.292999998</v>
      </c>
      <c r="T127" s="208">
        <f>$O$127+($O$127*T126)</f>
        <v>79942470.370000005</v>
      </c>
    </row>
    <row r="128" spans="2:20" x14ac:dyDescent="0.35">
      <c r="B128" t="s">
        <v>282</v>
      </c>
      <c r="C128" s="210">
        <v>1793495</v>
      </c>
      <c r="D128" s="210">
        <v>1598807</v>
      </c>
      <c r="E128" s="210">
        <v>1148373</v>
      </c>
      <c r="F128" s="210">
        <v>377999</v>
      </c>
      <c r="G128" s="210">
        <v>4274205</v>
      </c>
      <c r="H128" s="210">
        <v>2433086</v>
      </c>
      <c r="I128" s="210">
        <v>37494</v>
      </c>
      <c r="J128" s="217">
        <v>-572028</v>
      </c>
      <c r="K128" s="217">
        <v>-1283870</v>
      </c>
      <c r="L128" s="217">
        <v>-427889</v>
      </c>
      <c r="M128" s="217">
        <v>-610329</v>
      </c>
      <c r="N128" s="217">
        <v>-439132</v>
      </c>
      <c r="O128" s="219">
        <v>8330211</v>
      </c>
    </row>
    <row r="129" spans="2:15" x14ac:dyDescent="0.35">
      <c r="B129" t="s">
        <v>283</v>
      </c>
      <c r="C129" s="202">
        <f>C128/C127</f>
        <v>0.21423179144145491</v>
      </c>
      <c r="D129" s="202">
        <f t="shared" ref="D129:O129" si="12">D128/D127</f>
        <v>0.23796367214976941</v>
      </c>
      <c r="E129" s="202">
        <f t="shared" si="12"/>
        <v>0.22679605905920872</v>
      </c>
      <c r="F129" s="202">
        <f t="shared" si="12"/>
        <v>7.8526677743527867E-2</v>
      </c>
      <c r="G129" s="202">
        <f t="shared" si="12"/>
        <v>0.50174634334966184</v>
      </c>
      <c r="H129" s="202">
        <f t="shared" si="12"/>
        <v>0.36223368651234139</v>
      </c>
      <c r="I129" s="202">
        <f t="shared" si="12"/>
        <v>9.6436127719355287E-3</v>
      </c>
      <c r="J129" s="221">
        <f t="shared" si="12"/>
        <v>-0.13018548703147467</v>
      </c>
      <c r="K129" s="221">
        <f t="shared" si="12"/>
        <v>-0.23769722860290787</v>
      </c>
      <c r="L129" s="221">
        <f t="shared" si="12"/>
        <v>-9.7512601303817337E-2</v>
      </c>
      <c r="M129" s="221">
        <f t="shared" si="12"/>
        <v>-0.10797814992663213</v>
      </c>
      <c r="N129" s="221">
        <f t="shared" si="12"/>
        <v>-6.4399451053384446E-2</v>
      </c>
      <c r="O129" s="223">
        <f t="shared" si="12"/>
        <v>0.11774890601244752</v>
      </c>
    </row>
    <row r="130" spans="2:15" ht="15" thickBot="1" x14ac:dyDescent="0.4"/>
    <row r="131" spans="2:15" ht="15" thickBot="1" x14ac:dyDescent="0.4">
      <c r="B131" s="220">
        <v>2022</v>
      </c>
    </row>
    <row r="132" spans="2:15" x14ac:dyDescent="0.35">
      <c r="B132" t="s">
        <v>279</v>
      </c>
      <c r="C132" t="s">
        <v>297</v>
      </c>
      <c r="D132" t="s">
        <v>298</v>
      </c>
    </row>
    <row r="133" spans="2:15" x14ac:dyDescent="0.35">
      <c r="B133" t="s">
        <v>281</v>
      </c>
      <c r="C133" s="210">
        <v>29669615</v>
      </c>
      <c r="D133" s="241">
        <f>C133/8*12</f>
        <v>44504422.5</v>
      </c>
    </row>
    <row r="134" spans="2:15" x14ac:dyDescent="0.35">
      <c r="B134" t="s">
        <v>282</v>
      </c>
      <c r="C134" s="210">
        <v>2319047</v>
      </c>
      <c r="D134" s="208">
        <f>C134/7*12</f>
        <v>3975509.1428571427</v>
      </c>
    </row>
    <row r="135" spans="2:15" x14ac:dyDescent="0.35">
      <c r="B135" t="s">
        <v>283</v>
      </c>
      <c r="C135" s="202">
        <f>C134/C133</f>
        <v>7.8162355662518709E-2</v>
      </c>
      <c r="D135" s="202">
        <f>D134/D133</f>
        <v>8.9328406471449948E-2</v>
      </c>
    </row>
    <row r="138" spans="2:15" x14ac:dyDescent="0.35">
      <c r="B138" t="s">
        <v>89</v>
      </c>
      <c r="C138" s="208">
        <f>SUM(C133,C121,C109,C97,C85,C73,C61,C49,C37)</f>
        <v>121946196</v>
      </c>
      <c r="D138" s="208">
        <f>C138/7*12</f>
        <v>209050621.7142857</v>
      </c>
    </row>
    <row r="139" spans="2:15" x14ac:dyDescent="0.35">
      <c r="D139" s="240">
        <v>-4726618</v>
      </c>
    </row>
    <row r="140" spans="2:15" x14ac:dyDescent="0.35">
      <c r="D140" s="202">
        <f>D139/D138</f>
        <v>-2.2609920799278836E-2</v>
      </c>
    </row>
  </sheetData>
  <mergeCells count="16">
    <mergeCell ref="M2:N2"/>
    <mergeCell ref="M3:N3"/>
    <mergeCell ref="M4:N4"/>
    <mergeCell ref="M5:N5"/>
    <mergeCell ref="B11:C11"/>
    <mergeCell ref="F2:G2"/>
    <mergeCell ref="B12:C12"/>
    <mergeCell ref="B2:C2"/>
    <mergeCell ref="B3:C3"/>
    <mergeCell ref="B4:C4"/>
    <mergeCell ref="B5:C5"/>
    <mergeCell ref="B6:C6"/>
    <mergeCell ref="B7:C7"/>
    <mergeCell ref="B8:C8"/>
    <mergeCell ref="B9:C9"/>
    <mergeCell ref="B10:C10"/>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sheetPr>
  <dimension ref="A1:T254"/>
  <sheetViews>
    <sheetView tabSelected="1" topLeftCell="G1" zoomScale="80" zoomScaleNormal="80" workbookViewId="0">
      <selection activeCell="P24" sqref="P24"/>
    </sheetView>
  </sheetViews>
  <sheetFormatPr baseColWidth="10" defaultRowHeight="14.5" x14ac:dyDescent="0.35"/>
  <cols>
    <col min="1" max="1" width="56.26953125" style="4" bestFit="1" customWidth="1"/>
    <col min="2" max="2" width="18.54296875" style="4" customWidth="1"/>
    <col min="3" max="3" width="22.1796875" style="4" bestFit="1" customWidth="1"/>
    <col min="4" max="4" width="19.26953125" style="4" customWidth="1"/>
    <col min="5" max="5" width="26.1796875" style="4" customWidth="1"/>
    <col min="6" max="6" width="28" style="4" bestFit="1" customWidth="1"/>
    <col min="7" max="7" width="18.26953125" style="4" customWidth="1"/>
    <col min="8" max="8" width="22.7265625" style="4" customWidth="1"/>
    <col min="9" max="9" width="24.81640625" style="4" bestFit="1" customWidth="1"/>
    <col min="10" max="10" width="19.7265625" style="4" bestFit="1" customWidth="1"/>
    <col min="11" max="11" width="18.54296875" style="4" bestFit="1" customWidth="1"/>
    <col min="12" max="12" width="34.54296875" style="4" bestFit="1" customWidth="1"/>
    <col min="13" max="13" width="18.54296875" style="4" bestFit="1" customWidth="1"/>
    <col min="14" max="14" width="18.81640625" style="4" bestFit="1" customWidth="1"/>
    <col min="15" max="15" width="15.81640625" style="4" customWidth="1"/>
    <col min="16" max="16" width="15" style="4" bestFit="1" customWidth="1"/>
    <col min="17" max="17" width="11.453125" style="4"/>
  </cols>
  <sheetData>
    <row r="1" spans="1:20" s="136" customFormat="1" x14ac:dyDescent="0.35">
      <c r="A1" s="1128"/>
      <c r="B1" s="139"/>
      <c r="C1" s="139"/>
      <c r="D1" s="139"/>
      <c r="E1" s="137"/>
      <c r="F1" s="139"/>
      <c r="G1" s="139"/>
      <c r="H1" s="139"/>
      <c r="I1" s="139"/>
      <c r="J1" s="139"/>
      <c r="K1" s="139"/>
      <c r="L1" s="139"/>
      <c r="M1" s="139"/>
      <c r="N1" s="139"/>
      <c r="O1" s="139"/>
      <c r="P1" s="139"/>
      <c r="Q1" s="139"/>
    </row>
    <row r="2" spans="1:20" s="136" customFormat="1" x14ac:dyDescent="0.35">
      <c r="A2" s="1129"/>
      <c r="B2" s="139"/>
      <c r="C2" s="139"/>
      <c r="D2" s="139"/>
      <c r="E2" s="137" t="s">
        <v>0</v>
      </c>
      <c r="F2" s="139"/>
      <c r="G2" s="139"/>
      <c r="H2" s="139"/>
      <c r="I2" s="139"/>
      <c r="J2" s="139"/>
      <c r="K2" s="139"/>
      <c r="L2" s="139"/>
      <c r="M2" s="139"/>
      <c r="N2" s="139"/>
      <c r="O2" s="139"/>
      <c r="P2" s="139"/>
      <c r="Q2" s="139"/>
    </row>
    <row r="3" spans="1:20" s="136" customFormat="1" x14ac:dyDescent="0.35">
      <c r="A3" s="138"/>
      <c r="B3" s="139"/>
      <c r="C3" s="139"/>
      <c r="D3" s="139"/>
      <c r="E3" s="139"/>
      <c r="F3" s="139"/>
      <c r="G3" s="139"/>
      <c r="H3" s="139"/>
      <c r="I3" s="139"/>
      <c r="J3" s="139"/>
      <c r="K3" s="139"/>
      <c r="L3" s="139"/>
      <c r="M3" s="139"/>
      <c r="N3" s="139"/>
      <c r="O3" s="139"/>
      <c r="P3" s="139"/>
      <c r="Q3" s="139"/>
    </row>
    <row r="4" spans="1:20" s="136" customFormat="1" ht="15.5" x14ac:dyDescent="0.35">
      <c r="A4" s="138"/>
      <c r="B4" s="1130"/>
      <c r="C4" s="1338" t="s">
        <v>1</v>
      </c>
      <c r="D4" s="1338"/>
      <c r="E4" s="1339" t="s">
        <v>20</v>
      </c>
      <c r="F4" s="1340"/>
      <c r="G4" s="139"/>
      <c r="H4" s="139"/>
      <c r="I4" s="139"/>
      <c r="J4" s="1131"/>
      <c r="K4" s="139"/>
      <c r="L4" s="139"/>
      <c r="M4" s="139"/>
      <c r="N4" s="139"/>
      <c r="O4" s="139"/>
      <c r="P4" s="139"/>
      <c r="Q4" s="139"/>
    </row>
    <row r="5" spans="1:20" s="136" customFormat="1" x14ac:dyDescent="0.35">
      <c r="A5" s="138"/>
      <c r="B5" s="138"/>
      <c r="C5" s="138"/>
      <c r="D5" s="138"/>
      <c r="E5" s="138"/>
      <c r="F5" s="141"/>
      <c r="G5" s="141"/>
      <c r="H5" s="139"/>
      <c r="I5" s="139"/>
      <c r="J5" s="1131"/>
      <c r="K5" s="139"/>
      <c r="L5" s="139"/>
      <c r="M5" s="139"/>
      <c r="N5" s="139"/>
      <c r="O5" s="139"/>
      <c r="P5" s="139"/>
      <c r="Q5" s="139"/>
    </row>
    <row r="6" spans="1:20" s="136" customFormat="1" x14ac:dyDescent="0.35">
      <c r="A6" s="1330" t="s">
        <v>2</v>
      </c>
      <c r="B6" s="1330"/>
      <c r="C6" s="1330"/>
      <c r="D6" s="1330"/>
      <c r="E6" s="138"/>
      <c r="F6" s="141"/>
      <c r="G6" s="141"/>
      <c r="H6" s="139"/>
      <c r="I6" s="139"/>
      <c r="J6" s="1131"/>
      <c r="K6" s="139"/>
      <c r="L6" s="139"/>
      <c r="M6" s="139"/>
      <c r="N6" s="139"/>
      <c r="O6" s="139"/>
      <c r="P6" s="139"/>
      <c r="Q6" s="139"/>
    </row>
    <row r="7" spans="1:20" s="136" customFormat="1" ht="15" thickBot="1" x14ac:dyDescent="0.4">
      <c r="A7" s="138"/>
      <c r="B7" s="139"/>
      <c r="C7" s="139"/>
      <c r="D7" s="138"/>
      <c r="E7" s="139"/>
      <c r="F7" s="139"/>
      <c r="G7" s="139"/>
      <c r="H7" s="139"/>
      <c r="I7" s="138"/>
      <c r="J7" s="138"/>
      <c r="K7" s="1132"/>
      <c r="L7" s="138"/>
      <c r="M7" s="138"/>
      <c r="N7" s="138"/>
      <c r="O7" s="138"/>
      <c r="P7" s="138"/>
      <c r="Q7" s="138"/>
    </row>
    <row r="8" spans="1:20" ht="26.5" thickBot="1" x14ac:dyDescent="0.4">
      <c r="A8" s="150" t="s">
        <v>3</v>
      </c>
      <c r="B8" s="151" t="s">
        <v>4</v>
      </c>
      <c r="C8" s="151" t="s">
        <v>5</v>
      </c>
      <c r="D8" s="151" t="s">
        <v>6</v>
      </c>
      <c r="E8" s="152" t="s">
        <v>7</v>
      </c>
      <c r="F8" s="152" t="s">
        <v>8</v>
      </c>
      <c r="G8" s="6" t="s">
        <v>9</v>
      </c>
      <c r="H8" s="6" t="s">
        <v>10</v>
      </c>
      <c r="I8" s="6" t="s">
        <v>11</v>
      </c>
      <c r="J8" s="7" t="s">
        <v>12</v>
      </c>
      <c r="K8" s="153" t="s">
        <v>13</v>
      </c>
      <c r="L8" s="8" t="s">
        <v>14</v>
      </c>
      <c r="M8" s="9" t="s">
        <v>15</v>
      </c>
      <c r="N8" s="642" t="s">
        <v>16</v>
      </c>
      <c r="O8" s="10" t="s">
        <v>17</v>
      </c>
      <c r="P8" s="1141"/>
      <c r="Q8" s="138"/>
      <c r="R8" s="136"/>
      <c r="S8" s="136"/>
      <c r="T8" s="136"/>
    </row>
    <row r="9" spans="1:20" x14ac:dyDescent="0.35">
      <c r="A9" s="154" t="str">
        <f>+'B) Reajuste Tarifas y Ocupación'!A9</f>
        <v>C. R. Faro Limar</v>
      </c>
      <c r="B9" s="11">
        <f>I53</f>
        <v>17259400</v>
      </c>
      <c r="C9" s="11">
        <f>H53</f>
        <v>5300100</v>
      </c>
      <c r="D9" s="12">
        <f t="shared" ref="D9:D17" si="0">+B9+C9</f>
        <v>22559500</v>
      </c>
      <c r="E9" s="13">
        <f>+'C) Costos Directos'!H12</f>
        <v>24415861.309999995</v>
      </c>
      <c r="F9" s="13">
        <f>+'C) Costos Directos'!H27+'C) Costos Directos'!H28+'C) Costos Directos'!H29+'C) Costos Directos'!H32+'C) Costos Directos'!H46+'C) Costos Directos'!H53+'C) Costos Directos'!H23+'C) Costos Directos'!H30+'C) Costos Directos'!H31+'C) Costos Directos'!H33+'C) Costos Directos'!H47</f>
        <v>10113907</v>
      </c>
      <c r="G9" s="13">
        <f>+'C) Costos Directos'!D68</f>
        <v>0</v>
      </c>
      <c r="H9" s="13">
        <f>+'C) Costos Directos'!H74+'C) Costos Directos'!H25+'C) Costos Directos'!H70+'C) Costos Directos'!H72</f>
        <v>1608529</v>
      </c>
      <c r="I9" s="13">
        <f>+'C) Costos Directos'!H80-E9-F9-G9-H9</f>
        <v>1244754</v>
      </c>
      <c r="J9" s="155">
        <f>SUM(E9:I9)</f>
        <v>37383051.309999995</v>
      </c>
      <c r="K9" s="13">
        <f>IFERROR(+'D) Costos Indirectos '!$AN$15*O9,0)</f>
        <v>10444606.738499999</v>
      </c>
      <c r="L9" s="156">
        <f>+J9+K9</f>
        <v>47827658.048499994</v>
      </c>
      <c r="M9" s="638">
        <f t="shared" ref="M9:M17" si="1">+D9-L9</f>
        <v>-25268158.048499994</v>
      </c>
      <c r="N9" s="637">
        <f t="shared" ref="N9:N17" si="2">D9-J9</f>
        <v>-14823551.309999995</v>
      </c>
      <c r="O9" s="640">
        <v>0.12</v>
      </c>
      <c r="P9" s="1142"/>
      <c r="Q9" s="138"/>
      <c r="R9" s="136"/>
      <c r="S9" s="136"/>
      <c r="T9" s="136"/>
    </row>
    <row r="10" spans="1:20" x14ac:dyDescent="0.35">
      <c r="A10" s="581" t="str">
        <f>+'B) Reajuste Tarifas y Ocupación'!A18</f>
        <v>Piscina C.R. Faro Limar</v>
      </c>
      <c r="B10" s="582">
        <f>+I60</f>
        <v>4940900</v>
      </c>
      <c r="C10" s="583">
        <f>H60</f>
        <v>0</v>
      </c>
      <c r="D10" s="584">
        <f t="shared" si="0"/>
        <v>4940900</v>
      </c>
      <c r="E10" s="582">
        <f>+'C) Costos Directos'!H84</f>
        <v>6820343.9399999995</v>
      </c>
      <c r="F10" s="582">
        <f>+'C) Costos Directos'!H99+'C) Costos Directos'!H100+'C) Costos Directos'!H125+'C) Costos Directos'!H101+'C) Costos Directos'!H102+'C) Costos Directos'!H103+'C) Costos Directos'!H104+'C) Costos Directos'!H105+'C) Costos Directos'!H118+'C) Costos Directos'!H119+'C) Costos Directos'!H125</f>
        <v>0</v>
      </c>
      <c r="G10" s="582">
        <f>+'C) Costos Directos'!H140</f>
        <v>0</v>
      </c>
      <c r="H10" s="582">
        <f>+'C) Costos Directos'!H146+'C) Costos Directos'!H97+'C) Costos Directos'!H142+'C) Costos Directos'!H143</f>
        <v>0</v>
      </c>
      <c r="I10" s="582">
        <f>'C) Costos Directos'!H152-'A) Resumen Ingresos y Egresos'!E10-'A) Resumen Ingresos y Egresos'!F10-'A) Resumen Ingresos y Egresos'!G10-'A) Resumen Ingresos y Egresos'!H10</f>
        <v>500000</v>
      </c>
      <c r="J10" s="615">
        <f>SUM(E10:I10)</f>
        <v>7320343.9399999995</v>
      </c>
      <c r="K10" s="615">
        <f>IFERROR(+'D) Costos Indirectos '!$AN$15*O10,0)</f>
        <v>0</v>
      </c>
      <c r="L10" s="15">
        <f>+J10+K10</f>
        <v>7320343.9399999995</v>
      </c>
      <c r="M10" s="638">
        <f>+D10-L10</f>
        <v>-2379443.9399999995</v>
      </c>
      <c r="N10" s="749">
        <f t="shared" si="2"/>
        <v>-2379443.9399999995</v>
      </c>
      <c r="O10" s="750">
        <v>0</v>
      </c>
      <c r="P10" s="1142"/>
      <c r="Q10" s="138"/>
      <c r="R10" s="136"/>
      <c r="S10" s="136"/>
      <c r="T10" s="136"/>
    </row>
    <row r="11" spans="1:20" x14ac:dyDescent="0.35">
      <c r="A11" s="154" t="str">
        <f>+'B) Reajuste Tarifas y Ocupación'!A20</f>
        <v>Cabañas Mamiña</v>
      </c>
      <c r="B11" s="11">
        <f>+I70</f>
        <v>1841100</v>
      </c>
      <c r="C11" s="11">
        <f>+H70</f>
        <v>989400</v>
      </c>
      <c r="D11" s="12">
        <f t="shared" si="0"/>
        <v>2830500</v>
      </c>
      <c r="E11" s="13">
        <f>+'C) Costos Directos'!H156</f>
        <v>0</v>
      </c>
      <c r="F11" s="13">
        <f>+'C) Costos Directos'!H171+'C) Costos Directos'!H172+'C) Costos Directos'!H173+'C) Costos Directos'!H197+'C) Costos Directos'!H167+'C) Costos Directos'!H174+'C) Costos Directos'!H175+'C) Costos Directos'!H176+'C) Costos Directos'!H177+'C) Costos Directos'!H190+'C) Costos Directos'!H191</f>
        <v>630947</v>
      </c>
      <c r="G11" s="13">
        <f>+'C) Costos Directos'!D212</f>
        <v>0</v>
      </c>
      <c r="H11" s="13">
        <f>+'C) Costos Directos'!H218+'C) Costos Directos'!H169</f>
        <v>877346</v>
      </c>
      <c r="I11" s="13">
        <f>+'C) Costos Directos'!H224-E11-F11-G11-H11</f>
        <v>823527</v>
      </c>
      <c r="J11" s="14">
        <f t="shared" ref="J11:J17" si="3">SUM(E11:I11)</f>
        <v>2331820</v>
      </c>
      <c r="K11" s="13">
        <f>IFERROR(+'D) Costos Indirectos '!$AN$15*O11,0)</f>
        <v>870383.894875</v>
      </c>
      <c r="L11" s="15">
        <f t="shared" ref="L11:L17" si="4">+J11+K11</f>
        <v>3202203.8948750002</v>
      </c>
      <c r="M11" s="638">
        <f t="shared" si="1"/>
        <v>-371703.89487500023</v>
      </c>
      <c r="N11" s="644">
        <f t="shared" si="2"/>
        <v>498680</v>
      </c>
      <c r="O11" s="640">
        <v>0.01</v>
      </c>
      <c r="P11" s="1142"/>
      <c r="Q11" s="138"/>
      <c r="R11" s="136"/>
      <c r="S11" s="136"/>
      <c r="T11" s="136"/>
    </row>
    <row r="12" spans="1:20" x14ac:dyDescent="0.35">
      <c r="A12" s="154" t="str">
        <f>+'B) Reajuste Tarifas y Ocupación'!A23</f>
        <v>C.R. Huayquique</v>
      </c>
      <c r="B12" s="11">
        <f>I119</f>
        <v>105593300</v>
      </c>
      <c r="C12" s="11">
        <f>H119</f>
        <v>3193700</v>
      </c>
      <c r="D12" s="12">
        <f t="shared" si="0"/>
        <v>108787000</v>
      </c>
      <c r="E12" s="13">
        <f>+'C) Costos Directos'!H228</f>
        <v>63792336.719999999</v>
      </c>
      <c r="F12" s="13">
        <f>+'C) Costos Directos'!H243+'C) Costos Directos'!H244+'C) Costos Directos'!H269+'C) Costos Directos'!H239+'C) Costos Directos'!H245+'C) Costos Directos'!H246+'C) Costos Directos'!H247+'C) Costos Directos'!H248+'C) Costos Directos'!H249+'C) Costos Directos'!H262+'C) Costos Directos'!H263</f>
        <v>35751004</v>
      </c>
      <c r="G12" s="13">
        <f>+'C) Costos Directos'!D284</f>
        <v>0</v>
      </c>
      <c r="H12" s="13">
        <f>+'C) Costos Directos'!H290+'C) Costos Directos'!H241</f>
        <v>1500000</v>
      </c>
      <c r="I12" s="13">
        <f>+'C) Costos Directos'!H296-E12-F12-G12-H12</f>
        <v>11483914</v>
      </c>
      <c r="J12" s="14">
        <f>SUM(E12:I12)</f>
        <v>112527254.72</v>
      </c>
      <c r="K12" s="13">
        <f>IFERROR(+'D) Costos Indirectos '!$AN$15*O12,0)</f>
        <v>32204204.110374998</v>
      </c>
      <c r="L12" s="15">
        <f t="shared" si="4"/>
        <v>144731458.83037499</v>
      </c>
      <c r="M12" s="638">
        <f t="shared" si="1"/>
        <v>-35944458.830374986</v>
      </c>
      <c r="N12" s="644">
        <f t="shared" si="2"/>
        <v>-3740254.7199999988</v>
      </c>
      <c r="O12" s="640">
        <v>0.37</v>
      </c>
      <c r="P12" s="1142"/>
      <c r="Q12" s="138"/>
      <c r="R12" s="136"/>
      <c r="S12" s="136"/>
      <c r="T12" s="136"/>
    </row>
    <row r="13" spans="1:20" x14ac:dyDescent="0.35">
      <c r="A13" s="581" t="str">
        <f>+'B) Reajuste Tarifas y Ocupación'!A39</f>
        <v>Piscina C.R. Huayquique (Oficiales)</v>
      </c>
      <c r="B13" s="582">
        <f>+I126</f>
        <v>4203300</v>
      </c>
      <c r="C13" s="583">
        <f>H126</f>
        <v>0</v>
      </c>
      <c r="D13" s="584">
        <f t="shared" si="0"/>
        <v>4203300</v>
      </c>
      <c r="E13" s="582">
        <f>+'C) Costos Directos'!H300</f>
        <v>6820343.9399999995</v>
      </c>
      <c r="F13" s="582">
        <f>+'C) Costos Directos'!H315+'C) Costos Directos'!H316+'C) Costos Directos'!H341+'C) Costos Directos'!H311+'C) Costos Directos'!H317+'C) Costos Directos'!H318+'C) Costos Directos'!H319+'C) Costos Directos'!H320+'C) Costos Directos'!H321+'C) Costos Directos'!H334+'C) Costos Directos'!H335</f>
        <v>732225</v>
      </c>
      <c r="G13" s="582">
        <f>'C) Costos Directos'!D356</f>
        <v>0</v>
      </c>
      <c r="H13" s="582">
        <f>+'C) Costos Directos'!H362+'C) Costos Directos'!H313</f>
        <v>0</v>
      </c>
      <c r="I13" s="582">
        <f>+'C) Costos Directos'!H368-E13-F13-G13-H13</f>
        <v>2580163</v>
      </c>
      <c r="J13" s="615">
        <f>SUM(E13:I13)</f>
        <v>10132731.939999999</v>
      </c>
      <c r="K13" s="615">
        <f>IFERROR(+'D) Costos Indirectos '!$AN$15*O13,0)</f>
        <v>0</v>
      </c>
      <c r="L13" s="15">
        <f t="shared" si="4"/>
        <v>10132731.939999999</v>
      </c>
      <c r="M13" s="638">
        <f t="shared" si="1"/>
        <v>-5929431.9399999995</v>
      </c>
      <c r="N13" s="644">
        <f t="shared" si="2"/>
        <v>-5929431.9399999995</v>
      </c>
      <c r="O13" s="750">
        <v>0</v>
      </c>
      <c r="P13" s="1142"/>
      <c r="Q13" s="138"/>
      <c r="R13" s="136"/>
      <c r="S13" s="136"/>
      <c r="T13" s="136"/>
    </row>
    <row r="14" spans="1:20" x14ac:dyDescent="0.35">
      <c r="A14" s="581" t="str">
        <f>+'B) Reajuste Tarifas y Ocupación'!A41</f>
        <v>Piscina C.R. Huayquique (Gente de Mar)</v>
      </c>
      <c r="B14" s="582">
        <f>+I133</f>
        <v>8908300</v>
      </c>
      <c r="C14" s="583">
        <f>H133</f>
        <v>0</v>
      </c>
      <c r="D14" s="584">
        <f t="shared" si="0"/>
        <v>8908300</v>
      </c>
      <c r="E14" s="582">
        <f>+'C) Costos Directos'!H372</f>
        <v>6820343.9399999995</v>
      </c>
      <c r="F14" s="582">
        <f>+'C) Costos Directos'!H387+'C) Costos Directos'!H388+'C) Costos Directos'!H413+'C) Costos Directos'!H383+'C) Costos Directos'!H389+'C) Costos Directos'!H390+'C) Costos Directos'!H391+'C) Costos Directos'!H392+'C) Costos Directos'!H393+'C) Costos Directos'!H406+'C) Costos Directos'!H407</f>
        <v>2682000</v>
      </c>
      <c r="G14" s="582">
        <f>'C) Costos Directos'!D428</f>
        <v>0</v>
      </c>
      <c r="H14" s="582">
        <f>+'C) Costos Directos'!H434+'C) Costos Directos'!H385</f>
        <v>0</v>
      </c>
      <c r="I14" s="582">
        <f>+'C) Costos Directos'!H440-E14-F14-G14-H14</f>
        <v>2580163</v>
      </c>
      <c r="J14" s="615">
        <f>SUM(E14:I14)</f>
        <v>12082506.939999999</v>
      </c>
      <c r="K14" s="615">
        <f>IFERROR(+'D) Costos Indirectos '!$AN$15*O14,0)</f>
        <v>0</v>
      </c>
      <c r="L14" s="15">
        <f t="shared" si="4"/>
        <v>12082506.939999999</v>
      </c>
      <c r="M14" s="638">
        <f t="shared" si="1"/>
        <v>-3174206.9399999995</v>
      </c>
      <c r="N14" s="644">
        <f t="shared" si="2"/>
        <v>-3174206.9399999995</v>
      </c>
      <c r="O14" s="640">
        <v>0</v>
      </c>
      <c r="P14" s="1142"/>
      <c r="Q14" s="138"/>
      <c r="R14" s="136"/>
      <c r="S14" s="136"/>
      <c r="T14" s="136"/>
    </row>
    <row r="15" spans="1:20" x14ac:dyDescent="0.35">
      <c r="A15" s="154" t="str">
        <f>+'B) Reajuste Tarifas y Ocupación'!A43</f>
        <v>Cabañas Hornitos</v>
      </c>
      <c r="B15" s="11">
        <f>+I143</f>
        <v>8281400</v>
      </c>
      <c r="C15" s="11">
        <f>+H143</f>
        <v>1670400</v>
      </c>
      <c r="D15" s="12">
        <f t="shared" si="0"/>
        <v>9951800</v>
      </c>
      <c r="E15" s="13">
        <f>+'C) Costos Directos'!H444</f>
        <v>0</v>
      </c>
      <c r="F15" s="13">
        <f>+'C) Costos Directos'!H461+'C) Costos Directos'!H485+'C) Costos Directos'!H455+'C) Costos Directos'!H459+'C) Costos Directos'!H460+'C) Costos Directos'!H462+'C) Costos Directos'!H463+'C) Costos Directos'!H464+'C) Costos Directos'!H465+'C) Costos Directos'!H478+'C) Costos Directos'!H479</f>
        <v>1290118</v>
      </c>
      <c r="G15" s="13">
        <f>+'C) Costos Directos'!D500</f>
        <v>0</v>
      </c>
      <c r="H15" s="13">
        <f>+'C) Costos Directos'!H506+'C) Costos Directos'!H457</f>
        <v>2248977</v>
      </c>
      <c r="I15" s="13">
        <f>+'C) Costos Directos'!H512-E15-F15-G15-H15</f>
        <v>1110000</v>
      </c>
      <c r="J15" s="14">
        <f t="shared" si="3"/>
        <v>4649095</v>
      </c>
      <c r="K15" s="13">
        <f>IFERROR(+'D) Costos Indirectos '!$AN$15*O15,0)</f>
        <v>2611151.6846249998</v>
      </c>
      <c r="L15" s="15">
        <f t="shared" si="4"/>
        <v>7260246.6846249998</v>
      </c>
      <c r="M15" s="638">
        <f t="shared" si="1"/>
        <v>2691553.3153750002</v>
      </c>
      <c r="N15" s="644">
        <f t="shared" si="2"/>
        <v>5302705</v>
      </c>
      <c r="O15" s="640">
        <v>0.03</v>
      </c>
      <c r="P15" s="1142"/>
      <c r="Q15" s="138"/>
      <c r="R15" s="136"/>
      <c r="S15" s="136"/>
      <c r="T15" s="136"/>
    </row>
    <row r="16" spans="1:20" x14ac:dyDescent="0.35">
      <c r="A16" s="154" t="str">
        <f>+'B) Reajuste Tarifas y Ocupación'!A46</f>
        <v>C. H. Rada Iquique</v>
      </c>
      <c r="B16" s="11">
        <f>I180</f>
        <v>48125500</v>
      </c>
      <c r="C16" s="11">
        <f>H180</f>
        <v>23505100</v>
      </c>
      <c r="D16" s="12">
        <f t="shared" si="0"/>
        <v>71630600</v>
      </c>
      <c r="E16" s="13">
        <f>+'C) Costos Directos'!H516</f>
        <v>30384991.625</v>
      </c>
      <c r="F16" s="13">
        <f>+'C) Costos Directos'!H531+'C) Costos Directos'!H532+'C) Costos Directos'!H533+'C) Costos Directos'!H534+'C) Costos Directos'!H536+'C) Costos Directos'!H557+'C) Costos Directos'!H537+'C) Costos Directos'!H527+'C) Costos Directos'!H535+'C) Costos Directos'!H550+'C) Costos Directos'!H551</f>
        <v>6627622</v>
      </c>
      <c r="G16" s="13">
        <f>+'C) Costos Directos'!D572</f>
        <v>0</v>
      </c>
      <c r="H16" s="13">
        <f>+'C) Costos Directos'!H578+'C) Costos Directos'!H529</f>
        <v>1000000</v>
      </c>
      <c r="I16" s="13">
        <f>+'C) Costos Directos'!H584-E16-F16-G16-H16</f>
        <v>15089452</v>
      </c>
      <c r="J16" s="14">
        <f t="shared" si="3"/>
        <v>53102065.625</v>
      </c>
      <c r="K16" s="13">
        <f>IFERROR(+'D) Costos Indirectos '!$AN$15*O16,0)</f>
        <v>20889213.476999998</v>
      </c>
      <c r="L16" s="15">
        <f t="shared" si="4"/>
        <v>73991279.101999998</v>
      </c>
      <c r="M16" s="638">
        <f t="shared" si="1"/>
        <v>-2360679.1019999981</v>
      </c>
      <c r="N16" s="644">
        <f t="shared" si="2"/>
        <v>18528534.375</v>
      </c>
      <c r="O16" s="750">
        <v>0.24</v>
      </c>
      <c r="P16" s="1142"/>
      <c r="Q16" s="138"/>
      <c r="R16" s="136"/>
      <c r="S16" s="136"/>
      <c r="T16" s="136"/>
    </row>
    <row r="17" spans="1:20" x14ac:dyDescent="0.35">
      <c r="A17" s="154" t="str">
        <f>+'B) Reajuste Tarifas y Ocupación'!A58</f>
        <v>C. H. Caleta Angamos</v>
      </c>
      <c r="B17" s="11">
        <f>I211</f>
        <v>42632400</v>
      </c>
      <c r="C17" s="11">
        <f>H211</f>
        <v>20169800</v>
      </c>
      <c r="D17" s="12">
        <f t="shared" si="0"/>
        <v>62802200</v>
      </c>
      <c r="E17" s="13">
        <f>+'C) Costos Directos'!H588</f>
        <v>32728381.494999997</v>
      </c>
      <c r="F17" s="13">
        <f>+'C) Costos Directos'!H603+'C) Costos Directos'!H604+'C) Costos Directos'!H606+'C) Costos Directos'!H608+'C) Costos Directos'!H609+'C) Costos Directos'!H622+'C) Costos Directos'!H629+'C) Costos Directos'!H599+'C) Costos Directos'!H607+'C) Costos Directos'!H623+'C) Costos Directos'!H599</f>
        <v>12458781</v>
      </c>
      <c r="G17" s="13">
        <f>+'C) Costos Directos'!D644</f>
        <v>0</v>
      </c>
      <c r="H17" s="13">
        <f>+'C) Costos Directos'!H650+'C) Costos Directos'!H601</f>
        <v>1004748</v>
      </c>
      <c r="I17" s="13">
        <f>+'C) Costos Directos'!H656-E17-F17-G17-H17</f>
        <v>15093229</v>
      </c>
      <c r="J17" s="14">
        <f t="shared" si="3"/>
        <v>61285139.494999997</v>
      </c>
      <c r="K17" s="13">
        <f>IFERROR(+'D) Costos Indirectos '!$AN$15*O17,0)</f>
        <v>20018829.582125001</v>
      </c>
      <c r="L17" s="15">
        <f t="shared" si="4"/>
        <v>81303969.077124998</v>
      </c>
      <c r="M17" s="638">
        <f t="shared" si="1"/>
        <v>-18501769.077124998</v>
      </c>
      <c r="N17" s="644">
        <f t="shared" si="2"/>
        <v>1517060.5050000027</v>
      </c>
      <c r="O17" s="640">
        <v>0.23</v>
      </c>
      <c r="P17" s="1142"/>
      <c r="Q17" s="138"/>
      <c r="R17" s="136"/>
      <c r="S17" s="136"/>
      <c r="T17" s="136"/>
    </row>
    <row r="18" spans="1:20" ht="15" thickBot="1" x14ac:dyDescent="0.4">
      <c r="A18" s="157" t="s">
        <v>18</v>
      </c>
      <c r="B18" s="16">
        <f t="shared" ref="B18:G18" si="5">SUM(B9:B17)</f>
        <v>241785600</v>
      </c>
      <c r="C18" s="16">
        <f t="shared" si="5"/>
        <v>54828500</v>
      </c>
      <c r="D18" s="16">
        <f t="shared" si="5"/>
        <v>296614100</v>
      </c>
      <c r="E18" s="16">
        <f t="shared" si="5"/>
        <v>171782602.97</v>
      </c>
      <c r="F18" s="16">
        <f t="shared" si="5"/>
        <v>70286604</v>
      </c>
      <c r="G18" s="16">
        <f t="shared" si="5"/>
        <v>0</v>
      </c>
      <c r="H18" s="16">
        <f t="shared" ref="H18:O18" si="6">SUM(H9:H17)</f>
        <v>8239600</v>
      </c>
      <c r="I18" s="16">
        <f t="shared" si="6"/>
        <v>50505202</v>
      </c>
      <c r="J18" s="17">
        <f t="shared" si="6"/>
        <v>300814008.96999997</v>
      </c>
      <c r="K18" s="16">
        <f t="shared" si="6"/>
        <v>87038389.487499997</v>
      </c>
      <c r="L18" s="617">
        <f t="shared" si="6"/>
        <v>387852398.45749998</v>
      </c>
      <c r="M18" s="639">
        <f>SUM(M9:M17)</f>
        <v>-91238298.457499966</v>
      </c>
      <c r="N18" s="645">
        <f>SUM(N9:N17)</f>
        <v>-4199908.9699999839</v>
      </c>
      <c r="O18" s="641">
        <f t="shared" si="6"/>
        <v>1</v>
      </c>
      <c r="P18" s="1143"/>
      <c r="Q18" s="139"/>
      <c r="R18" s="136"/>
      <c r="S18" s="136"/>
      <c r="T18" s="136"/>
    </row>
    <row r="19" spans="1:20" ht="15" thickBot="1" x14ac:dyDescent="0.4">
      <c r="A19" s="158"/>
      <c r="B19" s="158"/>
      <c r="C19" s="159"/>
      <c r="D19" s="159"/>
      <c r="E19" s="159"/>
      <c r="F19" s="159"/>
      <c r="G19" s="159"/>
      <c r="H19" s="159"/>
      <c r="I19" s="159"/>
      <c r="J19" s="159"/>
      <c r="K19" s="159"/>
      <c r="L19" s="619" t="s">
        <v>334</v>
      </c>
      <c r="M19" s="618">
        <f>M18/D18</f>
        <v>-0.30759933009759133</v>
      </c>
      <c r="N19" s="643">
        <f>N18/D18</f>
        <v>-1.4159505465181811E-2</v>
      </c>
      <c r="O19" s="139"/>
      <c r="P19" s="139"/>
      <c r="Q19" s="139"/>
      <c r="R19" s="136"/>
      <c r="S19" s="136"/>
      <c r="T19" s="136"/>
    </row>
    <row r="20" spans="1:20" ht="15" thickBot="1" x14ac:dyDescent="0.4">
      <c r="A20" s="158"/>
      <c r="B20" s="158"/>
      <c r="C20" s="158"/>
      <c r="D20" s="159"/>
      <c r="E20" s="159"/>
      <c r="F20" s="159"/>
      <c r="G20" s="159"/>
      <c r="H20" s="159"/>
      <c r="I20" s="616"/>
      <c r="J20" s="1139"/>
      <c r="K20" s="1139"/>
      <c r="L20" s="159"/>
      <c r="M20" s="2"/>
      <c r="N20" s="2"/>
      <c r="O20" s="139"/>
      <c r="P20" s="139"/>
      <c r="Q20" s="139"/>
      <c r="R20" s="136"/>
      <c r="S20" s="136"/>
      <c r="T20" s="136"/>
    </row>
    <row r="21" spans="1:20" ht="15" thickBot="1" x14ac:dyDescent="0.4">
      <c r="A21" s="158"/>
      <c r="B21" s="158"/>
      <c r="C21" s="158"/>
      <c r="D21" s="159"/>
      <c r="E21" s="159"/>
      <c r="F21" s="159"/>
      <c r="G21" s="159"/>
      <c r="H21" s="159"/>
      <c r="I21" s="159"/>
      <c r="J21" s="1140"/>
      <c r="K21" s="139"/>
      <c r="L21" s="747" t="s">
        <v>308</v>
      </c>
      <c r="M21" s="748">
        <v>10000000</v>
      </c>
      <c r="N21" s="748">
        <v>10000000</v>
      </c>
      <c r="O21" s="143"/>
      <c r="P21" s="143"/>
      <c r="Q21" s="143"/>
      <c r="R21" s="136"/>
      <c r="S21" s="136"/>
      <c r="T21" s="136"/>
    </row>
    <row r="22" spans="1:20" ht="15" thickBot="1" x14ac:dyDescent="0.4">
      <c r="A22" s="1330" t="s">
        <v>241</v>
      </c>
      <c r="B22" s="1330"/>
      <c r="C22" s="1330"/>
      <c r="D22" s="1330"/>
      <c r="E22" s="1139"/>
      <c r="F22" s="1341"/>
      <c r="G22" s="159"/>
      <c r="H22" s="159"/>
      <c r="I22" s="159"/>
      <c r="J22" s="139"/>
      <c r="K22" s="139"/>
      <c r="L22" s="744" t="s">
        <v>309</v>
      </c>
      <c r="M22" s="745">
        <f>M18+M21</f>
        <v>-81238298.457499966</v>
      </c>
      <c r="N22" s="746">
        <f>N18+N21</f>
        <v>5800091.0300000161</v>
      </c>
      <c r="O22" s="143"/>
      <c r="P22" s="143"/>
      <c r="Q22" s="143"/>
      <c r="R22" s="136"/>
      <c r="S22" s="136"/>
      <c r="T22" s="136"/>
    </row>
    <row r="23" spans="1:20" x14ac:dyDescent="0.35">
      <c r="A23" s="139"/>
      <c r="B23" s="139"/>
      <c r="C23" s="139"/>
      <c r="D23" s="139"/>
      <c r="E23" s="139"/>
      <c r="F23" s="1342"/>
      <c r="G23" s="2"/>
      <c r="H23" s="160"/>
      <c r="I23" s="160"/>
      <c r="J23" s="1131"/>
      <c r="K23" s="1131"/>
      <c r="L23" s="139"/>
      <c r="M23" s="143"/>
      <c r="N23" s="138"/>
      <c r="O23" s="138"/>
      <c r="P23" s="138"/>
      <c r="Q23" s="138"/>
      <c r="R23" s="136"/>
      <c r="S23" s="136"/>
      <c r="T23" s="136"/>
    </row>
    <row r="24" spans="1:20" ht="15.5" x14ac:dyDescent="0.35">
      <c r="A24" s="1331" t="s">
        <v>72</v>
      </c>
      <c r="B24" s="1331" t="s">
        <v>21</v>
      </c>
      <c r="C24" s="1333" t="s">
        <v>242</v>
      </c>
      <c r="D24" s="1335" t="s">
        <v>397</v>
      </c>
      <c r="E24" s="1335"/>
      <c r="F24" s="1335"/>
      <c r="G24" s="1335"/>
      <c r="H24" s="1336" t="s">
        <v>243</v>
      </c>
      <c r="I24" s="1346" t="s">
        <v>4</v>
      </c>
      <c r="J24" s="1346" t="s">
        <v>244</v>
      </c>
      <c r="K24" s="1133"/>
      <c r="L24" s="1307" t="s">
        <v>438</v>
      </c>
      <c r="M24" s="1308">
        <v>25184800</v>
      </c>
      <c r="N24" s="1309">
        <v>25184800</v>
      </c>
      <c r="O24" s="138"/>
      <c r="P24" s="138"/>
      <c r="Q24" s="138"/>
      <c r="R24" s="136"/>
      <c r="S24" s="136"/>
      <c r="T24" s="136"/>
    </row>
    <row r="25" spans="1:20" ht="15" thickBot="1" x14ac:dyDescent="0.4">
      <c r="A25" s="1332"/>
      <c r="B25" s="1332"/>
      <c r="C25" s="1334"/>
      <c r="D25" s="92" t="s">
        <v>73</v>
      </c>
      <c r="E25" s="92" t="s">
        <v>25</v>
      </c>
      <c r="F25" s="92" t="s">
        <v>26</v>
      </c>
      <c r="G25" s="92" t="s">
        <v>27</v>
      </c>
      <c r="H25" s="1337"/>
      <c r="I25" s="1337"/>
      <c r="J25" s="1337"/>
      <c r="K25" s="1134"/>
      <c r="L25" s="143"/>
      <c r="M25" s="138"/>
      <c r="N25" s="138"/>
      <c r="O25" s="138"/>
      <c r="P25" s="138"/>
      <c r="Q25" s="138"/>
      <c r="R25" s="136"/>
      <c r="S25" s="136"/>
      <c r="T25" s="136"/>
    </row>
    <row r="26" spans="1:20" x14ac:dyDescent="0.35">
      <c r="A26" s="1347" t="str">
        <f>+'B) Reajuste Tarifas y Ocupación'!A9</f>
        <v>C. R. Faro Limar</v>
      </c>
      <c r="B26" s="1351" t="str">
        <f>+'B) Reajuste Tarifas y Ocupación'!B9</f>
        <v>Cabañas</v>
      </c>
      <c r="C26" s="161" t="s">
        <v>398</v>
      </c>
      <c r="D26" s="162">
        <f>+'B) Reajuste Tarifas y Ocupación'!L9</f>
        <v>43400</v>
      </c>
      <c r="E26" s="162">
        <f>+'B) Reajuste Tarifas y Ocupación'!M9</f>
        <v>66700</v>
      </c>
      <c r="F26" s="162">
        <f>+'B) Reajuste Tarifas y Ocupación'!N9</f>
        <v>90700</v>
      </c>
      <c r="G26" s="162">
        <f>+'B) Reajuste Tarifas y Ocupación'!O9</f>
        <v>98300</v>
      </c>
      <c r="H26" s="1354"/>
      <c r="I26" s="1354"/>
      <c r="J26" s="1356"/>
      <c r="K26" s="1135"/>
      <c r="L26" s="1310" t="s">
        <v>439</v>
      </c>
      <c r="M26" s="1312">
        <f>M22+M24</f>
        <v>-56053498.457499966</v>
      </c>
      <c r="N26" s="1311">
        <f>N22+N24</f>
        <v>30984891.030000016</v>
      </c>
      <c r="O26" s="138"/>
      <c r="P26" s="138"/>
      <c r="Q26" s="138"/>
      <c r="R26" s="136"/>
      <c r="S26" s="136"/>
      <c r="T26" s="136"/>
    </row>
    <row r="27" spans="1:20" x14ac:dyDescent="0.35">
      <c r="A27" s="1348"/>
      <c r="B27" s="1352"/>
      <c r="C27" s="163" t="s">
        <v>245</v>
      </c>
      <c r="D27" s="164">
        <f>+'B) Reajuste Tarifas y Ocupación'!Y9</f>
        <v>187</v>
      </c>
      <c r="E27" s="164">
        <f>+'B) Reajuste Tarifas y Ocupación'!Z9</f>
        <v>9</v>
      </c>
      <c r="F27" s="164">
        <f>+'B) Reajuste Tarifas y Ocupación'!AA9</f>
        <v>3</v>
      </c>
      <c r="G27" s="164">
        <f>+'B) Reajuste Tarifas y Ocupación'!AB9</f>
        <v>0</v>
      </c>
      <c r="H27" s="1355"/>
      <c r="I27" s="1355"/>
      <c r="J27" s="1357"/>
      <c r="K27" s="1136"/>
      <c r="L27" s="138"/>
      <c r="M27" s="138"/>
      <c r="N27" s="138"/>
      <c r="O27" s="138"/>
      <c r="P27" s="138"/>
      <c r="Q27" s="138"/>
      <c r="R27" s="136"/>
      <c r="S27" s="136"/>
      <c r="T27" s="136"/>
    </row>
    <row r="28" spans="1:20" x14ac:dyDescent="0.35">
      <c r="A28" s="1348"/>
      <c r="B28" s="1353"/>
      <c r="C28" s="408" t="s">
        <v>246</v>
      </c>
      <c r="D28" s="409">
        <f>D27*D26</f>
        <v>8115800</v>
      </c>
      <c r="E28" s="409">
        <f>E27*E26</f>
        <v>600300</v>
      </c>
      <c r="F28" s="409">
        <f>F27*F26</f>
        <v>272100</v>
      </c>
      <c r="G28" s="409">
        <f>G27*G26</f>
        <v>0</v>
      </c>
      <c r="H28" s="410">
        <f>(E26-D26)*D27</f>
        <v>4357100</v>
      </c>
      <c r="I28" s="410">
        <f>SUM(D28:G28)</f>
        <v>8988200</v>
      </c>
      <c r="J28" s="168">
        <f>H28+I28</f>
        <v>13345300</v>
      </c>
      <c r="K28" s="1137"/>
      <c r="L28" s="138"/>
      <c r="M28" s="138"/>
      <c r="N28" s="138"/>
      <c r="O28" s="138"/>
      <c r="P28" s="138"/>
      <c r="Q28" s="138"/>
      <c r="R28" s="136"/>
      <c r="S28" s="136"/>
      <c r="T28" s="136"/>
    </row>
    <row r="29" spans="1:20" x14ac:dyDescent="0.35">
      <c r="A29" s="1349"/>
      <c r="B29" s="1358" t="str">
        <f>+'B) Reajuste Tarifas y Ocupación'!B10</f>
        <v>Late check-out o early check-in</v>
      </c>
      <c r="C29" s="1343"/>
      <c r="D29" s="1343"/>
      <c r="E29" s="1343"/>
      <c r="F29" s="1343"/>
      <c r="G29" s="1343"/>
      <c r="H29" s="1344"/>
      <c r="I29" s="1344"/>
      <c r="J29" s="1345"/>
      <c r="K29" s="1137"/>
      <c r="L29" s="138"/>
      <c r="M29" s="138"/>
      <c r="N29" s="138"/>
      <c r="O29" s="138"/>
      <c r="P29" s="138"/>
      <c r="Q29" s="138"/>
      <c r="R29" s="136"/>
      <c r="S29" s="136"/>
      <c r="T29" s="136"/>
    </row>
    <row r="30" spans="1:20" x14ac:dyDescent="0.35">
      <c r="A30" s="1349"/>
      <c r="B30" s="1358"/>
      <c r="C30" s="1343"/>
      <c r="D30" s="1343"/>
      <c r="E30" s="1343"/>
      <c r="F30" s="1343"/>
      <c r="G30" s="1343"/>
      <c r="H30" s="1344"/>
      <c r="I30" s="1344"/>
      <c r="J30" s="1345"/>
      <c r="K30" s="1137"/>
      <c r="L30" s="138"/>
      <c r="M30" s="138"/>
      <c r="N30" s="138"/>
      <c r="O30" s="138"/>
      <c r="P30" s="138"/>
      <c r="Q30" s="138"/>
      <c r="R30" s="136"/>
      <c r="S30" s="136"/>
      <c r="T30" s="136"/>
    </row>
    <row r="31" spans="1:20" ht="15" thickBot="1" x14ac:dyDescent="0.4">
      <c r="A31" s="1349"/>
      <c r="B31" s="1358"/>
      <c r="C31" s="413"/>
      <c r="D31" s="414"/>
      <c r="E31" s="414"/>
      <c r="F31" s="414"/>
      <c r="G31" s="414"/>
      <c r="H31" s="415"/>
      <c r="I31" s="415"/>
      <c r="J31" s="406"/>
      <c r="K31" s="1137"/>
      <c r="L31" s="138"/>
      <c r="M31" s="138"/>
      <c r="N31" s="138"/>
      <c r="O31" s="138"/>
      <c r="P31" s="138"/>
      <c r="Q31" s="138"/>
      <c r="R31" s="136"/>
      <c r="S31" s="136"/>
      <c r="T31" s="136"/>
    </row>
    <row r="32" spans="1:20" x14ac:dyDescent="0.35">
      <c r="A32" s="1349"/>
      <c r="B32" s="1362" t="str">
        <f>+'B) Reajuste Tarifas y Ocupación'!B11</f>
        <v>Cabaña</v>
      </c>
      <c r="C32" s="161" t="s">
        <v>398</v>
      </c>
      <c r="D32" s="1343"/>
      <c r="E32" s="417">
        <f>+'B) Reajuste Tarifas y Ocupación'!M11</f>
        <v>20100</v>
      </c>
      <c r="F32" s="417">
        <f>+'B) Reajuste Tarifas y Ocupación'!N11</f>
        <v>27300</v>
      </c>
      <c r="G32" s="417">
        <f>+'B) Reajuste Tarifas y Ocupación'!O11</f>
        <v>29500</v>
      </c>
      <c r="H32" s="1344"/>
      <c r="I32" s="1344"/>
      <c r="J32" s="1360"/>
      <c r="K32" s="1137"/>
      <c r="L32" s="138"/>
      <c r="M32" s="138"/>
      <c r="N32" s="138"/>
      <c r="O32" s="138"/>
      <c r="P32" s="138"/>
      <c r="Q32" s="138"/>
      <c r="R32" s="136"/>
      <c r="S32" s="136"/>
      <c r="T32" s="136"/>
    </row>
    <row r="33" spans="1:20" x14ac:dyDescent="0.35">
      <c r="A33" s="1349"/>
      <c r="B33" s="1362"/>
      <c r="C33" s="416" t="s">
        <v>245</v>
      </c>
      <c r="D33" s="1343"/>
      <c r="E33" s="418">
        <f>+'B) Reajuste Tarifas y Ocupación'!Z11</f>
        <v>0</v>
      </c>
      <c r="F33" s="418">
        <f>+'B) Reajuste Tarifas y Ocupación'!AA11</f>
        <v>0</v>
      </c>
      <c r="G33" s="418">
        <f>+'B) Reajuste Tarifas y Ocupación'!AB11</f>
        <v>0</v>
      </c>
      <c r="H33" s="1344"/>
      <c r="I33" s="1344"/>
      <c r="J33" s="1360"/>
      <c r="K33" s="1137"/>
      <c r="L33" s="138"/>
      <c r="M33" s="138"/>
      <c r="N33" s="138"/>
      <c r="O33" s="138"/>
      <c r="P33" s="138"/>
      <c r="Q33" s="138"/>
      <c r="R33" s="136"/>
      <c r="S33" s="136"/>
      <c r="T33" s="136"/>
    </row>
    <row r="34" spans="1:20" ht="15" thickBot="1" x14ac:dyDescent="0.4">
      <c r="A34" s="1349"/>
      <c r="B34" s="1362"/>
      <c r="C34" s="419" t="s">
        <v>246</v>
      </c>
      <c r="D34" s="414"/>
      <c r="E34" s="420">
        <f>E33*E32</f>
        <v>0</v>
      </c>
      <c r="F34" s="420">
        <f>F33*F32</f>
        <v>0</v>
      </c>
      <c r="G34" s="420">
        <f>G33*G32</f>
        <v>0</v>
      </c>
      <c r="H34" s="421">
        <f>(E32-D32)*D33</f>
        <v>0</v>
      </c>
      <c r="I34" s="421">
        <f>SUM(D34:G34)</f>
        <v>0</v>
      </c>
      <c r="J34" s="407">
        <f>H34+I34</f>
        <v>0</v>
      </c>
      <c r="K34" s="1137"/>
      <c r="L34" s="138"/>
      <c r="M34" s="138"/>
      <c r="N34" s="138"/>
      <c r="O34" s="138"/>
      <c r="P34" s="138"/>
      <c r="Q34" s="138"/>
      <c r="R34" s="136"/>
      <c r="S34" s="136"/>
      <c r="T34" s="136"/>
    </row>
    <row r="35" spans="1:20" x14ac:dyDescent="0.35">
      <c r="A35" s="1349"/>
      <c r="B35" s="1361" t="str">
        <f>+'B) Reajuste Tarifas y Ocupación'!B12</f>
        <v>Camping 5 P.</v>
      </c>
      <c r="C35" s="161" t="s">
        <v>398</v>
      </c>
      <c r="D35" s="417">
        <f>+'B) Reajuste Tarifas y Ocupación'!L12</f>
        <v>24600</v>
      </c>
      <c r="E35" s="417">
        <f>+'B) Reajuste Tarifas y Ocupación'!M12</f>
        <v>37700</v>
      </c>
      <c r="F35" s="417">
        <f>+'B) Reajuste Tarifas y Ocupación'!N12</f>
        <v>51200</v>
      </c>
      <c r="G35" s="417">
        <f>+'B) Reajuste Tarifas y Ocupación'!O12</f>
        <v>55400</v>
      </c>
      <c r="H35" s="1344"/>
      <c r="I35" s="1344"/>
      <c r="J35" s="1363"/>
      <c r="K35" s="1135"/>
      <c r="L35" s="138"/>
      <c r="M35" s="138"/>
      <c r="N35" s="138"/>
      <c r="O35" s="138"/>
      <c r="P35" s="138"/>
      <c r="Q35" s="138"/>
      <c r="R35" s="136"/>
      <c r="S35" s="136"/>
      <c r="T35" s="136"/>
    </row>
    <row r="36" spans="1:20" x14ac:dyDescent="0.35">
      <c r="A36" s="1349"/>
      <c r="B36" s="1361"/>
      <c r="C36" s="416" t="s">
        <v>245</v>
      </c>
      <c r="D36" s="418">
        <f>+'B) Reajuste Tarifas y Ocupación'!Y12</f>
        <v>50</v>
      </c>
      <c r="E36" s="418">
        <f>+'B) Reajuste Tarifas y Ocupación'!Z12</f>
        <v>11</v>
      </c>
      <c r="F36" s="418">
        <f>+'B) Reajuste Tarifas y Ocupación'!AA12</f>
        <v>6</v>
      </c>
      <c r="G36" s="418">
        <f>+'B) Reajuste Tarifas y Ocupación'!AB12</f>
        <v>5</v>
      </c>
      <c r="H36" s="1344"/>
      <c r="I36" s="1344"/>
      <c r="J36" s="1360"/>
      <c r="K36" s="1136"/>
      <c r="L36" s="138"/>
      <c r="M36" s="138"/>
      <c r="N36" s="138"/>
      <c r="O36" s="138"/>
      <c r="P36" s="138"/>
      <c r="Q36" s="138"/>
      <c r="R36" s="136"/>
      <c r="S36" s="136"/>
      <c r="T36" s="136"/>
    </row>
    <row r="37" spans="1:20" ht="15" thickBot="1" x14ac:dyDescent="0.4">
      <c r="A37" s="1349"/>
      <c r="B37" s="1361"/>
      <c r="C37" s="419" t="s">
        <v>246</v>
      </c>
      <c r="D37" s="420">
        <f>D36*D35</f>
        <v>1230000</v>
      </c>
      <c r="E37" s="420">
        <f>E36*E35</f>
        <v>414700</v>
      </c>
      <c r="F37" s="420">
        <f>F36*F35</f>
        <v>307200</v>
      </c>
      <c r="G37" s="420">
        <f>G36*G35</f>
        <v>277000</v>
      </c>
      <c r="H37" s="421">
        <f>(E35-D35)*D36</f>
        <v>655000</v>
      </c>
      <c r="I37" s="421">
        <f>SUM(D37:G37)</f>
        <v>2228900</v>
      </c>
      <c r="J37" s="407">
        <f>H37+I37</f>
        <v>2883900</v>
      </c>
      <c r="K37" s="1137"/>
      <c r="L37" s="138"/>
      <c r="M37" s="138"/>
      <c r="N37" s="138"/>
      <c r="O37" s="138"/>
      <c r="P37" s="138"/>
      <c r="Q37" s="138"/>
      <c r="R37" s="136"/>
      <c r="S37" s="136"/>
      <c r="T37" s="136"/>
    </row>
    <row r="38" spans="1:20" x14ac:dyDescent="0.35">
      <c r="A38" s="1349"/>
      <c r="B38" s="1359" t="str">
        <f>+'B) Reajuste Tarifas y Ocupación'!B13</f>
        <v>Camping  (P. adicional)</v>
      </c>
      <c r="C38" s="161" t="s">
        <v>398</v>
      </c>
      <c r="D38" s="417">
        <f>+'B) Reajuste Tarifas y Ocupación'!L13</f>
        <v>4300</v>
      </c>
      <c r="E38" s="417">
        <f>+'B) Reajuste Tarifas y Ocupación'!M13</f>
        <v>6600</v>
      </c>
      <c r="F38" s="417">
        <f>+'B) Reajuste Tarifas y Ocupación'!N13</f>
        <v>9000</v>
      </c>
      <c r="G38" s="417">
        <f>+'B) Reajuste Tarifas y Ocupación'!O13</f>
        <v>9800</v>
      </c>
      <c r="H38" s="1344"/>
      <c r="I38" s="1344"/>
      <c r="J38" s="1360"/>
      <c r="K38" s="1137"/>
      <c r="L38" s="138"/>
      <c r="M38" s="138"/>
      <c r="N38" s="138"/>
      <c r="O38" s="138"/>
      <c r="P38" s="138"/>
      <c r="Q38" s="138"/>
      <c r="R38" s="136"/>
      <c r="S38" s="136"/>
      <c r="T38" s="136"/>
    </row>
    <row r="39" spans="1:20" x14ac:dyDescent="0.35">
      <c r="A39" s="1349"/>
      <c r="B39" s="1359"/>
      <c r="C39" s="416" t="s">
        <v>245</v>
      </c>
      <c r="D39" s="418">
        <f>+'B) Reajuste Tarifas y Ocupación'!Y13</f>
        <v>0</v>
      </c>
      <c r="E39" s="418">
        <f>+'B) Reajuste Tarifas y Ocupación'!Z13</f>
        <v>0</v>
      </c>
      <c r="F39" s="418">
        <f>+'B) Reajuste Tarifas y Ocupación'!AA13</f>
        <v>0</v>
      </c>
      <c r="G39" s="418">
        <f>+'B) Reajuste Tarifas y Ocupación'!AB13</f>
        <v>0</v>
      </c>
      <c r="H39" s="1344"/>
      <c r="I39" s="1344"/>
      <c r="J39" s="1360"/>
      <c r="K39" s="1137"/>
      <c r="L39" s="138"/>
      <c r="M39" s="138"/>
      <c r="N39" s="138"/>
      <c r="O39" s="138"/>
      <c r="P39" s="138"/>
      <c r="Q39" s="138"/>
      <c r="R39" s="136"/>
      <c r="S39" s="136"/>
      <c r="T39" s="136"/>
    </row>
    <row r="40" spans="1:20" ht="15" thickBot="1" x14ac:dyDescent="0.4">
      <c r="A40" s="1349"/>
      <c r="B40" s="1359"/>
      <c r="C40" s="419" t="s">
        <v>246</v>
      </c>
      <c r="D40" s="420">
        <f>D39*D38</f>
        <v>0</v>
      </c>
      <c r="E40" s="420">
        <f>E39*E38</f>
        <v>0</v>
      </c>
      <c r="F40" s="420">
        <f>F39*F38</f>
        <v>0</v>
      </c>
      <c r="G40" s="420">
        <f>G39*G38</f>
        <v>0</v>
      </c>
      <c r="H40" s="421">
        <f>(E38-D38)*D39</f>
        <v>0</v>
      </c>
      <c r="I40" s="421">
        <f>SUM(D40:G40)</f>
        <v>0</v>
      </c>
      <c r="J40" s="407">
        <f>H40+I40</f>
        <v>0</v>
      </c>
      <c r="K40" s="1137"/>
      <c r="L40" s="138"/>
      <c r="M40" s="138"/>
      <c r="N40" s="138"/>
      <c r="O40" s="138"/>
      <c r="P40" s="138"/>
      <c r="Q40" s="138"/>
      <c r="R40" s="136"/>
      <c r="S40" s="136"/>
      <c r="T40" s="136"/>
    </row>
    <row r="41" spans="1:20" x14ac:dyDescent="0.35">
      <c r="A41" s="1349"/>
      <c r="B41" s="1361" t="str">
        <f>+'B) Reajuste Tarifas y Ocupación'!B14</f>
        <v>Quincho chico 8 P.</v>
      </c>
      <c r="C41" s="161" t="s">
        <v>398</v>
      </c>
      <c r="D41" s="417">
        <f>+'B) Reajuste Tarifas y Ocupación'!L14</f>
        <v>6200</v>
      </c>
      <c r="E41" s="417">
        <f>+'B) Reajuste Tarifas y Ocupación'!M14</f>
        <v>9400</v>
      </c>
      <c r="F41" s="417">
        <f>+'B) Reajuste Tarifas y Ocupación'!N14</f>
        <v>12600</v>
      </c>
      <c r="G41" s="417">
        <f>+'B) Reajuste Tarifas y Ocupación'!O14</f>
        <v>13600</v>
      </c>
      <c r="H41" s="1344"/>
      <c r="I41" s="1344"/>
      <c r="J41" s="1360"/>
      <c r="K41" s="1135"/>
      <c r="L41" s="138"/>
      <c r="M41" s="138"/>
      <c r="N41" s="138"/>
      <c r="O41" s="138"/>
      <c r="P41" s="138"/>
      <c r="Q41" s="138"/>
      <c r="R41" s="136"/>
      <c r="S41" s="136"/>
      <c r="T41" s="136"/>
    </row>
    <row r="42" spans="1:20" x14ac:dyDescent="0.35">
      <c r="A42" s="1349"/>
      <c r="B42" s="1361"/>
      <c r="C42" s="416" t="s">
        <v>245</v>
      </c>
      <c r="D42" s="418">
        <f>+'B) Reajuste Tarifas y Ocupación'!Y14</f>
        <v>90</v>
      </c>
      <c r="E42" s="418">
        <f>+'B) Reajuste Tarifas y Ocupación'!Z14</f>
        <v>10</v>
      </c>
      <c r="F42" s="418">
        <f>+'B) Reajuste Tarifas y Ocupación'!AA14</f>
        <v>5</v>
      </c>
      <c r="G42" s="418">
        <f>+'B) Reajuste Tarifas y Ocupación'!AB14</f>
        <v>5</v>
      </c>
      <c r="H42" s="1344"/>
      <c r="I42" s="1344"/>
      <c r="J42" s="1360"/>
      <c r="K42" s="1136"/>
      <c r="L42" s="138"/>
      <c r="M42" s="138"/>
      <c r="N42" s="138"/>
      <c r="O42" s="138"/>
      <c r="P42" s="138"/>
      <c r="Q42" s="138"/>
      <c r="R42" s="136"/>
      <c r="S42" s="136"/>
      <c r="T42" s="136"/>
    </row>
    <row r="43" spans="1:20" ht="15" thickBot="1" x14ac:dyDescent="0.4">
      <c r="A43" s="1349"/>
      <c r="B43" s="1361"/>
      <c r="C43" s="419" t="s">
        <v>246</v>
      </c>
      <c r="D43" s="420">
        <f>D42*D41</f>
        <v>558000</v>
      </c>
      <c r="E43" s="420">
        <f>E42*E41</f>
        <v>94000</v>
      </c>
      <c r="F43" s="420">
        <f>F42*F41</f>
        <v>63000</v>
      </c>
      <c r="G43" s="420">
        <f>G42*G41</f>
        <v>68000</v>
      </c>
      <c r="H43" s="421">
        <f>(E41-D41)*D42</f>
        <v>288000</v>
      </c>
      <c r="I43" s="421">
        <f>SUM(D43:G43)</f>
        <v>783000</v>
      </c>
      <c r="J43" s="407">
        <f>H43+I43</f>
        <v>1071000</v>
      </c>
      <c r="K43" s="1137"/>
      <c r="L43" s="138"/>
      <c r="M43" s="138"/>
      <c r="N43" s="138"/>
      <c r="O43" s="138"/>
      <c r="P43" s="138"/>
      <c r="Q43" s="138"/>
      <c r="R43" s="136"/>
      <c r="S43" s="136"/>
      <c r="T43" s="136"/>
    </row>
    <row r="44" spans="1:20" x14ac:dyDescent="0.35">
      <c r="A44" s="1349"/>
      <c r="B44" s="1361" t="str">
        <f>+'B) Reajuste Tarifas y Ocupación'!B15</f>
        <v>Quincho chico (P. adicional)</v>
      </c>
      <c r="C44" s="161" t="s">
        <v>398</v>
      </c>
      <c r="D44" s="417">
        <f>+'B) Reajuste Tarifas y Ocupación'!L15</f>
        <v>1200</v>
      </c>
      <c r="E44" s="417">
        <f>+'B) Reajuste Tarifas y Ocupación'!M15</f>
        <v>1700</v>
      </c>
      <c r="F44" s="417">
        <f>+'B) Reajuste Tarifas y Ocupación'!N15</f>
        <v>2300</v>
      </c>
      <c r="G44" s="417">
        <f>+'B) Reajuste Tarifas y Ocupación'!O15</f>
        <v>2600</v>
      </c>
      <c r="H44" s="1344"/>
      <c r="I44" s="1344"/>
      <c r="J44" s="1360"/>
      <c r="K44" s="1135"/>
      <c r="L44" s="138"/>
      <c r="M44" s="138"/>
      <c r="N44" s="138"/>
      <c r="O44" s="138"/>
      <c r="P44" s="138"/>
      <c r="Q44" s="138"/>
      <c r="R44" s="136"/>
      <c r="S44" s="136"/>
      <c r="T44" s="136"/>
    </row>
    <row r="45" spans="1:20" x14ac:dyDescent="0.35">
      <c r="A45" s="1349"/>
      <c r="B45" s="1361"/>
      <c r="C45" s="416" t="s">
        <v>245</v>
      </c>
      <c r="D45" s="418">
        <f>+'B) Reajuste Tarifas y Ocupación'!Y15</f>
        <v>0</v>
      </c>
      <c r="E45" s="418">
        <f>+'B) Reajuste Tarifas y Ocupación'!Z15</f>
        <v>0</v>
      </c>
      <c r="F45" s="418">
        <f>+'B) Reajuste Tarifas y Ocupación'!AA15</f>
        <v>0</v>
      </c>
      <c r="G45" s="418">
        <f>+'B) Reajuste Tarifas y Ocupación'!AB15</f>
        <v>0</v>
      </c>
      <c r="H45" s="1344"/>
      <c r="I45" s="1344"/>
      <c r="J45" s="1360"/>
      <c r="K45" s="1136"/>
      <c r="L45" s="138"/>
      <c r="M45" s="138"/>
      <c r="N45" s="138"/>
      <c r="O45" s="138"/>
      <c r="P45" s="138"/>
      <c r="Q45" s="138"/>
      <c r="R45" s="136"/>
      <c r="S45" s="136"/>
      <c r="T45" s="136"/>
    </row>
    <row r="46" spans="1:20" ht="15" thickBot="1" x14ac:dyDescent="0.4">
      <c r="A46" s="1349"/>
      <c r="B46" s="1361"/>
      <c r="C46" s="419" t="s">
        <v>246</v>
      </c>
      <c r="D46" s="420">
        <f>D45*D44</f>
        <v>0</v>
      </c>
      <c r="E46" s="420">
        <f>E45*E44</f>
        <v>0</v>
      </c>
      <c r="F46" s="420">
        <f>F45*F44</f>
        <v>0</v>
      </c>
      <c r="G46" s="420">
        <f>G45*G44</f>
        <v>0</v>
      </c>
      <c r="H46" s="421">
        <f>(E44-D44)*D45</f>
        <v>0</v>
      </c>
      <c r="I46" s="421">
        <f>SUM(D46:G46)</f>
        <v>0</v>
      </c>
      <c r="J46" s="407">
        <f>H46+I46</f>
        <v>0</v>
      </c>
      <c r="K46" s="1137"/>
      <c r="L46" s="138"/>
      <c r="M46" s="138"/>
      <c r="N46" s="138"/>
      <c r="O46" s="138"/>
      <c r="P46" s="138"/>
      <c r="Q46" s="138"/>
      <c r="R46" s="136"/>
      <c r="S46" s="136"/>
      <c r="T46" s="136"/>
    </row>
    <row r="47" spans="1:20" x14ac:dyDescent="0.35">
      <c r="A47" s="1349"/>
      <c r="B47" s="1361" t="str">
        <f>+'B) Reajuste Tarifas y Ocupación'!B16</f>
        <v>Pérgola OF 60 P. Día</v>
      </c>
      <c r="C47" s="161" t="s">
        <v>398</v>
      </c>
      <c r="D47" s="1343"/>
      <c r="E47" s="417">
        <f>+'B) Reajuste Tarifas y Ocupación'!M16</f>
        <v>72200</v>
      </c>
      <c r="F47" s="417">
        <f>+'B) Reajuste Tarifas y Ocupación'!N16</f>
        <v>98200</v>
      </c>
      <c r="G47" s="417">
        <f>+'B) Reajuste Tarifas y Ocupación'!O16</f>
        <v>106300</v>
      </c>
      <c r="H47" s="1344"/>
      <c r="I47" s="1344"/>
      <c r="J47" s="1360"/>
      <c r="K47" s="1135"/>
      <c r="L47" s="138"/>
      <c r="M47" s="138"/>
      <c r="N47" s="138"/>
      <c r="O47" s="138"/>
      <c r="P47" s="138"/>
      <c r="Q47" s="138"/>
      <c r="R47" s="136"/>
      <c r="S47" s="136"/>
      <c r="T47" s="136"/>
    </row>
    <row r="48" spans="1:20" x14ac:dyDescent="0.35">
      <c r="A48" s="1349"/>
      <c r="B48" s="1361"/>
      <c r="C48" s="416" t="s">
        <v>245</v>
      </c>
      <c r="D48" s="1343"/>
      <c r="E48" s="418">
        <f>+'B) Reajuste Tarifas y Ocupación'!Z16</f>
        <v>14</v>
      </c>
      <c r="F48" s="418">
        <f>+'B) Reajuste Tarifas y Ocupación'!AA16</f>
        <v>7</v>
      </c>
      <c r="G48" s="418">
        <f>+'B) Reajuste Tarifas y Ocupación'!AB16</f>
        <v>4</v>
      </c>
      <c r="H48" s="1344"/>
      <c r="I48" s="1344"/>
      <c r="J48" s="1360"/>
      <c r="K48" s="1136"/>
      <c r="L48" s="138"/>
      <c r="M48" s="138"/>
      <c r="N48" s="138"/>
      <c r="O48" s="138"/>
      <c r="P48" s="138"/>
      <c r="Q48" s="138"/>
      <c r="R48" s="136"/>
      <c r="S48" s="136"/>
      <c r="T48" s="136"/>
    </row>
    <row r="49" spans="1:20" ht="15" thickBot="1" x14ac:dyDescent="0.4">
      <c r="A49" s="1349"/>
      <c r="B49" s="1361"/>
      <c r="C49" s="419" t="s">
        <v>246</v>
      </c>
      <c r="D49" s="414"/>
      <c r="E49" s="420">
        <f>E48*E47</f>
        <v>1010800</v>
      </c>
      <c r="F49" s="420">
        <f>F48*F47</f>
        <v>687400</v>
      </c>
      <c r="G49" s="420">
        <f>G48*G47</f>
        <v>425200</v>
      </c>
      <c r="H49" s="421">
        <f>(E47-D47)*D48</f>
        <v>0</v>
      </c>
      <c r="I49" s="421">
        <f>SUM(D49:G49)</f>
        <v>2123400</v>
      </c>
      <c r="J49" s="407">
        <f>H49+I49</f>
        <v>2123400</v>
      </c>
      <c r="K49" s="1137"/>
      <c r="L49" s="138"/>
      <c r="M49" s="138"/>
      <c r="N49" s="138"/>
      <c r="O49" s="138"/>
      <c r="P49" s="138"/>
      <c r="Q49" s="138"/>
      <c r="R49" s="136"/>
      <c r="S49" s="136"/>
      <c r="T49" s="136"/>
    </row>
    <row r="50" spans="1:20" x14ac:dyDescent="0.35">
      <c r="A50" s="1348"/>
      <c r="B50" s="1353" t="str">
        <f>+'B) Reajuste Tarifas y Ocupación'!B17</f>
        <v>Pérgola OF 60 P. Noche</v>
      </c>
      <c r="C50" s="161" t="s">
        <v>398</v>
      </c>
      <c r="D50" s="1365"/>
      <c r="E50" s="412">
        <f>+'B) Reajuste Tarifas y Ocupación'!M17</f>
        <v>138200</v>
      </c>
      <c r="F50" s="412">
        <f>+'B) Reajuste Tarifas y Ocupación'!N17</f>
        <v>187900</v>
      </c>
      <c r="G50" s="412">
        <f>+'B) Reajuste Tarifas y Ocupación'!O17</f>
        <v>203600</v>
      </c>
      <c r="H50" s="1367"/>
      <c r="I50" s="1367"/>
      <c r="J50" s="1369"/>
      <c r="K50" s="1135"/>
      <c r="L50" s="138"/>
      <c r="M50" s="138"/>
      <c r="N50" s="138"/>
      <c r="O50" s="138"/>
      <c r="P50" s="138"/>
      <c r="Q50" s="138"/>
      <c r="R50" s="136"/>
      <c r="S50" s="136"/>
      <c r="T50" s="136"/>
    </row>
    <row r="51" spans="1:20" x14ac:dyDescent="0.35">
      <c r="A51" s="1348"/>
      <c r="B51" s="1352"/>
      <c r="C51" s="163" t="s">
        <v>245</v>
      </c>
      <c r="D51" s="1366"/>
      <c r="E51" s="164">
        <f>+'B) Reajuste Tarifas y Ocupación'!Z17</f>
        <v>10</v>
      </c>
      <c r="F51" s="164">
        <f>+'B) Reajuste Tarifas y Ocupación'!AA17</f>
        <v>5</v>
      </c>
      <c r="G51" s="164">
        <f>+'B) Reajuste Tarifas y Ocupación'!AB17</f>
        <v>4</v>
      </c>
      <c r="H51" s="1368"/>
      <c r="I51" s="1368"/>
      <c r="J51" s="1369"/>
      <c r="K51" s="1136"/>
      <c r="L51" s="138"/>
      <c r="M51" s="138"/>
      <c r="N51" s="138"/>
      <c r="O51" s="138"/>
      <c r="P51" s="138"/>
      <c r="Q51" s="138"/>
      <c r="R51" s="136"/>
      <c r="S51" s="136"/>
      <c r="T51" s="136"/>
    </row>
    <row r="52" spans="1:20" x14ac:dyDescent="0.35">
      <c r="A52" s="1348"/>
      <c r="B52" s="1364"/>
      <c r="C52" s="165" t="s">
        <v>246</v>
      </c>
      <c r="D52" s="170"/>
      <c r="E52" s="166">
        <f>E51*E50</f>
        <v>1382000</v>
      </c>
      <c r="F52" s="166">
        <f>F51*F50</f>
        <v>939500</v>
      </c>
      <c r="G52" s="166">
        <f>G51*G50</f>
        <v>814400</v>
      </c>
      <c r="H52" s="167">
        <f>(E50-D50)*D51</f>
        <v>0</v>
      </c>
      <c r="I52" s="167">
        <f>SUM(D52:G52)</f>
        <v>3135900</v>
      </c>
      <c r="J52" s="168">
        <f>H52+I52</f>
        <v>3135900</v>
      </c>
      <c r="K52" s="1137"/>
      <c r="L52" s="138"/>
      <c r="M52" s="138"/>
      <c r="N52" s="138"/>
      <c r="O52" s="138"/>
      <c r="P52" s="138"/>
      <c r="Q52" s="138"/>
      <c r="R52" s="136"/>
      <c r="S52" s="136"/>
      <c r="T52" s="136"/>
    </row>
    <row r="53" spans="1:20" ht="15" thickBot="1" x14ac:dyDescent="0.4">
      <c r="A53" s="1350"/>
      <c r="B53" s="1370" t="s">
        <v>247</v>
      </c>
      <c r="C53" s="1371"/>
      <c r="D53" s="426">
        <f t="shared" ref="D53:J53" si="7">D28+D31+D34+D37+D40+D43+D46+D49+D52</f>
        <v>9903800</v>
      </c>
      <c r="E53" s="426">
        <f t="shared" si="7"/>
        <v>3501800</v>
      </c>
      <c r="F53" s="176">
        <f t="shared" si="7"/>
        <v>2269200</v>
      </c>
      <c r="G53" s="176">
        <f t="shared" si="7"/>
        <v>1584600</v>
      </c>
      <c r="H53" s="176">
        <f t="shared" si="7"/>
        <v>5300100</v>
      </c>
      <c r="I53" s="176">
        <f t="shared" si="7"/>
        <v>17259400</v>
      </c>
      <c r="J53" s="176">
        <f t="shared" si="7"/>
        <v>22559500</v>
      </c>
      <c r="K53" s="1138"/>
      <c r="L53" s="138"/>
      <c r="M53" s="138"/>
      <c r="N53" s="138"/>
      <c r="O53" s="138"/>
      <c r="P53" s="138"/>
      <c r="Q53" s="138"/>
      <c r="R53" s="136"/>
      <c r="S53" s="136"/>
      <c r="T53" s="136"/>
    </row>
    <row r="54" spans="1:20" x14ac:dyDescent="0.35">
      <c r="A54" s="1347" t="str">
        <f>+'B) Reajuste Tarifas y Ocupación'!A18</f>
        <v>Piscina C.R. Faro Limar</v>
      </c>
      <c r="B54" s="1380" t="str">
        <f>+'B) Reajuste Tarifas y Ocupación'!B18</f>
        <v>Piscina adultos</v>
      </c>
      <c r="C54" s="161" t="s">
        <v>398</v>
      </c>
      <c r="D54" s="1343"/>
      <c r="E54" s="417">
        <f>+'B) Reajuste Tarifas y Ocupación'!M18</f>
        <v>6500</v>
      </c>
      <c r="F54" s="422">
        <f>+'B) Reajuste Tarifas y Ocupación'!N18</f>
        <v>8900</v>
      </c>
      <c r="G54" s="177">
        <f>+'B) Reajuste Tarifas y Ocupación'!O18</f>
        <v>9700</v>
      </c>
      <c r="H54" s="1354"/>
      <c r="I54" s="1354"/>
      <c r="J54" s="1356"/>
      <c r="K54" s="1138"/>
      <c r="L54" s="138"/>
      <c r="M54" s="138"/>
      <c r="N54" s="138"/>
      <c r="O54" s="138"/>
      <c r="P54" s="138"/>
      <c r="Q54" s="138"/>
      <c r="R54" s="136"/>
      <c r="S54" s="136"/>
      <c r="T54" s="136"/>
    </row>
    <row r="55" spans="1:20" x14ac:dyDescent="0.35">
      <c r="A55" s="1348"/>
      <c r="B55" s="1381"/>
      <c r="C55" s="416" t="s">
        <v>245</v>
      </c>
      <c r="D55" s="1343"/>
      <c r="E55" s="418">
        <f>+'B) Reajuste Tarifas y Ocupación'!Z18</f>
        <v>234</v>
      </c>
      <c r="F55" s="423">
        <f>+'B) Reajuste Tarifas y Ocupación'!AA18</f>
        <v>92</v>
      </c>
      <c r="G55" s="174">
        <f>+'B) Reajuste Tarifas y Ocupación'!AB18</f>
        <v>33</v>
      </c>
      <c r="H55" s="1368"/>
      <c r="I55" s="1368"/>
      <c r="J55" s="1369"/>
      <c r="K55" s="1138"/>
      <c r="L55" s="138"/>
      <c r="M55" s="138"/>
      <c r="N55" s="138"/>
      <c r="O55" s="138"/>
      <c r="P55" s="138"/>
      <c r="Q55" s="138"/>
      <c r="R55" s="136"/>
      <c r="S55" s="136"/>
      <c r="T55" s="136"/>
    </row>
    <row r="56" spans="1:20" ht="15" thickBot="1" x14ac:dyDescent="0.4">
      <c r="A56" s="1348"/>
      <c r="B56" s="1382"/>
      <c r="C56" s="419" t="s">
        <v>246</v>
      </c>
      <c r="D56" s="414"/>
      <c r="E56" s="420">
        <f>E55*E54</f>
        <v>1521000</v>
      </c>
      <c r="F56" s="420">
        <f>F55*F54</f>
        <v>818800</v>
      </c>
      <c r="G56" s="420">
        <f>G55*G54</f>
        <v>320100</v>
      </c>
      <c r="H56" s="167">
        <f>(E54-D54)*D55</f>
        <v>0</v>
      </c>
      <c r="I56" s="167">
        <f>SUM(D56:G56)</f>
        <v>2659900</v>
      </c>
      <c r="J56" s="168">
        <f>H56+I56</f>
        <v>2659900</v>
      </c>
      <c r="K56" s="1138"/>
      <c r="L56" s="138"/>
      <c r="M56" s="138"/>
      <c r="N56" s="138"/>
      <c r="O56" s="138"/>
      <c r="P56" s="138"/>
      <c r="Q56" s="138"/>
      <c r="R56" s="136"/>
      <c r="S56" s="136"/>
      <c r="T56" s="136"/>
    </row>
    <row r="57" spans="1:20" x14ac:dyDescent="0.35">
      <c r="A57" s="1348"/>
      <c r="B57" s="1383" t="str">
        <f>+'B) Reajuste Tarifas y Ocupación'!B19</f>
        <v>Piscina niños</v>
      </c>
      <c r="C57" s="161" t="s">
        <v>398</v>
      </c>
      <c r="D57" s="1343"/>
      <c r="E57" s="417">
        <f>+'B) Reajuste Tarifas y Ocupación'!M19</f>
        <v>5100</v>
      </c>
      <c r="F57" s="425">
        <f>+'B) Reajuste Tarifas y Ocupación'!N19</f>
        <v>6800</v>
      </c>
      <c r="G57" s="173">
        <f>+'B) Reajuste Tarifas y Ocupación'!O19</f>
        <v>7400</v>
      </c>
      <c r="H57" s="1368"/>
      <c r="I57" s="1368"/>
      <c r="J57" s="1369"/>
      <c r="K57" s="1138"/>
      <c r="L57" s="138"/>
      <c r="M57" s="138"/>
      <c r="N57" s="138"/>
      <c r="O57" s="138"/>
      <c r="P57" s="138"/>
      <c r="Q57" s="138"/>
      <c r="R57" s="136"/>
      <c r="S57" s="136"/>
      <c r="T57" s="136"/>
    </row>
    <row r="58" spans="1:20" x14ac:dyDescent="0.35">
      <c r="A58" s="1348"/>
      <c r="B58" s="1381"/>
      <c r="C58" s="416" t="s">
        <v>245</v>
      </c>
      <c r="D58" s="1343"/>
      <c r="E58" s="418">
        <f>+'B) Reajuste Tarifas y Ocupación'!Z19</f>
        <v>252</v>
      </c>
      <c r="F58" s="423">
        <f>+'B) Reajuste Tarifas y Ocupación'!AA19</f>
        <v>104</v>
      </c>
      <c r="G58" s="174">
        <f>+'B) Reajuste Tarifas y Ocupación'!AB19</f>
        <v>39</v>
      </c>
      <c r="H58" s="1368"/>
      <c r="I58" s="1368"/>
      <c r="J58" s="1369"/>
      <c r="K58" s="1138"/>
      <c r="L58" s="138"/>
      <c r="M58" s="138"/>
      <c r="N58" s="138"/>
      <c r="O58" s="138"/>
      <c r="P58" s="138"/>
      <c r="Q58" s="138"/>
      <c r="R58" s="136"/>
      <c r="S58" s="136"/>
      <c r="T58" s="136"/>
    </row>
    <row r="59" spans="1:20" x14ac:dyDescent="0.35">
      <c r="A59" s="1348"/>
      <c r="B59" s="1364"/>
      <c r="C59" s="427" t="s">
        <v>246</v>
      </c>
      <c r="D59" s="428"/>
      <c r="E59" s="429">
        <f>E58*E57</f>
        <v>1285200</v>
      </c>
      <c r="F59" s="429">
        <f>F58*F57</f>
        <v>707200</v>
      </c>
      <c r="G59" s="429">
        <f>G58*G57</f>
        <v>288600</v>
      </c>
      <c r="H59" s="167">
        <f>(E57-D57)*D58</f>
        <v>0</v>
      </c>
      <c r="I59" s="167">
        <f>SUM(D59:G59)</f>
        <v>2281000</v>
      </c>
      <c r="J59" s="168">
        <f>H59+I59</f>
        <v>2281000</v>
      </c>
      <c r="K59" s="1138"/>
      <c r="L59" s="138"/>
      <c r="M59" s="138"/>
      <c r="N59" s="138"/>
      <c r="O59" s="138"/>
      <c r="P59" s="138"/>
      <c r="Q59" s="138"/>
      <c r="R59" s="136"/>
      <c r="S59" s="136"/>
      <c r="T59" s="136"/>
    </row>
    <row r="60" spans="1:20" ht="15" thickBot="1" x14ac:dyDescent="0.4">
      <c r="A60" s="1350"/>
      <c r="B60" s="1370" t="s">
        <v>247</v>
      </c>
      <c r="C60" s="1372"/>
      <c r="D60" s="176">
        <f t="shared" ref="D60:J60" si="8">+D56+D59</f>
        <v>0</v>
      </c>
      <c r="E60" s="176">
        <f t="shared" si="8"/>
        <v>2806200</v>
      </c>
      <c r="F60" s="176">
        <f t="shared" si="8"/>
        <v>1526000</v>
      </c>
      <c r="G60" s="176">
        <f t="shared" si="8"/>
        <v>608700</v>
      </c>
      <c r="H60" s="176">
        <f t="shared" si="8"/>
        <v>0</v>
      </c>
      <c r="I60" s="176">
        <f t="shared" si="8"/>
        <v>4940900</v>
      </c>
      <c r="J60" s="176">
        <f t="shared" si="8"/>
        <v>4940900</v>
      </c>
      <c r="K60" s="1138"/>
      <c r="L60" s="138"/>
      <c r="M60" s="138"/>
      <c r="N60" s="138"/>
      <c r="O60" s="138"/>
      <c r="P60" s="138"/>
      <c r="Q60" s="138"/>
      <c r="R60" s="136"/>
      <c r="S60" s="136"/>
      <c r="T60" s="136"/>
    </row>
    <row r="61" spans="1:20" x14ac:dyDescent="0.35">
      <c r="A61" s="1347" t="str">
        <f>+'B) Reajuste Tarifas y Ocupación'!A20</f>
        <v>Cabañas Mamiña</v>
      </c>
      <c r="B61" s="1373" t="str">
        <f>+'B) Reajuste Tarifas y Ocupación'!B20</f>
        <v>Cabaña Mamiña</v>
      </c>
      <c r="C61" s="161" t="s">
        <v>398</v>
      </c>
      <c r="D61" s="177">
        <f>+'B) Reajuste Tarifas y Ocupación'!L20</f>
        <v>36100</v>
      </c>
      <c r="E61" s="177">
        <f>+'B) Reajuste Tarifas y Ocupación'!M20</f>
        <v>55500</v>
      </c>
      <c r="F61" s="177">
        <f>+'B) Reajuste Tarifas y Ocupación'!N20</f>
        <v>75500</v>
      </c>
      <c r="G61" s="177">
        <f>+'B) Reajuste Tarifas y Ocupación'!O20</f>
        <v>81800</v>
      </c>
      <c r="H61" s="1354"/>
      <c r="I61" s="1354"/>
      <c r="J61" s="1356"/>
      <c r="K61" s="138"/>
      <c r="L61" s="138"/>
      <c r="M61" s="138"/>
      <c r="N61" s="138"/>
      <c r="O61" s="138"/>
      <c r="P61" s="138"/>
      <c r="Q61" s="138"/>
      <c r="R61" s="136"/>
      <c r="S61" s="136"/>
      <c r="T61" s="136"/>
    </row>
    <row r="62" spans="1:20" x14ac:dyDescent="0.35">
      <c r="A62" s="1348"/>
      <c r="B62" s="1374"/>
      <c r="C62" s="163" t="s">
        <v>245</v>
      </c>
      <c r="D62" s="164">
        <f>+'B) Reajuste Tarifas y Ocupación'!Y20</f>
        <v>51</v>
      </c>
      <c r="E62" s="164">
        <f>+'B) Reajuste Tarifas y Ocupación'!Z20</f>
        <v>0</v>
      </c>
      <c r="F62" s="164">
        <f>+'B) Reajuste Tarifas y Ocupación'!AA20</f>
        <v>0</v>
      </c>
      <c r="G62" s="164">
        <f>+'B) Reajuste Tarifas y Ocupación'!AB20</f>
        <v>0</v>
      </c>
      <c r="H62" s="1355"/>
      <c r="I62" s="1355"/>
      <c r="J62" s="1357"/>
      <c r="K62" s="138"/>
      <c r="L62" s="138"/>
      <c r="M62" s="138"/>
      <c r="N62" s="138"/>
      <c r="O62" s="138"/>
      <c r="P62" s="138"/>
      <c r="Q62" s="138"/>
      <c r="R62" s="136"/>
      <c r="S62" s="136"/>
      <c r="T62" s="136"/>
    </row>
    <row r="63" spans="1:20" x14ac:dyDescent="0.35">
      <c r="A63" s="1348"/>
      <c r="B63" s="1375"/>
      <c r="C63" s="165" t="s">
        <v>246</v>
      </c>
      <c r="D63" s="166">
        <f>D62*D61</f>
        <v>1841100</v>
      </c>
      <c r="E63" s="166">
        <f>E62*E61</f>
        <v>0</v>
      </c>
      <c r="F63" s="166">
        <f>F62*F61</f>
        <v>0</v>
      </c>
      <c r="G63" s="166">
        <f>G62*G61</f>
        <v>0</v>
      </c>
      <c r="H63" s="167">
        <f>(E61-D61)*D62</f>
        <v>989400</v>
      </c>
      <c r="I63" s="167">
        <f>SUM(D63:G63)</f>
        <v>1841100</v>
      </c>
      <c r="J63" s="168">
        <f>H63+I63</f>
        <v>2830500</v>
      </c>
      <c r="K63" s="138"/>
      <c r="L63" s="138"/>
      <c r="M63" s="138"/>
      <c r="N63" s="138"/>
      <c r="O63" s="138"/>
      <c r="P63" s="138"/>
      <c r="Q63" s="138"/>
      <c r="R63" s="136"/>
      <c r="S63" s="136"/>
      <c r="T63" s="136"/>
    </row>
    <row r="64" spans="1:20" x14ac:dyDescent="0.35">
      <c r="A64" s="1348"/>
      <c r="B64" s="1376" t="str">
        <f>+'B) Reajuste Tarifas y Ocupación'!B21</f>
        <v>Early check-in/Late check-out</v>
      </c>
      <c r="C64" s="1379"/>
      <c r="D64" s="1379"/>
      <c r="E64" s="1379"/>
      <c r="F64" s="1379"/>
      <c r="G64" s="1379"/>
      <c r="H64" s="1368"/>
      <c r="I64" s="1368"/>
      <c r="J64" s="1387"/>
      <c r="K64" s="138"/>
      <c r="L64" s="138"/>
      <c r="M64" s="138"/>
      <c r="N64" s="138"/>
      <c r="O64" s="138"/>
      <c r="P64" s="138"/>
      <c r="Q64" s="138"/>
      <c r="R64" s="136"/>
      <c r="S64" s="136"/>
      <c r="T64" s="136"/>
    </row>
    <row r="65" spans="1:20" x14ac:dyDescent="0.35">
      <c r="A65" s="1348"/>
      <c r="B65" s="1377"/>
      <c r="C65" s="1366"/>
      <c r="D65" s="1366"/>
      <c r="E65" s="1366"/>
      <c r="F65" s="1366"/>
      <c r="G65" s="1366"/>
      <c r="H65" s="1368"/>
      <c r="I65" s="1368"/>
      <c r="J65" s="1387"/>
      <c r="K65" s="138"/>
      <c r="L65" s="138"/>
      <c r="M65" s="138"/>
      <c r="N65" s="138"/>
      <c r="O65" s="138"/>
      <c r="P65" s="138"/>
      <c r="Q65" s="138"/>
      <c r="R65" s="136"/>
      <c r="S65" s="136"/>
      <c r="T65" s="136"/>
    </row>
    <row r="66" spans="1:20" ht="15" thickBot="1" x14ac:dyDescent="0.4">
      <c r="A66" s="1348"/>
      <c r="B66" s="1378"/>
      <c r="C66" s="432"/>
      <c r="D66" s="433"/>
      <c r="E66" s="433"/>
      <c r="F66" s="170"/>
      <c r="G66" s="170"/>
      <c r="H66" s="171"/>
      <c r="I66" s="171"/>
      <c r="J66" s="172"/>
      <c r="K66" s="138"/>
      <c r="L66" s="138"/>
      <c r="M66" s="138"/>
      <c r="N66" s="138"/>
      <c r="O66" s="138"/>
      <c r="P66" s="138"/>
      <c r="Q66" s="138"/>
      <c r="R66" s="136"/>
      <c r="S66" s="136"/>
      <c r="T66" s="136"/>
    </row>
    <row r="67" spans="1:20" x14ac:dyDescent="0.35">
      <c r="A67" s="1348"/>
      <c r="B67" s="1384" t="str">
        <f>+'B) Reajuste Tarifas y Ocupación'!B22</f>
        <v>Cabaña</v>
      </c>
      <c r="C67" s="161" t="s">
        <v>398</v>
      </c>
      <c r="D67" s="1343"/>
      <c r="E67" s="417">
        <f>+'B) Reajuste Tarifas y Ocupación'!M22</f>
        <v>16700</v>
      </c>
      <c r="F67" s="430">
        <f>+'B) Reajuste Tarifas y Ocupación'!N22</f>
        <v>22700</v>
      </c>
      <c r="G67" s="175">
        <f>+'B) Reajuste Tarifas y Ocupación'!O22</f>
        <v>24600</v>
      </c>
      <c r="H67" s="1368"/>
      <c r="I67" s="1368"/>
      <c r="J67" s="1369"/>
      <c r="K67" s="138"/>
      <c r="L67" s="138"/>
      <c r="M67" s="138"/>
      <c r="N67" s="138"/>
      <c r="O67" s="138"/>
      <c r="P67" s="138"/>
      <c r="Q67" s="138"/>
      <c r="R67" s="136"/>
      <c r="S67" s="136"/>
      <c r="T67" s="136"/>
    </row>
    <row r="68" spans="1:20" x14ac:dyDescent="0.35">
      <c r="A68" s="1348"/>
      <c r="B68" s="1385"/>
      <c r="C68" s="416" t="s">
        <v>245</v>
      </c>
      <c r="D68" s="1343"/>
      <c r="E68" s="418">
        <f>+'B) Reajuste Tarifas y Ocupación'!Z22</f>
        <v>0</v>
      </c>
      <c r="F68" s="431">
        <f>+'B) Reajuste Tarifas y Ocupación'!AA22</f>
        <v>0</v>
      </c>
      <c r="G68" s="164">
        <f>+'B) Reajuste Tarifas y Ocupación'!AB22</f>
        <v>0</v>
      </c>
      <c r="H68" s="1368"/>
      <c r="I68" s="1368"/>
      <c r="J68" s="1369"/>
      <c r="K68" s="138"/>
      <c r="L68" s="138"/>
      <c r="M68" s="138"/>
      <c r="N68" s="138"/>
      <c r="O68" s="138"/>
      <c r="P68" s="138"/>
      <c r="Q68" s="138"/>
      <c r="R68" s="136"/>
      <c r="S68" s="136"/>
      <c r="T68" s="136"/>
    </row>
    <row r="69" spans="1:20" x14ac:dyDescent="0.35">
      <c r="A69" s="1348"/>
      <c r="B69" s="1386"/>
      <c r="C69" s="427" t="s">
        <v>246</v>
      </c>
      <c r="D69" s="428"/>
      <c r="E69" s="429">
        <f>E68*E67</f>
        <v>0</v>
      </c>
      <c r="F69" s="429">
        <f>F68*F67</f>
        <v>0</v>
      </c>
      <c r="G69" s="429">
        <f>G68*G67</f>
        <v>0</v>
      </c>
      <c r="H69" s="167">
        <f>(E67-D67)*D68</f>
        <v>0</v>
      </c>
      <c r="I69" s="167">
        <f>SUM(D69:G69)</f>
        <v>0</v>
      </c>
      <c r="J69" s="168">
        <f>H69+I69</f>
        <v>0</v>
      </c>
      <c r="K69" s="138"/>
      <c r="L69" s="138"/>
      <c r="M69" s="138"/>
      <c r="N69" s="138"/>
      <c r="O69" s="138"/>
      <c r="P69" s="138"/>
      <c r="Q69" s="138"/>
      <c r="R69" s="136"/>
      <c r="S69" s="136"/>
      <c r="T69" s="136"/>
    </row>
    <row r="70" spans="1:20" ht="15" thickBot="1" x14ac:dyDescent="0.4">
      <c r="A70" s="1350"/>
      <c r="B70" s="1370" t="s">
        <v>247</v>
      </c>
      <c r="C70" s="1372"/>
      <c r="D70" s="176">
        <f t="shared" ref="D70:J70" si="9">+D63+D66+D69</f>
        <v>1841100</v>
      </c>
      <c r="E70" s="176">
        <f t="shared" si="9"/>
        <v>0</v>
      </c>
      <c r="F70" s="176">
        <f t="shared" si="9"/>
        <v>0</v>
      </c>
      <c r="G70" s="176">
        <f t="shared" si="9"/>
        <v>0</v>
      </c>
      <c r="H70" s="176">
        <f t="shared" si="9"/>
        <v>989400</v>
      </c>
      <c r="I70" s="176">
        <f t="shared" si="9"/>
        <v>1841100</v>
      </c>
      <c r="J70" s="176">
        <f t="shared" si="9"/>
        <v>2830500</v>
      </c>
      <c r="K70" s="138"/>
      <c r="L70" s="138"/>
      <c r="M70" s="138"/>
      <c r="N70" s="138"/>
      <c r="O70" s="138"/>
      <c r="P70" s="138"/>
      <c r="Q70" s="138"/>
      <c r="R70" s="136"/>
      <c r="S70" s="136"/>
      <c r="T70" s="136"/>
    </row>
    <row r="71" spans="1:20" x14ac:dyDescent="0.35">
      <c r="A71" s="1347" t="str">
        <f>+'B) Reajuste Tarifas y Ocupación'!A23</f>
        <v>C.R. Huayquique</v>
      </c>
      <c r="B71" s="1373" t="str">
        <f>+'B) Reajuste Tarifas y Ocupación'!B23</f>
        <v>Camping 5 P.</v>
      </c>
      <c r="C71" s="161" t="s">
        <v>398</v>
      </c>
      <c r="D71" s="434">
        <f>+'B) Reajuste Tarifas y Ocupación'!L23</f>
        <v>23200</v>
      </c>
      <c r="E71" s="177">
        <f>+'B) Reajuste Tarifas y Ocupación'!M23</f>
        <v>35600</v>
      </c>
      <c r="F71" s="177">
        <f>+'B) Reajuste Tarifas y Ocupación'!N23</f>
        <v>48300</v>
      </c>
      <c r="G71" s="177">
        <f>+'B) Reajuste Tarifas y Ocupación'!O23</f>
        <v>52300</v>
      </c>
      <c r="H71" s="1354"/>
      <c r="I71" s="1354"/>
      <c r="J71" s="1356"/>
      <c r="K71" s="138"/>
      <c r="L71" s="138"/>
      <c r="M71" s="138"/>
      <c r="N71" s="138"/>
      <c r="O71" s="138"/>
      <c r="P71" s="138"/>
      <c r="Q71" s="138"/>
      <c r="R71" s="136"/>
      <c r="S71" s="136"/>
      <c r="T71" s="136"/>
    </row>
    <row r="72" spans="1:20" x14ac:dyDescent="0.35">
      <c r="A72" s="1348"/>
      <c r="B72" s="1389"/>
      <c r="C72" s="416" t="s">
        <v>245</v>
      </c>
      <c r="D72" s="418">
        <f>+'B) Reajuste Tarifas y Ocupación'!Y23</f>
        <v>43</v>
      </c>
      <c r="E72" s="431">
        <f>+'B) Reajuste Tarifas y Ocupación'!Z23</f>
        <v>86</v>
      </c>
      <c r="F72" s="164">
        <f>+'B) Reajuste Tarifas y Ocupación'!AA23</f>
        <v>3</v>
      </c>
      <c r="G72" s="164">
        <f>+'B) Reajuste Tarifas y Ocupación'!AB23</f>
        <v>16</v>
      </c>
      <c r="H72" s="1355"/>
      <c r="I72" s="1355"/>
      <c r="J72" s="1357"/>
      <c r="K72" s="138"/>
      <c r="L72" s="138"/>
      <c r="M72" s="138"/>
      <c r="N72" s="138"/>
      <c r="O72" s="138"/>
      <c r="P72" s="138"/>
      <c r="Q72" s="138"/>
      <c r="R72" s="136"/>
      <c r="S72" s="136"/>
      <c r="T72" s="136"/>
    </row>
    <row r="73" spans="1:20" ht="15" thickBot="1" x14ac:dyDescent="0.4">
      <c r="A73" s="1348"/>
      <c r="B73" s="1390"/>
      <c r="C73" s="419" t="s">
        <v>246</v>
      </c>
      <c r="D73" s="420">
        <f>D72*D71</f>
        <v>997600</v>
      </c>
      <c r="E73" s="424">
        <f>E72*E71</f>
        <v>3061600</v>
      </c>
      <c r="F73" s="424">
        <f>F72*F71</f>
        <v>144900</v>
      </c>
      <c r="G73" s="424">
        <f>G72*G71</f>
        <v>836800</v>
      </c>
      <c r="H73" s="167">
        <f>(E71-D71)*D72</f>
        <v>533200</v>
      </c>
      <c r="I73" s="167">
        <f>SUM(D73:G73)</f>
        <v>5040900</v>
      </c>
      <c r="J73" s="168">
        <f>H73+I73</f>
        <v>5574100</v>
      </c>
      <c r="K73" s="138"/>
      <c r="L73" s="138"/>
      <c r="M73" s="138"/>
      <c r="N73" s="138"/>
      <c r="O73" s="138"/>
      <c r="P73" s="138"/>
      <c r="Q73" s="138"/>
      <c r="R73" s="136"/>
      <c r="S73" s="136"/>
      <c r="T73" s="136"/>
    </row>
    <row r="74" spans="1:20" x14ac:dyDescent="0.35">
      <c r="A74" s="1348"/>
      <c r="B74" s="1388" t="str">
        <f>+'B) Reajuste Tarifas y Ocupación'!B24</f>
        <v>Camping (P. adicional)</v>
      </c>
      <c r="C74" s="161" t="s">
        <v>398</v>
      </c>
      <c r="D74" s="417">
        <f>+'B) Reajuste Tarifas y Ocupación'!L24</f>
        <v>4800</v>
      </c>
      <c r="E74" s="430">
        <f>+'B) Reajuste Tarifas y Ocupación'!M24</f>
        <v>7300</v>
      </c>
      <c r="F74" s="175">
        <f>+'B) Reajuste Tarifas y Ocupación'!N24</f>
        <v>9800</v>
      </c>
      <c r="G74" s="175">
        <f>+'B) Reajuste Tarifas y Ocupación'!O24</f>
        <v>10600</v>
      </c>
      <c r="H74" s="1391"/>
      <c r="I74" s="1391"/>
      <c r="J74" s="1392"/>
      <c r="K74" s="138"/>
      <c r="L74" s="138"/>
      <c r="M74" s="138"/>
      <c r="N74" s="138"/>
      <c r="O74" s="138"/>
      <c r="P74" s="138"/>
      <c r="Q74" s="138"/>
      <c r="R74" s="136"/>
      <c r="S74" s="136"/>
      <c r="T74" s="136"/>
    </row>
    <row r="75" spans="1:20" x14ac:dyDescent="0.35">
      <c r="A75" s="1348"/>
      <c r="B75" s="1389"/>
      <c r="C75" s="416" t="s">
        <v>245</v>
      </c>
      <c r="D75" s="418">
        <f>+'B) Reajuste Tarifas y Ocupación'!Y24</f>
        <v>27</v>
      </c>
      <c r="E75" s="423">
        <f>+'B) Reajuste Tarifas y Ocupación'!Z24</f>
        <v>27</v>
      </c>
      <c r="F75" s="174">
        <f>+'B) Reajuste Tarifas y Ocupación'!AA24</f>
        <v>27</v>
      </c>
      <c r="G75" s="174">
        <f>+'B) Reajuste Tarifas y Ocupación'!AB24</f>
        <v>27</v>
      </c>
      <c r="H75" s="1368"/>
      <c r="I75" s="1368"/>
      <c r="J75" s="1369"/>
      <c r="K75" s="138"/>
      <c r="L75" s="138"/>
      <c r="M75" s="138"/>
      <c r="N75" s="138"/>
      <c r="O75" s="138"/>
      <c r="P75" s="138"/>
      <c r="Q75" s="138"/>
      <c r="R75" s="136"/>
      <c r="S75" s="136"/>
      <c r="T75" s="136"/>
    </row>
    <row r="76" spans="1:20" ht="15" thickBot="1" x14ac:dyDescent="0.4">
      <c r="A76" s="1348"/>
      <c r="B76" s="1390"/>
      <c r="C76" s="419" t="s">
        <v>246</v>
      </c>
      <c r="D76" s="420">
        <f>D75*D74</f>
        <v>129600</v>
      </c>
      <c r="E76" s="424">
        <f>E75*E74</f>
        <v>197100</v>
      </c>
      <c r="F76" s="424">
        <f>F75*F74</f>
        <v>264600</v>
      </c>
      <c r="G76" s="424">
        <f>G75*G74</f>
        <v>286200</v>
      </c>
      <c r="H76" s="167">
        <f>(E74-D74)*D75</f>
        <v>67500</v>
      </c>
      <c r="I76" s="167">
        <f>SUM(D76:G76)</f>
        <v>877500</v>
      </c>
      <c r="J76" s="168">
        <f>H76+I76</f>
        <v>945000</v>
      </c>
      <c r="K76" s="138"/>
      <c r="L76" s="138"/>
      <c r="M76" s="138"/>
      <c r="N76" s="138"/>
      <c r="O76" s="138"/>
      <c r="P76" s="138"/>
      <c r="Q76" s="138"/>
      <c r="R76" s="136"/>
      <c r="S76" s="136"/>
      <c r="T76" s="136"/>
    </row>
    <row r="77" spans="1:20" x14ac:dyDescent="0.35">
      <c r="A77" s="1348"/>
      <c r="B77" s="1388" t="str">
        <f>+'B) Reajuste Tarifas y Ocupación'!B25</f>
        <v>Quincho chico 8 P.</v>
      </c>
      <c r="C77" s="161" t="s">
        <v>398</v>
      </c>
      <c r="D77" s="417">
        <f>+'B) Reajuste Tarifas y Ocupación'!L25</f>
        <v>10200</v>
      </c>
      <c r="E77" s="425">
        <f>+'B) Reajuste Tarifas y Ocupación'!M25</f>
        <v>15600</v>
      </c>
      <c r="F77" s="173">
        <f>+'B) Reajuste Tarifas y Ocupación'!N25</f>
        <v>22300</v>
      </c>
      <c r="G77" s="173">
        <f>+'B) Reajuste Tarifas y Ocupación'!O25</f>
        <v>24200</v>
      </c>
      <c r="H77" s="1368"/>
      <c r="I77" s="1368"/>
      <c r="J77" s="1369"/>
      <c r="K77" s="138"/>
      <c r="L77" s="138"/>
      <c r="M77" s="138"/>
      <c r="N77" s="138"/>
      <c r="O77" s="138"/>
      <c r="P77" s="138"/>
      <c r="Q77" s="138"/>
      <c r="R77" s="136"/>
      <c r="S77" s="136"/>
      <c r="T77" s="136"/>
    </row>
    <row r="78" spans="1:20" x14ac:dyDescent="0.35">
      <c r="A78" s="1348"/>
      <c r="B78" s="1389"/>
      <c r="C78" s="416" t="s">
        <v>245</v>
      </c>
      <c r="D78" s="418">
        <f>+'B) Reajuste Tarifas y Ocupación'!Y25</f>
        <v>469</v>
      </c>
      <c r="E78" s="423">
        <f>+'B) Reajuste Tarifas y Ocupación'!Z25</f>
        <v>275</v>
      </c>
      <c r="F78" s="174">
        <f>+'B) Reajuste Tarifas y Ocupación'!AA25</f>
        <v>52</v>
      </c>
      <c r="G78" s="174">
        <f>+'B) Reajuste Tarifas y Ocupación'!AB25</f>
        <v>94</v>
      </c>
      <c r="H78" s="1368"/>
      <c r="I78" s="1368"/>
      <c r="J78" s="1369"/>
      <c r="K78" s="138"/>
      <c r="L78" s="138"/>
      <c r="M78" s="138"/>
      <c r="N78" s="138"/>
      <c r="O78" s="138"/>
      <c r="P78" s="138"/>
      <c r="Q78" s="138"/>
      <c r="R78" s="136"/>
      <c r="S78" s="136"/>
      <c r="T78" s="136"/>
    </row>
    <row r="79" spans="1:20" ht="15" thickBot="1" x14ac:dyDescent="0.4">
      <c r="A79" s="1348"/>
      <c r="B79" s="1390"/>
      <c r="C79" s="419" t="s">
        <v>246</v>
      </c>
      <c r="D79" s="420">
        <f>D78*D77</f>
        <v>4783800</v>
      </c>
      <c r="E79" s="424">
        <f>E78*E77</f>
        <v>4290000</v>
      </c>
      <c r="F79" s="424">
        <f>F78*F77</f>
        <v>1159600</v>
      </c>
      <c r="G79" s="424">
        <f>G78*G77</f>
        <v>2274800</v>
      </c>
      <c r="H79" s="167">
        <f>(E77-D77)*D78</f>
        <v>2532600</v>
      </c>
      <c r="I79" s="167">
        <f>SUM(D79:G79)</f>
        <v>12508200</v>
      </c>
      <c r="J79" s="168">
        <f>H79+I79</f>
        <v>15040800</v>
      </c>
      <c r="K79" s="138"/>
      <c r="L79" s="138"/>
      <c r="M79" s="138"/>
      <c r="N79" s="138"/>
      <c r="O79" s="138"/>
      <c r="P79" s="138"/>
      <c r="Q79" s="138"/>
      <c r="R79" s="136"/>
      <c r="S79" s="136"/>
      <c r="T79" s="136"/>
    </row>
    <row r="80" spans="1:20" x14ac:dyDescent="0.35">
      <c r="A80" s="1348"/>
      <c r="B80" s="1388" t="str">
        <f>+'B) Reajuste Tarifas y Ocupación'!B26</f>
        <v>Quincho chico  8 P (P. adicional)</v>
      </c>
      <c r="C80" s="161" t="s">
        <v>398</v>
      </c>
      <c r="D80" s="417">
        <f>+'B) Reajuste Tarifas y Ocupación'!L26</f>
        <v>1300</v>
      </c>
      <c r="E80" s="425">
        <f>+'B) Reajuste Tarifas y Ocupación'!M26</f>
        <v>1900</v>
      </c>
      <c r="F80" s="173">
        <f>+'B) Reajuste Tarifas y Ocupación'!N26</f>
        <v>2700</v>
      </c>
      <c r="G80" s="173">
        <f>+'B) Reajuste Tarifas y Ocupación'!O26</f>
        <v>2900</v>
      </c>
      <c r="H80" s="1368"/>
      <c r="I80" s="1368"/>
      <c r="J80" s="1369"/>
      <c r="K80" s="138"/>
      <c r="L80" s="138"/>
      <c r="M80" s="138"/>
      <c r="N80" s="138"/>
      <c r="O80" s="138"/>
      <c r="P80" s="138"/>
      <c r="Q80" s="138"/>
      <c r="R80" s="136"/>
      <c r="S80" s="136"/>
      <c r="T80" s="136"/>
    </row>
    <row r="81" spans="1:20" x14ac:dyDescent="0.35">
      <c r="A81" s="1348"/>
      <c r="B81" s="1389"/>
      <c r="C81" s="416" t="s">
        <v>245</v>
      </c>
      <c r="D81" s="418">
        <f>+'B) Reajuste Tarifas y Ocupación'!Y26</f>
        <v>14</v>
      </c>
      <c r="E81" s="423">
        <f>+'B) Reajuste Tarifas y Ocupación'!Z26</f>
        <v>14</v>
      </c>
      <c r="F81" s="174">
        <f>+'B) Reajuste Tarifas y Ocupación'!AA26</f>
        <v>14</v>
      </c>
      <c r="G81" s="174">
        <f>+'B) Reajuste Tarifas y Ocupación'!AB26</f>
        <v>14</v>
      </c>
      <c r="H81" s="1368"/>
      <c r="I81" s="1368"/>
      <c r="J81" s="1369"/>
      <c r="K81" s="138"/>
      <c r="L81" s="138"/>
      <c r="M81" s="138"/>
      <c r="N81" s="138"/>
      <c r="O81" s="138"/>
      <c r="P81" s="138"/>
      <c r="Q81" s="138"/>
      <c r="R81" s="136"/>
      <c r="S81" s="136"/>
      <c r="T81" s="136"/>
    </row>
    <row r="82" spans="1:20" ht="15" thickBot="1" x14ac:dyDescent="0.4">
      <c r="A82" s="1348"/>
      <c r="B82" s="1390"/>
      <c r="C82" s="419" t="s">
        <v>246</v>
      </c>
      <c r="D82" s="420">
        <f>D81*D80</f>
        <v>18200</v>
      </c>
      <c r="E82" s="424">
        <f>E81*E80</f>
        <v>26600</v>
      </c>
      <c r="F82" s="424">
        <f>F81*F80</f>
        <v>37800</v>
      </c>
      <c r="G82" s="424">
        <f>G81*G80</f>
        <v>40600</v>
      </c>
      <c r="H82" s="167">
        <f>(E80-D80)*D81</f>
        <v>8400</v>
      </c>
      <c r="I82" s="167">
        <f>SUM(D82:G82)</f>
        <v>123200</v>
      </c>
      <c r="J82" s="168">
        <f>H82+I82</f>
        <v>131600</v>
      </c>
      <c r="K82" s="138"/>
      <c r="L82" s="138"/>
      <c r="M82" s="138"/>
      <c r="N82" s="138"/>
      <c r="O82" s="138"/>
      <c r="P82" s="138"/>
      <c r="Q82" s="138"/>
      <c r="R82" s="136"/>
      <c r="S82" s="136"/>
      <c r="T82" s="136"/>
    </row>
    <row r="83" spans="1:20" x14ac:dyDescent="0.35">
      <c r="A83" s="1348"/>
      <c r="B83" s="1388" t="str">
        <f>+'B) Reajuste Tarifas y Ocupación'!B27</f>
        <v>Quincho grande 30 P.  Día</v>
      </c>
      <c r="C83" s="161" t="s">
        <v>398</v>
      </c>
      <c r="D83" s="1343"/>
      <c r="E83" s="425">
        <f>+'B) Reajuste Tarifas y Ocupación'!M27</f>
        <v>52000</v>
      </c>
      <c r="F83" s="173">
        <f>+'B) Reajuste Tarifas y Ocupación'!N27</f>
        <v>70700</v>
      </c>
      <c r="G83" s="173">
        <f>+'B) Reajuste Tarifas y Ocupación'!O27</f>
        <v>76500</v>
      </c>
      <c r="H83" s="1368"/>
      <c r="I83" s="1368"/>
      <c r="J83" s="1369"/>
      <c r="K83" s="138"/>
      <c r="L83" s="138"/>
      <c r="M83" s="138"/>
      <c r="N83" s="138"/>
      <c r="O83" s="138"/>
      <c r="P83" s="138"/>
      <c r="Q83" s="138"/>
      <c r="R83" s="136"/>
      <c r="S83" s="136"/>
      <c r="T83" s="136"/>
    </row>
    <row r="84" spans="1:20" x14ac:dyDescent="0.35">
      <c r="A84" s="1348"/>
      <c r="B84" s="1389"/>
      <c r="C84" s="416" t="s">
        <v>245</v>
      </c>
      <c r="D84" s="1343"/>
      <c r="E84" s="423">
        <f>+'B) Reajuste Tarifas y Ocupación'!Z27</f>
        <v>187</v>
      </c>
      <c r="F84" s="174">
        <f>+'B) Reajuste Tarifas y Ocupación'!AA27</f>
        <v>23</v>
      </c>
      <c r="G84" s="174">
        <f>+'B) Reajuste Tarifas y Ocupación'!AB27</f>
        <v>77</v>
      </c>
      <c r="H84" s="1368"/>
      <c r="I84" s="1368"/>
      <c r="J84" s="1369"/>
      <c r="K84" s="138"/>
      <c r="L84" s="138"/>
      <c r="M84" s="138"/>
      <c r="N84" s="138"/>
      <c r="O84" s="138"/>
      <c r="P84" s="138"/>
      <c r="Q84" s="138"/>
      <c r="R84" s="136"/>
      <c r="S84" s="136"/>
      <c r="T84" s="136"/>
    </row>
    <row r="85" spans="1:20" ht="15" thickBot="1" x14ac:dyDescent="0.4">
      <c r="A85" s="1348"/>
      <c r="B85" s="1390"/>
      <c r="C85" s="419" t="s">
        <v>246</v>
      </c>
      <c r="D85" s="414"/>
      <c r="E85" s="424">
        <f>E84*E83</f>
        <v>9724000</v>
      </c>
      <c r="F85" s="424">
        <f>F84*F83</f>
        <v>1626100</v>
      </c>
      <c r="G85" s="424">
        <f>G84*G83</f>
        <v>5890500</v>
      </c>
      <c r="H85" s="167">
        <f>(E83-D83)*D84</f>
        <v>0</v>
      </c>
      <c r="I85" s="167">
        <f>SUM(D85:G85)</f>
        <v>17240600</v>
      </c>
      <c r="J85" s="168">
        <f>H85+I85</f>
        <v>17240600</v>
      </c>
      <c r="K85" s="138"/>
      <c r="L85" s="138"/>
      <c r="M85" s="138"/>
      <c r="N85" s="138"/>
      <c r="O85" s="138"/>
      <c r="P85" s="138"/>
      <c r="Q85" s="138"/>
      <c r="R85" s="136"/>
      <c r="S85" s="136"/>
      <c r="T85" s="136"/>
    </row>
    <row r="86" spans="1:20" x14ac:dyDescent="0.35">
      <c r="A86" s="1348"/>
      <c r="B86" s="1388" t="str">
        <f>+'B) Reajuste Tarifas y Ocupación'!B28</f>
        <v>Quincho grande 30 P. (P. adicional) Día</v>
      </c>
      <c r="C86" s="161" t="s">
        <v>398</v>
      </c>
      <c r="D86" s="1343"/>
      <c r="E86" s="425">
        <f>+'B) Reajuste Tarifas y Ocupación'!M28</f>
        <v>2500</v>
      </c>
      <c r="F86" s="173">
        <f>+'B) Reajuste Tarifas y Ocupación'!N28</f>
        <v>31400</v>
      </c>
      <c r="G86" s="173">
        <f>+'B) Reajuste Tarifas y Ocupación'!O28</f>
        <v>3500</v>
      </c>
      <c r="H86" s="1368"/>
      <c r="I86" s="1368"/>
      <c r="J86" s="1369"/>
      <c r="K86" s="138"/>
      <c r="L86" s="138"/>
      <c r="M86" s="138"/>
      <c r="N86" s="138"/>
      <c r="O86" s="138"/>
      <c r="P86" s="138"/>
      <c r="Q86" s="138"/>
      <c r="R86" s="136"/>
      <c r="S86" s="136"/>
      <c r="T86" s="136"/>
    </row>
    <row r="87" spans="1:20" x14ac:dyDescent="0.35">
      <c r="A87" s="1348"/>
      <c r="B87" s="1389"/>
      <c r="C87" s="416" t="s">
        <v>245</v>
      </c>
      <c r="D87" s="1343"/>
      <c r="E87" s="423">
        <f>+'B) Reajuste Tarifas y Ocupación'!Z28</f>
        <v>78</v>
      </c>
      <c r="F87" s="174">
        <f>+'B) Reajuste Tarifas y Ocupación'!AA28</f>
        <v>14</v>
      </c>
      <c r="G87" s="174">
        <f>+'B) Reajuste Tarifas y Ocupación'!AB28</f>
        <v>14</v>
      </c>
      <c r="H87" s="1368"/>
      <c r="I87" s="1368"/>
      <c r="J87" s="1369"/>
      <c r="K87" s="138"/>
      <c r="L87" s="138"/>
      <c r="M87" s="138"/>
      <c r="N87" s="138"/>
      <c r="O87" s="138"/>
      <c r="P87" s="138"/>
      <c r="Q87" s="138"/>
      <c r="R87" s="136"/>
      <c r="S87" s="136"/>
      <c r="T87" s="136"/>
    </row>
    <row r="88" spans="1:20" ht="15" thickBot="1" x14ac:dyDescent="0.4">
      <c r="A88" s="1348"/>
      <c r="B88" s="1390"/>
      <c r="C88" s="419" t="s">
        <v>246</v>
      </c>
      <c r="D88" s="414"/>
      <c r="E88" s="424">
        <f>E87*E86</f>
        <v>195000</v>
      </c>
      <c r="F88" s="424">
        <f>F87*F86</f>
        <v>439600</v>
      </c>
      <c r="G88" s="424">
        <f>G87*G86</f>
        <v>49000</v>
      </c>
      <c r="H88" s="167">
        <f>(E86-D86)*D87</f>
        <v>0</v>
      </c>
      <c r="I88" s="167">
        <f>SUM(D88:G88)</f>
        <v>683600</v>
      </c>
      <c r="J88" s="168">
        <f>H88+I88</f>
        <v>683600</v>
      </c>
      <c r="K88" s="138"/>
      <c r="L88" s="138"/>
      <c r="M88" s="138"/>
      <c r="N88" s="138"/>
      <c r="O88" s="138"/>
      <c r="P88" s="138"/>
      <c r="Q88" s="138"/>
      <c r="R88" s="136"/>
      <c r="S88" s="136"/>
      <c r="T88" s="136"/>
    </row>
    <row r="89" spans="1:20" x14ac:dyDescent="0.35">
      <c r="A89" s="1348"/>
      <c r="B89" s="1388" t="str">
        <f>+'B) Reajuste Tarifas y Ocupación'!B29</f>
        <v>Quincho grande 30 P.  Noche</v>
      </c>
      <c r="C89" s="161" t="s">
        <v>398</v>
      </c>
      <c r="D89" s="1343"/>
      <c r="E89" s="425">
        <f>+'B) Reajuste Tarifas y Ocupación'!M29</f>
        <v>100600</v>
      </c>
      <c r="F89" s="173">
        <f>+'B) Reajuste Tarifas y Ocupación'!N29</f>
        <v>136800</v>
      </c>
      <c r="G89" s="173">
        <f>+'B) Reajuste Tarifas y Ocupación'!O29</f>
        <v>148200</v>
      </c>
      <c r="H89" s="1368"/>
      <c r="I89" s="1368"/>
      <c r="J89" s="1369"/>
      <c r="K89" s="138"/>
      <c r="L89" s="138"/>
      <c r="M89" s="138"/>
      <c r="N89" s="138"/>
      <c r="O89" s="138"/>
      <c r="P89" s="138"/>
      <c r="Q89" s="138"/>
      <c r="R89" s="136"/>
      <c r="S89" s="136"/>
      <c r="T89" s="136"/>
    </row>
    <row r="90" spans="1:20" x14ac:dyDescent="0.35">
      <c r="A90" s="1348"/>
      <c r="B90" s="1389"/>
      <c r="C90" s="416" t="s">
        <v>245</v>
      </c>
      <c r="D90" s="1343"/>
      <c r="E90" s="423">
        <f>+'B) Reajuste Tarifas y Ocupación'!Z28</f>
        <v>78</v>
      </c>
      <c r="F90" s="174">
        <f>+'B) Reajuste Tarifas y Ocupación'!AA28</f>
        <v>14</v>
      </c>
      <c r="G90" s="174">
        <f>+'B) Reajuste Tarifas y Ocupación'!AB28</f>
        <v>14</v>
      </c>
      <c r="H90" s="1368"/>
      <c r="I90" s="1368"/>
      <c r="J90" s="1369"/>
      <c r="K90" s="138"/>
      <c r="L90" s="138"/>
      <c r="M90" s="138"/>
      <c r="N90" s="138"/>
      <c r="O90" s="138"/>
      <c r="P90" s="138"/>
      <c r="Q90" s="138"/>
      <c r="R90" s="136"/>
      <c r="S90" s="136"/>
      <c r="T90" s="136"/>
    </row>
    <row r="91" spans="1:20" ht="15" thickBot="1" x14ac:dyDescent="0.4">
      <c r="A91" s="1348"/>
      <c r="B91" s="1390"/>
      <c r="C91" s="419" t="s">
        <v>246</v>
      </c>
      <c r="D91" s="414"/>
      <c r="E91" s="424">
        <f>E90*E89</f>
        <v>7846800</v>
      </c>
      <c r="F91" s="424">
        <f>F90*F89</f>
        <v>1915200</v>
      </c>
      <c r="G91" s="424">
        <f>G90*G89</f>
        <v>2074800</v>
      </c>
      <c r="H91" s="167">
        <f>(E89-D89)*D90</f>
        <v>0</v>
      </c>
      <c r="I91" s="167">
        <f>SUM(D91:G91)</f>
        <v>11836800</v>
      </c>
      <c r="J91" s="168">
        <f>H91+I91</f>
        <v>11836800</v>
      </c>
      <c r="K91" s="138"/>
      <c r="L91" s="138"/>
      <c r="M91" s="138"/>
      <c r="N91" s="138"/>
      <c r="O91" s="138"/>
      <c r="P91" s="138"/>
      <c r="Q91" s="138"/>
      <c r="R91" s="136"/>
      <c r="S91" s="136"/>
      <c r="T91" s="136"/>
    </row>
    <row r="92" spans="1:20" x14ac:dyDescent="0.35">
      <c r="A92" s="1348"/>
      <c r="B92" s="1388" t="str">
        <f>+'B) Reajuste Tarifas y Ocupación'!B30</f>
        <v>Quincho grande 30 P. (P. adicional) Noche</v>
      </c>
      <c r="C92" s="161" t="s">
        <v>398</v>
      </c>
      <c r="D92" s="1343"/>
      <c r="E92" s="425">
        <f>+'B) Reajuste Tarifas y Ocupación'!M29</f>
        <v>100600</v>
      </c>
      <c r="F92" s="173">
        <f>+'B) Reajuste Tarifas y Ocupación'!N29</f>
        <v>136800</v>
      </c>
      <c r="G92" s="173">
        <f>+'B) Reajuste Tarifas y Ocupación'!O29</f>
        <v>148200</v>
      </c>
      <c r="H92" s="1368"/>
      <c r="I92" s="1368"/>
      <c r="J92" s="1369"/>
      <c r="K92" s="138"/>
      <c r="L92" s="138"/>
      <c r="M92" s="138"/>
      <c r="N92" s="138"/>
      <c r="O92" s="138"/>
      <c r="P92" s="138"/>
      <c r="Q92" s="138"/>
      <c r="R92" s="136"/>
      <c r="S92" s="136"/>
      <c r="T92" s="136"/>
    </row>
    <row r="93" spans="1:20" x14ac:dyDescent="0.35">
      <c r="A93" s="1348"/>
      <c r="B93" s="1389"/>
      <c r="C93" s="416" t="s">
        <v>245</v>
      </c>
      <c r="D93" s="1343"/>
      <c r="E93" s="423">
        <f>+'B) Reajuste Tarifas y Ocupación'!Z29</f>
        <v>20</v>
      </c>
      <c r="F93" s="174">
        <f>+'B) Reajuste Tarifas y Ocupación'!AA29</f>
        <v>20</v>
      </c>
      <c r="G93" s="174">
        <f>+'B) Reajuste Tarifas y Ocupación'!AB29</f>
        <v>20</v>
      </c>
      <c r="H93" s="1368"/>
      <c r="I93" s="1368"/>
      <c r="J93" s="1369"/>
      <c r="K93" s="138"/>
      <c r="L93" s="138"/>
      <c r="M93" s="138"/>
      <c r="N93" s="138"/>
      <c r="O93" s="138"/>
      <c r="P93" s="138"/>
      <c r="Q93" s="138"/>
      <c r="R93" s="136"/>
      <c r="S93" s="136"/>
      <c r="T93" s="136"/>
    </row>
    <row r="94" spans="1:20" ht="15" thickBot="1" x14ac:dyDescent="0.4">
      <c r="A94" s="1348"/>
      <c r="B94" s="1390"/>
      <c r="C94" s="419" t="s">
        <v>246</v>
      </c>
      <c r="D94" s="414"/>
      <c r="E94" s="424">
        <f>E93*E92</f>
        <v>2012000</v>
      </c>
      <c r="F94" s="424">
        <f>F93*F92</f>
        <v>2736000</v>
      </c>
      <c r="G94" s="424">
        <f>G93*G92</f>
        <v>2964000</v>
      </c>
      <c r="H94" s="167">
        <f>(E92-D92)*D93</f>
        <v>0</v>
      </c>
      <c r="I94" s="167">
        <f>SUM(D94:G94)</f>
        <v>7712000</v>
      </c>
      <c r="J94" s="168">
        <f>H94+I94</f>
        <v>7712000</v>
      </c>
      <c r="K94" s="138"/>
      <c r="L94" s="138"/>
      <c r="M94" s="138"/>
      <c r="N94" s="138"/>
      <c r="O94" s="138"/>
      <c r="P94" s="138"/>
      <c r="Q94" s="138"/>
      <c r="R94" s="136"/>
      <c r="S94" s="136"/>
      <c r="T94" s="136"/>
    </row>
    <row r="95" spans="1:20" x14ac:dyDescent="0.35">
      <c r="A95" s="1348"/>
      <c r="B95" s="1388" t="str">
        <f>+'B) Reajuste Tarifas y Ocupación'!B31</f>
        <v>Pérgola OF 60 P. Día</v>
      </c>
      <c r="C95" s="161" t="s">
        <v>398</v>
      </c>
      <c r="D95" s="1343"/>
      <c r="E95" s="425">
        <f>+'B) Reajuste Tarifas y Ocupación'!M30</f>
        <v>4100</v>
      </c>
      <c r="F95" s="173">
        <f>+'B) Reajuste Tarifas y Ocupación'!N30</f>
        <v>5600</v>
      </c>
      <c r="G95" s="173">
        <f>+'B) Reajuste Tarifas y Ocupación'!O30</f>
        <v>6100</v>
      </c>
      <c r="H95" s="1368"/>
      <c r="I95" s="1368"/>
      <c r="J95" s="1369"/>
      <c r="K95" s="138"/>
      <c r="L95" s="138"/>
      <c r="M95" s="138"/>
      <c r="N95" s="138"/>
      <c r="O95" s="138"/>
      <c r="P95" s="138"/>
      <c r="Q95" s="138"/>
      <c r="R95" s="136"/>
      <c r="S95" s="136"/>
      <c r="T95" s="136"/>
    </row>
    <row r="96" spans="1:20" x14ac:dyDescent="0.35">
      <c r="A96" s="1348"/>
      <c r="B96" s="1389"/>
      <c r="C96" s="416" t="s">
        <v>245</v>
      </c>
      <c r="D96" s="1343"/>
      <c r="E96" s="423">
        <f>+'B) Reajuste Tarifas y Ocupación'!Z30</f>
        <v>27</v>
      </c>
      <c r="F96" s="174">
        <f>+'B) Reajuste Tarifas y Ocupación'!AA30</f>
        <v>27</v>
      </c>
      <c r="G96" s="174">
        <f>+'B) Reajuste Tarifas y Ocupación'!AB30</f>
        <v>27</v>
      </c>
      <c r="H96" s="1368"/>
      <c r="I96" s="1368"/>
      <c r="J96" s="1369"/>
      <c r="K96" s="138"/>
      <c r="L96" s="138"/>
      <c r="M96" s="138"/>
      <c r="N96" s="138"/>
      <c r="O96" s="138"/>
      <c r="P96" s="138"/>
      <c r="Q96" s="138"/>
      <c r="R96" s="136"/>
      <c r="S96" s="136"/>
      <c r="T96" s="136"/>
    </row>
    <row r="97" spans="1:20" ht="15" thickBot="1" x14ac:dyDescent="0.4">
      <c r="A97" s="1348"/>
      <c r="B97" s="1390"/>
      <c r="C97" s="419" t="s">
        <v>246</v>
      </c>
      <c r="D97" s="414"/>
      <c r="E97" s="424">
        <f>E96*E95</f>
        <v>110700</v>
      </c>
      <c r="F97" s="424">
        <f>F96*F95</f>
        <v>151200</v>
      </c>
      <c r="G97" s="424">
        <f>G96*G95</f>
        <v>164700</v>
      </c>
      <c r="H97" s="167">
        <f>(E95-D95)*D96</f>
        <v>0</v>
      </c>
      <c r="I97" s="167">
        <f>SUM(D97:G97)</f>
        <v>426600</v>
      </c>
      <c r="J97" s="168">
        <f>H97+I97</f>
        <v>426600</v>
      </c>
      <c r="K97" s="138"/>
      <c r="L97" s="138"/>
      <c r="M97" s="138"/>
      <c r="N97" s="138"/>
      <c r="O97" s="138"/>
      <c r="P97" s="138"/>
      <c r="Q97" s="138"/>
      <c r="R97" s="136"/>
      <c r="S97" s="136"/>
      <c r="T97" s="136"/>
    </row>
    <row r="98" spans="1:20" x14ac:dyDescent="0.35">
      <c r="A98" s="1348"/>
      <c r="B98" s="1388" t="str">
        <f>+'B) Reajuste Tarifas y Ocupación'!B32</f>
        <v>Pérgola OF 60 P. Noche</v>
      </c>
      <c r="C98" s="161" t="s">
        <v>398</v>
      </c>
      <c r="D98" s="1343"/>
      <c r="E98" s="425">
        <f>+'B) Reajuste Tarifas y Ocupación'!M31</f>
        <v>134800</v>
      </c>
      <c r="F98" s="173">
        <f>+'B) Reajuste Tarifas y Ocupación'!N31</f>
        <v>183200</v>
      </c>
      <c r="G98" s="173">
        <f>+'B) Reajuste Tarifas y Ocupación'!O31</f>
        <v>198500</v>
      </c>
      <c r="H98" s="1368"/>
      <c r="I98" s="1368"/>
      <c r="J98" s="1369"/>
      <c r="K98" s="138"/>
      <c r="L98" s="138"/>
      <c r="M98" s="138"/>
      <c r="N98" s="138"/>
      <c r="O98" s="138"/>
      <c r="P98" s="138"/>
      <c r="Q98" s="138"/>
      <c r="R98" s="136"/>
      <c r="S98" s="136"/>
      <c r="T98" s="136"/>
    </row>
    <row r="99" spans="1:20" x14ac:dyDescent="0.35">
      <c r="A99" s="1348"/>
      <c r="B99" s="1389"/>
      <c r="C99" s="416" t="s">
        <v>245</v>
      </c>
      <c r="D99" s="1343"/>
      <c r="E99" s="423">
        <f>+'B) Reajuste Tarifas y Ocupación'!Z31</f>
        <v>42</v>
      </c>
      <c r="F99" s="174">
        <f>+'B) Reajuste Tarifas y Ocupación'!AA31</f>
        <v>2</v>
      </c>
      <c r="G99" s="174">
        <f>+'B) Reajuste Tarifas y Ocupación'!AB31</f>
        <v>36</v>
      </c>
      <c r="H99" s="1368"/>
      <c r="I99" s="1368"/>
      <c r="J99" s="1369"/>
      <c r="K99" s="138"/>
      <c r="L99" s="138"/>
      <c r="M99" s="138"/>
      <c r="N99" s="138"/>
      <c r="O99" s="138"/>
      <c r="P99" s="138"/>
      <c r="Q99" s="138"/>
      <c r="R99" s="136"/>
      <c r="S99" s="136"/>
      <c r="T99" s="136"/>
    </row>
    <row r="100" spans="1:20" ht="15" thickBot="1" x14ac:dyDescent="0.4">
      <c r="A100" s="1348"/>
      <c r="B100" s="1390"/>
      <c r="C100" s="435" t="s">
        <v>246</v>
      </c>
      <c r="D100" s="436"/>
      <c r="E100" s="437">
        <f>E99*E98</f>
        <v>5661600</v>
      </c>
      <c r="F100" s="437">
        <f>F99*F98</f>
        <v>366400</v>
      </c>
      <c r="G100" s="437">
        <f>G99*G98</f>
        <v>7146000</v>
      </c>
      <c r="H100" s="167">
        <f>(E98-D98)*D99</f>
        <v>0</v>
      </c>
      <c r="I100" s="167">
        <f>SUM(D100:G100)</f>
        <v>13174000</v>
      </c>
      <c r="J100" s="168">
        <f>H100+I100</f>
        <v>13174000</v>
      </c>
      <c r="K100" s="138"/>
      <c r="L100" s="138"/>
      <c r="M100" s="138"/>
      <c r="N100" s="138"/>
      <c r="O100" s="138"/>
      <c r="P100" s="138"/>
      <c r="Q100" s="138"/>
      <c r="R100" s="136"/>
      <c r="S100" s="136"/>
      <c r="T100" s="136"/>
    </row>
    <row r="101" spans="1:20" x14ac:dyDescent="0.35">
      <c r="A101" s="1348"/>
      <c r="B101" s="1388" t="str">
        <f>+'B) Reajuste Tarifas y Ocupación'!B33</f>
        <v>Pérgola GM 100 P. Día</v>
      </c>
      <c r="C101" s="161" t="s">
        <v>398</v>
      </c>
      <c r="D101" s="1343"/>
      <c r="E101" s="417">
        <f>+'B) Reajuste Tarifas y Ocupación'!M32</f>
        <v>243400</v>
      </c>
      <c r="F101" s="425">
        <f>+'B) Reajuste Tarifas y Ocupación'!N32</f>
        <v>331100</v>
      </c>
      <c r="G101" s="173">
        <f>+'B) Reajuste Tarifas y Ocupación'!O32</f>
        <v>358700</v>
      </c>
      <c r="H101" s="1368"/>
      <c r="I101" s="1368"/>
      <c r="J101" s="1369"/>
      <c r="K101" s="138"/>
      <c r="L101" s="138"/>
      <c r="M101" s="138"/>
      <c r="N101" s="138"/>
      <c r="O101" s="138"/>
      <c r="P101" s="138"/>
      <c r="Q101" s="138"/>
      <c r="R101" s="136"/>
      <c r="S101" s="136"/>
      <c r="T101" s="136"/>
    </row>
    <row r="102" spans="1:20" x14ac:dyDescent="0.35">
      <c r="A102" s="1348"/>
      <c r="B102" s="1389"/>
      <c r="C102" s="416" t="s">
        <v>245</v>
      </c>
      <c r="D102" s="1343"/>
      <c r="E102" s="418">
        <f>+'B) Reajuste Tarifas y Ocupación'!Z32</f>
        <v>7</v>
      </c>
      <c r="F102" s="423">
        <f>+'B) Reajuste Tarifas y Ocupación'!AA32</f>
        <v>0</v>
      </c>
      <c r="G102" s="174">
        <f>+'B) Reajuste Tarifas y Ocupación'!AB32</f>
        <v>14</v>
      </c>
      <c r="H102" s="1368"/>
      <c r="I102" s="1368"/>
      <c r="J102" s="1369"/>
      <c r="K102" s="138"/>
      <c r="L102" s="138"/>
      <c r="M102" s="138"/>
      <c r="N102" s="138"/>
      <c r="O102" s="138"/>
      <c r="P102" s="138"/>
      <c r="Q102" s="138"/>
      <c r="R102" s="136"/>
      <c r="S102" s="136"/>
      <c r="T102" s="136"/>
    </row>
    <row r="103" spans="1:20" ht="15" thickBot="1" x14ac:dyDescent="0.4">
      <c r="A103" s="1348"/>
      <c r="B103" s="1390"/>
      <c r="C103" s="419" t="s">
        <v>246</v>
      </c>
      <c r="D103" s="414"/>
      <c r="E103" s="420">
        <f>E102*E101</f>
        <v>1703800</v>
      </c>
      <c r="F103" s="420">
        <f>F102*F101</f>
        <v>0</v>
      </c>
      <c r="G103" s="420">
        <f>G102*G101</f>
        <v>5021800</v>
      </c>
      <c r="H103" s="167">
        <f>(E101-D101)*D102</f>
        <v>0</v>
      </c>
      <c r="I103" s="167">
        <f>SUM(D103:G103)</f>
        <v>6725600</v>
      </c>
      <c r="J103" s="168">
        <f>H103+I103</f>
        <v>6725600</v>
      </c>
      <c r="K103" s="138"/>
      <c r="L103" s="138"/>
      <c r="M103" s="138"/>
      <c r="N103" s="138"/>
      <c r="O103" s="138"/>
      <c r="P103" s="138"/>
      <c r="Q103" s="138"/>
      <c r="R103" s="136"/>
      <c r="S103" s="136"/>
      <c r="T103" s="136"/>
    </row>
    <row r="104" spans="1:20" x14ac:dyDescent="0.35">
      <c r="A104" s="1348"/>
      <c r="B104" s="1388" t="str">
        <f>+'B) Reajuste Tarifas y Ocupación'!B34</f>
        <v>Pérgola GM 100 P. (P. adicional) Día</v>
      </c>
      <c r="C104" s="161" t="s">
        <v>398</v>
      </c>
      <c r="D104" s="1343"/>
      <c r="E104" s="417">
        <f>+'B) Reajuste Tarifas y Ocupación'!M33</f>
        <v>157100</v>
      </c>
      <c r="F104" s="425">
        <f>+'B) Reajuste Tarifas y Ocupación'!N33</f>
        <v>213600</v>
      </c>
      <c r="G104" s="173">
        <f>+'B) Reajuste Tarifas y Ocupación'!O33</f>
        <v>231400</v>
      </c>
      <c r="H104" s="1368"/>
      <c r="I104" s="1368"/>
      <c r="J104" s="1369"/>
      <c r="K104" s="138"/>
      <c r="L104" s="138"/>
      <c r="M104" s="138"/>
      <c r="N104" s="138"/>
      <c r="O104" s="138"/>
      <c r="P104" s="138"/>
      <c r="Q104" s="138"/>
      <c r="R104" s="136"/>
      <c r="S104" s="136"/>
      <c r="T104" s="136"/>
    </row>
    <row r="105" spans="1:20" x14ac:dyDescent="0.35">
      <c r="A105" s="1348"/>
      <c r="B105" s="1389"/>
      <c r="C105" s="416" t="s">
        <v>245</v>
      </c>
      <c r="D105" s="1343"/>
      <c r="E105" s="418">
        <f>+'B) Reajuste Tarifas y Ocupación'!Z33</f>
        <v>42</v>
      </c>
      <c r="F105" s="423">
        <f>+'B) Reajuste Tarifas y Ocupación'!AA33</f>
        <v>3</v>
      </c>
      <c r="G105" s="174">
        <f>+'B) Reajuste Tarifas y Ocupación'!AB33</f>
        <v>41</v>
      </c>
      <c r="H105" s="1368"/>
      <c r="I105" s="1368"/>
      <c r="J105" s="1369"/>
      <c r="K105" s="138"/>
      <c r="L105" s="138"/>
      <c r="M105" s="138"/>
      <c r="N105" s="138"/>
      <c r="O105" s="138"/>
      <c r="P105" s="138"/>
      <c r="Q105" s="138"/>
      <c r="R105" s="136"/>
      <c r="S105" s="136"/>
      <c r="T105" s="136"/>
    </row>
    <row r="106" spans="1:20" ht="15" thickBot="1" x14ac:dyDescent="0.4">
      <c r="A106" s="1348"/>
      <c r="B106" s="1390"/>
      <c r="C106" s="419" t="s">
        <v>246</v>
      </c>
      <c r="D106" s="414"/>
      <c r="E106" s="420">
        <f>E105*E104</f>
        <v>6598200</v>
      </c>
      <c r="F106" s="420">
        <f>F105*F104</f>
        <v>640800</v>
      </c>
      <c r="G106" s="420">
        <f>G105*G104</f>
        <v>9487400</v>
      </c>
      <c r="H106" s="167">
        <f>(E104-D104)*D105</f>
        <v>0</v>
      </c>
      <c r="I106" s="167">
        <f>SUM(D106:G106)</f>
        <v>16726400</v>
      </c>
      <c r="J106" s="168">
        <f>H106+I106</f>
        <v>16726400</v>
      </c>
      <c r="K106" s="138"/>
      <c r="L106" s="138"/>
      <c r="M106" s="138"/>
      <c r="N106" s="138"/>
      <c r="O106" s="138"/>
      <c r="P106" s="138"/>
      <c r="Q106" s="138"/>
      <c r="R106" s="136"/>
      <c r="S106" s="136"/>
      <c r="T106" s="136"/>
    </row>
    <row r="107" spans="1:20" x14ac:dyDescent="0.35">
      <c r="A107" s="1348"/>
      <c r="B107" s="1388" t="str">
        <f>+'B) Reajuste Tarifas y Ocupación'!B35</f>
        <v>Pérgola GM 100 P. Noche</v>
      </c>
      <c r="C107" s="161" t="s">
        <v>398</v>
      </c>
      <c r="D107" s="1343"/>
      <c r="E107" s="417">
        <f>+'B) Reajuste Tarifas y Ocupación'!M34</f>
        <v>8600</v>
      </c>
      <c r="F107" s="425">
        <f>+'B) Reajuste Tarifas y Ocupación'!N34</f>
        <v>11800</v>
      </c>
      <c r="G107" s="173">
        <f>+'B) Reajuste Tarifas y Ocupación'!O34</f>
        <v>12700</v>
      </c>
      <c r="H107" s="1368"/>
      <c r="I107" s="1368"/>
      <c r="J107" s="1369"/>
      <c r="K107" s="138"/>
      <c r="L107" s="138"/>
      <c r="M107" s="138"/>
      <c r="N107" s="138"/>
      <c r="O107" s="138"/>
      <c r="P107" s="138"/>
      <c r="Q107" s="138"/>
      <c r="R107" s="136"/>
      <c r="S107" s="136"/>
      <c r="T107" s="136"/>
    </row>
    <row r="108" spans="1:20" x14ac:dyDescent="0.35">
      <c r="A108" s="1348"/>
      <c r="B108" s="1389"/>
      <c r="C108" s="416" t="s">
        <v>245</v>
      </c>
      <c r="D108" s="1343"/>
      <c r="E108" s="418">
        <f>+'B) Reajuste Tarifas y Ocupación'!Z34</f>
        <v>16</v>
      </c>
      <c r="F108" s="423">
        <f>+'B) Reajuste Tarifas y Ocupación'!AA34</f>
        <v>16</v>
      </c>
      <c r="G108" s="174">
        <f>+'B) Reajuste Tarifas y Ocupación'!AB34</f>
        <v>16</v>
      </c>
      <c r="H108" s="1368"/>
      <c r="I108" s="1368"/>
      <c r="J108" s="1369"/>
      <c r="K108" s="138"/>
      <c r="L108" s="138"/>
      <c r="M108" s="138"/>
      <c r="N108" s="138"/>
      <c r="O108" s="138"/>
      <c r="P108" s="138"/>
      <c r="Q108" s="138"/>
      <c r="R108" s="136"/>
      <c r="S108" s="136"/>
      <c r="T108" s="136"/>
    </row>
    <row r="109" spans="1:20" ht="15" thickBot="1" x14ac:dyDescent="0.4">
      <c r="A109" s="1348"/>
      <c r="B109" s="1390"/>
      <c r="C109" s="419" t="s">
        <v>246</v>
      </c>
      <c r="D109" s="414"/>
      <c r="E109" s="420">
        <f>E108*E107</f>
        <v>137600</v>
      </c>
      <c r="F109" s="420">
        <f>F108*F107</f>
        <v>188800</v>
      </c>
      <c r="G109" s="420">
        <f>G108*G107</f>
        <v>203200</v>
      </c>
      <c r="H109" s="167">
        <f>(E107-D107)*D108</f>
        <v>0</v>
      </c>
      <c r="I109" s="167">
        <f>SUM(D109:G109)</f>
        <v>529600</v>
      </c>
      <c r="J109" s="168">
        <f>H109+I109</f>
        <v>529600</v>
      </c>
      <c r="K109" s="138"/>
      <c r="L109" s="138"/>
      <c r="M109" s="138"/>
      <c r="N109" s="138"/>
      <c r="O109" s="138"/>
      <c r="P109" s="138"/>
      <c r="Q109" s="138"/>
      <c r="R109" s="136"/>
      <c r="S109" s="136"/>
      <c r="T109" s="136"/>
    </row>
    <row r="110" spans="1:20" x14ac:dyDescent="0.35">
      <c r="A110" s="1348"/>
      <c r="B110" s="1388" t="str">
        <f>+'B) Reajuste Tarifas y Ocupación'!B36</f>
        <v>Pérgola GM 100 P. (P. adicional) Noche</v>
      </c>
      <c r="C110" s="161" t="s">
        <v>398</v>
      </c>
      <c r="D110" s="1343"/>
      <c r="E110" s="417">
        <f>+'B) Reajuste Tarifas y Ocupación'!M35</f>
        <v>264100</v>
      </c>
      <c r="F110" s="425">
        <f>+'B) Reajuste Tarifas y Ocupación'!N35</f>
        <v>359100</v>
      </c>
      <c r="G110" s="173">
        <f>+'B) Reajuste Tarifas y Ocupación'!O35</f>
        <v>389100</v>
      </c>
      <c r="H110" s="1368"/>
      <c r="I110" s="1368"/>
      <c r="J110" s="1369"/>
      <c r="K110" s="138"/>
      <c r="L110" s="138"/>
      <c r="M110" s="138"/>
      <c r="N110" s="138"/>
      <c r="O110" s="138"/>
      <c r="P110" s="138"/>
      <c r="Q110" s="138"/>
      <c r="R110" s="136"/>
      <c r="S110" s="136"/>
      <c r="T110" s="136"/>
    </row>
    <row r="111" spans="1:20" x14ac:dyDescent="0.35">
      <c r="A111" s="1348"/>
      <c r="B111" s="1389"/>
      <c r="C111" s="416" t="s">
        <v>245</v>
      </c>
      <c r="D111" s="1343"/>
      <c r="E111" s="418">
        <f>+'B) Reajuste Tarifas y Ocupación'!Z35</f>
        <v>8</v>
      </c>
      <c r="F111" s="423">
        <f>+'B) Reajuste Tarifas y Ocupación'!AA35</f>
        <v>0</v>
      </c>
      <c r="G111" s="174">
        <f>+'B) Reajuste Tarifas y Ocupación'!AB35</f>
        <v>23</v>
      </c>
      <c r="H111" s="1368"/>
      <c r="I111" s="1368"/>
      <c r="J111" s="1369"/>
      <c r="K111" s="138"/>
      <c r="L111" s="138"/>
      <c r="M111" s="138"/>
      <c r="N111" s="138"/>
      <c r="O111" s="138"/>
      <c r="P111" s="138"/>
      <c r="Q111" s="138"/>
      <c r="R111" s="136"/>
      <c r="S111" s="136"/>
      <c r="T111" s="136"/>
    </row>
    <row r="112" spans="1:20" ht="15" thickBot="1" x14ac:dyDescent="0.4">
      <c r="A112" s="1348"/>
      <c r="B112" s="1390"/>
      <c r="C112" s="419" t="s">
        <v>246</v>
      </c>
      <c r="D112" s="414"/>
      <c r="E112" s="420">
        <f>E111*E110</f>
        <v>2112800</v>
      </c>
      <c r="F112" s="420">
        <f>F111*F110</f>
        <v>0</v>
      </c>
      <c r="G112" s="420">
        <f>G111*G110</f>
        <v>8949300</v>
      </c>
      <c r="H112" s="167">
        <f>(E110-D110)*D111</f>
        <v>0</v>
      </c>
      <c r="I112" s="167">
        <f>SUM(D112:G112)</f>
        <v>11062100</v>
      </c>
      <c r="J112" s="168">
        <f>H112+I112</f>
        <v>11062100</v>
      </c>
      <c r="K112" s="138"/>
      <c r="L112" s="138"/>
      <c r="M112" s="138"/>
      <c r="N112" s="138"/>
      <c r="O112" s="138"/>
      <c r="P112" s="138"/>
      <c r="Q112" s="138"/>
      <c r="R112" s="136"/>
      <c r="S112" s="136"/>
      <c r="T112" s="136"/>
    </row>
    <row r="113" spans="1:20" x14ac:dyDescent="0.35">
      <c r="A113" s="1348"/>
      <c r="B113" s="1388" t="str">
        <f>+'B) Reajuste Tarifas y Ocupación'!B37</f>
        <v>Cancha pasto sintético (Diurno)</v>
      </c>
      <c r="C113" s="161" t="s">
        <v>398</v>
      </c>
      <c r="D113" s="417">
        <f>+'B) Reajuste Tarifas y Ocupación'!L36</f>
        <v>0</v>
      </c>
      <c r="E113" s="417">
        <f>+'B) Reajuste Tarifas y Ocupación'!M36</f>
        <v>10200</v>
      </c>
      <c r="F113" s="425">
        <f>+'B) Reajuste Tarifas y Ocupación'!N36</f>
        <v>13800</v>
      </c>
      <c r="G113" s="173">
        <f>+'B) Reajuste Tarifas y Ocupación'!O36</f>
        <v>15000</v>
      </c>
      <c r="H113" s="1368"/>
      <c r="I113" s="1368"/>
      <c r="J113" s="1369"/>
      <c r="K113" s="138"/>
      <c r="L113" s="138"/>
      <c r="M113" s="138"/>
      <c r="N113" s="138"/>
      <c r="O113" s="138"/>
      <c r="P113" s="138"/>
      <c r="Q113" s="138"/>
      <c r="R113" s="136"/>
      <c r="S113" s="136"/>
      <c r="T113" s="136"/>
    </row>
    <row r="114" spans="1:20" x14ac:dyDescent="0.35">
      <c r="A114" s="1348"/>
      <c r="B114" s="1389"/>
      <c r="C114" s="416" t="s">
        <v>245</v>
      </c>
      <c r="D114" s="418">
        <f>+'B) Reajuste Tarifas y Ocupación'!Y36</f>
        <v>0</v>
      </c>
      <c r="E114" s="418">
        <f>+'B) Reajuste Tarifas y Ocupación'!Z36</f>
        <v>16</v>
      </c>
      <c r="F114" s="423">
        <f>+'B) Reajuste Tarifas y Ocupación'!AA36</f>
        <v>16</v>
      </c>
      <c r="G114" s="174">
        <f>+'B) Reajuste Tarifas y Ocupación'!AB36</f>
        <v>16</v>
      </c>
      <c r="H114" s="1368"/>
      <c r="I114" s="1368"/>
      <c r="J114" s="1369"/>
      <c r="K114" s="138"/>
      <c r="L114" s="138"/>
      <c r="M114" s="138"/>
      <c r="N114" s="138"/>
      <c r="O114" s="138"/>
      <c r="P114" s="138"/>
      <c r="Q114" s="138"/>
      <c r="R114" s="136"/>
      <c r="S114" s="136"/>
      <c r="T114" s="136"/>
    </row>
    <row r="115" spans="1:20" ht="15" thickBot="1" x14ac:dyDescent="0.4">
      <c r="A115" s="1348"/>
      <c r="B115" s="1390"/>
      <c r="C115" s="419" t="s">
        <v>246</v>
      </c>
      <c r="D115" s="420">
        <f>D114*D113</f>
        <v>0</v>
      </c>
      <c r="E115" s="420">
        <f>E114*E113</f>
        <v>163200</v>
      </c>
      <c r="F115" s="420">
        <f>F114*F113</f>
        <v>220800</v>
      </c>
      <c r="G115" s="420">
        <f>G114*G113</f>
        <v>240000</v>
      </c>
      <c r="H115" s="167">
        <f>(E113-D113)*D114</f>
        <v>0</v>
      </c>
      <c r="I115" s="167">
        <f>SUM(D115:G115)</f>
        <v>624000</v>
      </c>
      <c r="J115" s="168">
        <f>H115+I115</f>
        <v>624000</v>
      </c>
      <c r="K115" s="138"/>
      <c r="L115" s="138"/>
      <c r="M115" s="138"/>
      <c r="N115" s="138"/>
      <c r="O115" s="138"/>
      <c r="P115" s="138"/>
      <c r="Q115" s="138"/>
      <c r="R115" s="136"/>
      <c r="S115" s="136"/>
      <c r="T115" s="136"/>
    </row>
    <row r="116" spans="1:20" x14ac:dyDescent="0.35">
      <c r="A116" s="1348"/>
      <c r="B116" s="1388" t="str">
        <f>+'B) Reajuste Tarifas y Ocupación'!B38</f>
        <v>Cancha pasto sintético (Nocturno)</v>
      </c>
      <c r="C116" s="161" t="s">
        <v>398</v>
      </c>
      <c r="D116" s="417">
        <f>+'B) Reajuste Tarifas y Ocupación'!L37</f>
        <v>24400</v>
      </c>
      <c r="E116" s="417">
        <f>+'B) Reajuste Tarifas y Ocupación'!M37</f>
        <v>37400</v>
      </c>
      <c r="F116" s="425">
        <f>+'B) Reajuste Tarifas y Ocupación'!N37</f>
        <v>50800</v>
      </c>
      <c r="G116" s="173">
        <f>+'B) Reajuste Tarifas y Ocupación'!O37</f>
        <v>55000</v>
      </c>
      <c r="H116" s="1368"/>
      <c r="I116" s="1368"/>
      <c r="J116" s="1369"/>
      <c r="K116" s="138"/>
      <c r="L116" s="138"/>
      <c r="M116" s="138"/>
      <c r="N116" s="138"/>
      <c r="O116" s="138"/>
      <c r="P116" s="138"/>
      <c r="Q116" s="138"/>
      <c r="R116" s="136"/>
      <c r="S116" s="136"/>
      <c r="T116" s="136"/>
    </row>
    <row r="117" spans="1:20" x14ac:dyDescent="0.35">
      <c r="A117" s="1348"/>
      <c r="B117" s="1389"/>
      <c r="C117" s="416" t="s">
        <v>245</v>
      </c>
      <c r="D117" s="418">
        <f>+'B) Reajuste Tarifas y Ocupación'!Y37</f>
        <v>4</v>
      </c>
      <c r="E117" s="418">
        <f>+'B) Reajuste Tarifas y Ocupación'!Z37</f>
        <v>4</v>
      </c>
      <c r="F117" s="423">
        <f>+'B) Reajuste Tarifas y Ocupación'!AA37</f>
        <v>0</v>
      </c>
      <c r="G117" s="174">
        <f>+'B) Reajuste Tarifas y Ocupación'!AB37</f>
        <v>1</v>
      </c>
      <c r="H117" s="1368"/>
      <c r="I117" s="1368"/>
      <c r="J117" s="1369"/>
      <c r="K117" s="138"/>
      <c r="L117" s="138"/>
      <c r="M117" s="138"/>
      <c r="N117" s="138"/>
      <c r="O117" s="138"/>
      <c r="P117" s="138"/>
      <c r="Q117" s="138"/>
      <c r="R117" s="136"/>
      <c r="S117" s="136"/>
      <c r="T117" s="136"/>
    </row>
    <row r="118" spans="1:20" x14ac:dyDescent="0.35">
      <c r="A118" s="1348"/>
      <c r="B118" s="1390"/>
      <c r="C118" s="419" t="s">
        <v>246</v>
      </c>
      <c r="D118" s="420">
        <f>D117*D116</f>
        <v>97600</v>
      </c>
      <c r="E118" s="420">
        <f>E117*E116</f>
        <v>149600</v>
      </c>
      <c r="F118" s="420">
        <f>F117*F116</f>
        <v>0</v>
      </c>
      <c r="G118" s="420">
        <f>G117*G116</f>
        <v>55000</v>
      </c>
      <c r="H118" s="167">
        <f>(E116-D116)*D117</f>
        <v>52000</v>
      </c>
      <c r="I118" s="167">
        <f>SUM(D118:G118)</f>
        <v>302200</v>
      </c>
      <c r="J118" s="168">
        <f>H118+I118</f>
        <v>354200</v>
      </c>
      <c r="K118" s="138"/>
      <c r="L118" s="138"/>
      <c r="M118" s="138"/>
      <c r="N118" s="138"/>
      <c r="O118" s="138"/>
      <c r="P118" s="138"/>
      <c r="Q118" s="138"/>
      <c r="R118" s="136"/>
      <c r="S118" s="136"/>
      <c r="T118" s="136"/>
    </row>
    <row r="119" spans="1:20" ht="15" thickBot="1" x14ac:dyDescent="0.4">
      <c r="A119" s="1350"/>
      <c r="B119" s="1370" t="s">
        <v>247</v>
      </c>
      <c r="C119" s="1394"/>
      <c r="D119" s="176">
        <f t="shared" ref="D119:J119" si="10">D73+D76+D79+D82+D85+D88+D91+D94+D97+D100+D103+D106+D109+D112+D115+D118</f>
        <v>6026800</v>
      </c>
      <c r="E119" s="176">
        <f t="shared" si="10"/>
        <v>43990600</v>
      </c>
      <c r="F119" s="176">
        <f t="shared" si="10"/>
        <v>9891800</v>
      </c>
      <c r="G119" s="176">
        <f t="shared" si="10"/>
        <v>45684100</v>
      </c>
      <c r="H119" s="176">
        <f t="shared" si="10"/>
        <v>3193700</v>
      </c>
      <c r="I119" s="176">
        <f t="shared" si="10"/>
        <v>105593300</v>
      </c>
      <c r="J119" s="176">
        <f t="shared" si="10"/>
        <v>108787000</v>
      </c>
      <c r="K119" s="138"/>
      <c r="L119" s="138"/>
      <c r="M119" s="138"/>
      <c r="N119" s="138"/>
      <c r="O119" s="138"/>
      <c r="P119" s="138"/>
      <c r="Q119" s="138"/>
      <c r="R119" s="136"/>
      <c r="S119" s="136"/>
      <c r="T119" s="136"/>
    </row>
    <row r="120" spans="1:20" x14ac:dyDescent="0.35">
      <c r="A120" s="1348" t="str">
        <f>+'B) Reajuste Tarifas y Ocupación'!A39</f>
        <v>Piscina C.R. Huayquique (Oficiales)</v>
      </c>
      <c r="B120" s="1374" t="str">
        <f>+'B) Reajuste Tarifas y Ocupación'!B39</f>
        <v>Piscina adultos</v>
      </c>
      <c r="C120" s="161" t="s">
        <v>398</v>
      </c>
      <c r="D120" s="1395"/>
      <c r="E120" s="175">
        <f>+'B) Reajuste Tarifas y Ocupación'!M39</f>
        <v>6500</v>
      </c>
      <c r="F120" s="175">
        <f>+'B) Reajuste Tarifas y Ocupación'!N39</f>
        <v>8900</v>
      </c>
      <c r="G120" s="175">
        <f>+'B) Reajuste Tarifas y Ocupación'!O39</f>
        <v>9700</v>
      </c>
      <c r="H120" s="1391"/>
      <c r="I120" s="1391"/>
      <c r="J120" s="1392"/>
      <c r="K120" s="138"/>
      <c r="L120" s="138"/>
      <c r="M120" s="138"/>
      <c r="N120" s="138"/>
      <c r="O120" s="138"/>
      <c r="P120" s="138"/>
      <c r="Q120" s="138"/>
      <c r="R120" s="136"/>
      <c r="S120" s="136"/>
      <c r="T120" s="136"/>
    </row>
    <row r="121" spans="1:20" x14ac:dyDescent="0.35">
      <c r="A121" s="1348"/>
      <c r="B121" s="1374"/>
      <c r="C121" s="439" t="s">
        <v>245</v>
      </c>
      <c r="D121" s="1366"/>
      <c r="E121" s="174">
        <f>+'B) Reajuste Tarifas y Ocupación'!Z39</f>
        <v>115</v>
      </c>
      <c r="F121" s="174">
        <f>+'B) Reajuste Tarifas y Ocupación'!AA39</f>
        <v>0</v>
      </c>
      <c r="G121" s="174">
        <f>+'B) Reajuste Tarifas y Ocupación'!AB39</f>
        <v>62</v>
      </c>
      <c r="H121" s="1368"/>
      <c r="I121" s="1368"/>
      <c r="J121" s="1369"/>
      <c r="K121" s="138"/>
      <c r="L121" s="138"/>
      <c r="M121" s="138"/>
      <c r="N121" s="138"/>
      <c r="O121" s="138"/>
      <c r="P121" s="138"/>
      <c r="Q121" s="138"/>
      <c r="R121" s="136"/>
      <c r="S121" s="136"/>
      <c r="T121" s="136"/>
    </row>
    <row r="122" spans="1:20" ht="15" thickBot="1" x14ac:dyDescent="0.4">
      <c r="A122" s="1348"/>
      <c r="B122" s="1390"/>
      <c r="C122" s="419" t="s">
        <v>246</v>
      </c>
      <c r="D122" s="438"/>
      <c r="E122" s="166">
        <f>E121*E120</f>
        <v>747500</v>
      </c>
      <c r="F122" s="166">
        <f>F121*F120</f>
        <v>0</v>
      </c>
      <c r="G122" s="166">
        <f>G121*G120</f>
        <v>601400</v>
      </c>
      <c r="H122" s="167">
        <f>(E120-D120)*D121</f>
        <v>0</v>
      </c>
      <c r="I122" s="167">
        <f>SUM(D122:G122)</f>
        <v>1348900</v>
      </c>
      <c r="J122" s="168">
        <f>H122+I122</f>
        <v>1348900</v>
      </c>
      <c r="K122" s="138"/>
      <c r="L122" s="138"/>
      <c r="M122" s="138"/>
      <c r="N122" s="138"/>
      <c r="O122" s="138"/>
      <c r="P122" s="138"/>
      <c r="Q122" s="138"/>
      <c r="R122" s="136"/>
      <c r="S122" s="136"/>
      <c r="T122" s="136"/>
    </row>
    <row r="123" spans="1:20" x14ac:dyDescent="0.35">
      <c r="A123" s="1348"/>
      <c r="B123" s="1393" t="str">
        <f>+'B) Reajuste Tarifas y Ocupación'!B40</f>
        <v xml:space="preserve">Piscina niño </v>
      </c>
      <c r="C123" s="161" t="s">
        <v>398</v>
      </c>
      <c r="D123" s="1379"/>
      <c r="E123" s="173">
        <f>+'B) Reajuste Tarifas y Ocupación'!M40</f>
        <v>5100</v>
      </c>
      <c r="F123" s="173">
        <f>+'B) Reajuste Tarifas y Ocupación'!N40</f>
        <v>6800</v>
      </c>
      <c r="G123" s="173">
        <f>+'B) Reajuste Tarifas y Ocupación'!O40</f>
        <v>7400</v>
      </c>
      <c r="H123" s="1368"/>
      <c r="I123" s="1368"/>
      <c r="J123" s="1369"/>
      <c r="K123" s="138"/>
      <c r="L123" s="138"/>
      <c r="M123" s="138"/>
      <c r="N123" s="138"/>
      <c r="O123" s="138"/>
      <c r="P123" s="138"/>
      <c r="Q123" s="138"/>
      <c r="R123" s="136"/>
      <c r="S123" s="136"/>
      <c r="T123" s="136"/>
    </row>
    <row r="124" spans="1:20" x14ac:dyDescent="0.35">
      <c r="A124" s="1348"/>
      <c r="B124" s="1374"/>
      <c r="C124" s="163" t="s">
        <v>245</v>
      </c>
      <c r="D124" s="1366"/>
      <c r="E124" s="174">
        <f>+'B) Reajuste Tarifas y Ocupación'!Z40</f>
        <v>284</v>
      </c>
      <c r="F124" s="174">
        <f>+'B) Reajuste Tarifas y Ocupación'!AA40</f>
        <v>0</v>
      </c>
      <c r="G124" s="174">
        <f>+'B) Reajuste Tarifas y Ocupación'!AB40</f>
        <v>190</v>
      </c>
      <c r="H124" s="1368"/>
      <c r="I124" s="1368"/>
      <c r="J124" s="1369"/>
      <c r="K124" s="138"/>
      <c r="L124" s="138"/>
      <c r="M124" s="138"/>
      <c r="N124" s="138"/>
      <c r="O124" s="138"/>
      <c r="P124" s="138"/>
      <c r="Q124" s="138"/>
      <c r="R124" s="136"/>
      <c r="S124" s="136"/>
      <c r="T124" s="136"/>
    </row>
    <row r="125" spans="1:20" x14ac:dyDescent="0.35">
      <c r="A125" s="1348"/>
      <c r="B125" s="1375"/>
      <c r="C125" s="165" t="s">
        <v>246</v>
      </c>
      <c r="D125" s="170"/>
      <c r="E125" s="166">
        <f>E124*E123</f>
        <v>1448400</v>
      </c>
      <c r="F125" s="166">
        <f>F124*F123</f>
        <v>0</v>
      </c>
      <c r="G125" s="166">
        <f>G124*G123</f>
        <v>1406000</v>
      </c>
      <c r="H125" s="167">
        <f>(E123-D123)*D124</f>
        <v>0</v>
      </c>
      <c r="I125" s="167">
        <f>SUM(D125:G125)</f>
        <v>2854400</v>
      </c>
      <c r="J125" s="168">
        <f>H125+I125</f>
        <v>2854400</v>
      </c>
      <c r="K125" s="138"/>
      <c r="L125" s="138"/>
      <c r="M125" s="138"/>
      <c r="N125" s="138"/>
      <c r="O125" s="138"/>
      <c r="P125" s="138"/>
      <c r="Q125" s="138"/>
      <c r="R125" s="136"/>
      <c r="S125" s="136"/>
      <c r="T125" s="136"/>
    </row>
    <row r="126" spans="1:20" ht="15" thickBot="1" x14ac:dyDescent="0.4">
      <c r="A126" s="1350"/>
      <c r="B126" s="1370" t="s">
        <v>247</v>
      </c>
      <c r="C126" s="1372"/>
      <c r="D126" s="176">
        <f t="shared" ref="D126:J126" si="11">+D122+D125</f>
        <v>0</v>
      </c>
      <c r="E126" s="176">
        <f t="shared" si="11"/>
        <v>2195900</v>
      </c>
      <c r="F126" s="176">
        <f t="shared" si="11"/>
        <v>0</v>
      </c>
      <c r="G126" s="176">
        <f t="shared" si="11"/>
        <v>2007400</v>
      </c>
      <c r="H126" s="176">
        <f t="shared" si="11"/>
        <v>0</v>
      </c>
      <c r="I126" s="176">
        <f t="shared" si="11"/>
        <v>4203300</v>
      </c>
      <c r="J126" s="176">
        <f t="shared" si="11"/>
        <v>4203300</v>
      </c>
      <c r="K126" s="138"/>
      <c r="L126" s="138"/>
      <c r="M126" s="138"/>
      <c r="N126" s="138"/>
      <c r="O126" s="138"/>
      <c r="P126" s="138"/>
      <c r="Q126" s="138"/>
      <c r="R126" s="136"/>
      <c r="S126" s="136"/>
      <c r="T126" s="136"/>
    </row>
    <row r="127" spans="1:20" x14ac:dyDescent="0.35">
      <c r="A127" s="1347" t="str">
        <f>+'B) Reajuste Tarifas y Ocupación'!A41</f>
        <v>Piscina C.R. Huayquique (Gente de Mar)</v>
      </c>
      <c r="B127" s="1373" t="str">
        <f>+'B) Reajuste Tarifas y Ocupación'!B41</f>
        <v>Piscina adultos</v>
      </c>
      <c r="C127" s="161" t="s">
        <v>398</v>
      </c>
      <c r="D127" s="1395"/>
      <c r="E127" s="177">
        <f>+'B) Reajuste Tarifas y Ocupación'!M41</f>
        <v>6200</v>
      </c>
      <c r="F127" s="177">
        <f>+'B) Reajuste Tarifas y Ocupación'!N41</f>
        <v>8400</v>
      </c>
      <c r="G127" s="177">
        <f>+'B) Reajuste Tarifas y Ocupación'!O41</f>
        <v>9100</v>
      </c>
      <c r="H127" s="1354"/>
      <c r="I127" s="1354"/>
      <c r="J127" s="1356"/>
      <c r="K127" s="138"/>
      <c r="L127" s="138"/>
      <c r="M127" s="138"/>
      <c r="N127" s="138"/>
      <c r="O127" s="138"/>
      <c r="P127" s="138"/>
      <c r="Q127" s="138"/>
      <c r="R127" s="136"/>
      <c r="S127" s="136"/>
      <c r="T127" s="136"/>
    </row>
    <row r="128" spans="1:20" x14ac:dyDescent="0.35">
      <c r="A128" s="1348"/>
      <c r="B128" s="1374"/>
      <c r="C128" s="439" t="s">
        <v>245</v>
      </c>
      <c r="D128" s="1366"/>
      <c r="E128" s="174">
        <f>+'B) Reajuste Tarifas y Ocupación'!Z41</f>
        <v>394</v>
      </c>
      <c r="F128" s="174">
        <f>+'B) Reajuste Tarifas y Ocupación'!AA41</f>
        <v>0</v>
      </c>
      <c r="G128" s="174">
        <f>+'B) Reajuste Tarifas y Ocupación'!AB41</f>
        <v>106</v>
      </c>
      <c r="H128" s="1368"/>
      <c r="I128" s="1368"/>
      <c r="J128" s="1369"/>
      <c r="K128" s="138"/>
      <c r="L128" s="138"/>
      <c r="M128" s="138"/>
      <c r="N128" s="138"/>
      <c r="O128" s="138"/>
      <c r="P128" s="138"/>
      <c r="Q128" s="138"/>
      <c r="R128" s="136"/>
      <c r="S128" s="136"/>
      <c r="T128" s="136"/>
    </row>
    <row r="129" spans="1:20" ht="15" thickBot="1" x14ac:dyDescent="0.4">
      <c r="A129" s="1348"/>
      <c r="B129" s="1390"/>
      <c r="C129" s="419" t="s">
        <v>246</v>
      </c>
      <c r="D129" s="438"/>
      <c r="E129" s="166">
        <f>E128*E127</f>
        <v>2442800</v>
      </c>
      <c r="F129" s="166">
        <f>F128*F127</f>
        <v>0</v>
      </c>
      <c r="G129" s="166">
        <f>G128*G127</f>
        <v>964600</v>
      </c>
      <c r="H129" s="167">
        <f>(E127-D127)*D128</f>
        <v>0</v>
      </c>
      <c r="I129" s="167">
        <f>SUM(D129:G129)</f>
        <v>3407400</v>
      </c>
      <c r="J129" s="168">
        <f>H129+I129</f>
        <v>3407400</v>
      </c>
      <c r="K129" s="138"/>
      <c r="L129" s="138"/>
      <c r="M129" s="138"/>
      <c r="N129" s="138"/>
      <c r="O129" s="138"/>
      <c r="P129" s="138"/>
      <c r="Q129" s="138"/>
      <c r="R129" s="136"/>
      <c r="S129" s="136"/>
      <c r="T129" s="136"/>
    </row>
    <row r="130" spans="1:20" x14ac:dyDescent="0.35">
      <c r="A130" s="1348"/>
      <c r="B130" s="1393" t="str">
        <f>+'B) Reajuste Tarifas y Ocupación'!B42</f>
        <v xml:space="preserve">Piscina niño </v>
      </c>
      <c r="C130" s="161" t="s">
        <v>398</v>
      </c>
      <c r="D130" s="1379"/>
      <c r="E130" s="173">
        <f>+'B) Reajuste Tarifas y Ocupación'!M42</f>
        <v>5000</v>
      </c>
      <c r="F130" s="173">
        <f>+'B) Reajuste Tarifas y Ocupación'!N42</f>
        <v>6600</v>
      </c>
      <c r="G130" s="173">
        <f>+'B) Reajuste Tarifas y Ocupación'!O42</f>
        <v>7300</v>
      </c>
      <c r="H130" s="1368"/>
      <c r="I130" s="1368"/>
      <c r="J130" s="1369"/>
      <c r="K130" s="138"/>
      <c r="L130" s="138"/>
      <c r="M130" s="138"/>
      <c r="N130" s="138"/>
      <c r="O130" s="138"/>
      <c r="P130" s="138"/>
      <c r="Q130" s="138"/>
      <c r="R130" s="136"/>
      <c r="S130" s="136"/>
      <c r="T130" s="136"/>
    </row>
    <row r="131" spans="1:20" x14ac:dyDescent="0.35">
      <c r="A131" s="1348"/>
      <c r="B131" s="1374"/>
      <c r="C131" s="163" t="s">
        <v>245</v>
      </c>
      <c r="D131" s="1366"/>
      <c r="E131" s="174">
        <f>+'B) Reajuste Tarifas y Ocupación'!Z42</f>
        <v>687</v>
      </c>
      <c r="F131" s="174">
        <f>+'B) Reajuste Tarifas y Ocupación'!AA42</f>
        <v>0</v>
      </c>
      <c r="G131" s="174">
        <f>+'B) Reajuste Tarifas y Ocupación'!AB42</f>
        <v>283</v>
      </c>
      <c r="H131" s="1368"/>
      <c r="I131" s="1368"/>
      <c r="J131" s="1369"/>
      <c r="K131" s="138"/>
      <c r="L131" s="138"/>
      <c r="M131" s="138"/>
      <c r="N131" s="138"/>
      <c r="O131" s="138"/>
      <c r="P131" s="138"/>
      <c r="Q131" s="138"/>
      <c r="R131" s="136"/>
      <c r="S131" s="136"/>
      <c r="T131" s="136"/>
    </row>
    <row r="132" spans="1:20" x14ac:dyDescent="0.35">
      <c r="A132" s="1348"/>
      <c r="B132" s="1375"/>
      <c r="C132" s="165" t="s">
        <v>246</v>
      </c>
      <c r="D132" s="170"/>
      <c r="E132" s="166">
        <f>E131*E130</f>
        <v>3435000</v>
      </c>
      <c r="F132" s="166">
        <f>F131*F130</f>
        <v>0</v>
      </c>
      <c r="G132" s="166">
        <f>G131*G130</f>
        <v>2065900</v>
      </c>
      <c r="H132" s="167">
        <f>(E130-D130)*D131</f>
        <v>0</v>
      </c>
      <c r="I132" s="167">
        <f>SUM(D132:G132)</f>
        <v>5500900</v>
      </c>
      <c r="J132" s="168">
        <f>H132+I132</f>
        <v>5500900</v>
      </c>
      <c r="K132" s="138"/>
      <c r="L132" s="138"/>
      <c r="M132" s="138"/>
      <c r="N132" s="138"/>
      <c r="O132" s="138"/>
      <c r="P132" s="138"/>
      <c r="Q132" s="138"/>
      <c r="R132" s="136"/>
      <c r="S132" s="136"/>
      <c r="T132" s="136"/>
    </row>
    <row r="133" spans="1:20" ht="15" thickBot="1" x14ac:dyDescent="0.4">
      <c r="A133" s="1350"/>
      <c r="B133" s="1370" t="s">
        <v>247</v>
      </c>
      <c r="C133" s="1372"/>
      <c r="D133" s="176">
        <f t="shared" ref="D133:J133" si="12">+D129+D132</f>
        <v>0</v>
      </c>
      <c r="E133" s="176">
        <f t="shared" si="12"/>
        <v>5877800</v>
      </c>
      <c r="F133" s="176">
        <f t="shared" si="12"/>
        <v>0</v>
      </c>
      <c r="G133" s="176">
        <f t="shared" si="12"/>
        <v>3030500</v>
      </c>
      <c r="H133" s="176">
        <f t="shared" si="12"/>
        <v>0</v>
      </c>
      <c r="I133" s="176">
        <f t="shared" si="12"/>
        <v>8908300</v>
      </c>
      <c r="J133" s="176">
        <f t="shared" si="12"/>
        <v>8908300</v>
      </c>
      <c r="K133" s="138"/>
      <c r="L133" s="138"/>
      <c r="M133" s="138"/>
      <c r="N133" s="138"/>
      <c r="O133" s="138"/>
      <c r="P133" s="138"/>
      <c r="Q133" s="138"/>
      <c r="R133" s="136"/>
      <c r="S133" s="136"/>
      <c r="T133" s="136"/>
    </row>
    <row r="134" spans="1:20" x14ac:dyDescent="0.35">
      <c r="A134" s="1347" t="str">
        <f>+'B) Reajuste Tarifas y Ocupación'!A43</f>
        <v>Cabañas Hornitos</v>
      </c>
      <c r="B134" s="1373" t="str">
        <f>+'B) Reajuste Tarifas y Ocupación'!B43</f>
        <v>Cabaña Hornitos</v>
      </c>
      <c r="C134" s="161" t="s">
        <v>398</v>
      </c>
      <c r="D134" s="177">
        <f>+'B) Reajuste Tarifas y Ocupación'!L43</f>
        <v>43200</v>
      </c>
      <c r="E134" s="177">
        <f>+'B) Reajuste Tarifas y Ocupación'!M43</f>
        <v>66400</v>
      </c>
      <c r="F134" s="177">
        <f>+'B) Reajuste Tarifas y Ocupación'!N43</f>
        <v>90200</v>
      </c>
      <c r="G134" s="177">
        <f>+'B) Reajuste Tarifas y Ocupación'!O43</f>
        <v>97800</v>
      </c>
      <c r="H134" s="1354"/>
      <c r="I134" s="1354"/>
      <c r="J134" s="1356"/>
      <c r="K134" s="138"/>
      <c r="L134" s="138"/>
      <c r="M134" s="138"/>
      <c r="N134" s="138"/>
      <c r="O134" s="138"/>
      <c r="P134" s="138"/>
      <c r="Q134" s="138"/>
      <c r="R134" s="136"/>
      <c r="S134" s="136"/>
      <c r="T134" s="136"/>
    </row>
    <row r="135" spans="1:20" x14ac:dyDescent="0.35">
      <c r="A135" s="1348"/>
      <c r="B135" s="1374"/>
      <c r="C135" s="163" t="s">
        <v>245</v>
      </c>
      <c r="D135" s="164">
        <f>+'B) Reajuste Tarifas y Ocupación'!Y43</f>
        <v>72</v>
      </c>
      <c r="E135" s="164">
        <f>+'B) Reajuste Tarifas y Ocupación'!Z43</f>
        <v>43</v>
      </c>
      <c r="F135" s="164">
        <f>+'B) Reajuste Tarifas y Ocupación'!AA43</f>
        <v>17</v>
      </c>
      <c r="G135" s="164">
        <f>+'B) Reajuste Tarifas y Ocupación'!AB43</f>
        <v>8</v>
      </c>
      <c r="H135" s="1355"/>
      <c r="I135" s="1355"/>
      <c r="J135" s="1357"/>
      <c r="K135" s="138"/>
      <c r="L135" s="138"/>
      <c r="M135" s="138"/>
      <c r="N135" s="138"/>
      <c r="O135" s="138"/>
      <c r="P135" s="138"/>
      <c r="Q135" s="138"/>
      <c r="R135" s="136"/>
      <c r="S135" s="136"/>
      <c r="T135" s="136"/>
    </row>
    <row r="136" spans="1:20" x14ac:dyDescent="0.35">
      <c r="A136" s="1348"/>
      <c r="B136" s="1375"/>
      <c r="C136" s="165" t="s">
        <v>246</v>
      </c>
      <c r="D136" s="166">
        <f>D135*D134</f>
        <v>3110400</v>
      </c>
      <c r="E136" s="166">
        <f>E135*E134</f>
        <v>2855200</v>
      </c>
      <c r="F136" s="166">
        <f>F135*F134</f>
        <v>1533400</v>
      </c>
      <c r="G136" s="166">
        <f>G135*G134</f>
        <v>782400</v>
      </c>
      <c r="H136" s="167">
        <f>(E134-D134)*D135</f>
        <v>1670400</v>
      </c>
      <c r="I136" s="167">
        <f>SUM(D136:G136)</f>
        <v>8281400</v>
      </c>
      <c r="J136" s="168">
        <f>H136+I136</f>
        <v>9951800</v>
      </c>
      <c r="K136" s="138"/>
      <c r="L136" s="138"/>
      <c r="M136" s="138"/>
      <c r="N136" s="138"/>
      <c r="O136" s="138"/>
      <c r="P136" s="138"/>
      <c r="Q136" s="138"/>
      <c r="R136" s="136"/>
      <c r="S136" s="136"/>
      <c r="T136" s="136"/>
    </row>
    <row r="137" spans="1:20" x14ac:dyDescent="0.35">
      <c r="A137" s="1348"/>
      <c r="B137" s="1376" t="str">
        <f>+'B) Reajuste Tarifas y Ocupación'!B44</f>
        <v>Early check-in/Late check-out</v>
      </c>
      <c r="C137" s="1379"/>
      <c r="D137" s="1379"/>
      <c r="E137" s="1379"/>
      <c r="F137" s="1379"/>
      <c r="G137" s="1379"/>
      <c r="H137" s="1368"/>
      <c r="I137" s="1368"/>
      <c r="J137" s="1399"/>
      <c r="K137" s="138"/>
      <c r="L137" s="138"/>
      <c r="M137" s="138"/>
      <c r="N137" s="138"/>
      <c r="O137" s="138"/>
      <c r="P137" s="138"/>
      <c r="Q137" s="138"/>
      <c r="R137" s="136"/>
      <c r="S137" s="136"/>
      <c r="T137" s="136"/>
    </row>
    <row r="138" spans="1:20" x14ac:dyDescent="0.35">
      <c r="A138" s="1348"/>
      <c r="B138" s="1377"/>
      <c r="C138" s="1365"/>
      <c r="D138" s="1366"/>
      <c r="E138" s="1366"/>
      <c r="F138" s="1366"/>
      <c r="G138" s="1366"/>
      <c r="H138" s="1368"/>
      <c r="I138" s="1368"/>
      <c r="J138" s="1399"/>
      <c r="K138" s="138"/>
      <c r="L138" s="138"/>
      <c r="M138" s="138"/>
      <c r="N138" s="138"/>
      <c r="O138" s="138"/>
      <c r="P138" s="138"/>
      <c r="Q138" s="138"/>
      <c r="R138" s="136"/>
      <c r="S138" s="136"/>
      <c r="T138" s="136"/>
    </row>
    <row r="139" spans="1:20" ht="15" thickBot="1" x14ac:dyDescent="0.4">
      <c r="A139" s="1348"/>
      <c r="B139" s="1396"/>
      <c r="C139" s="413"/>
      <c r="D139" s="438"/>
      <c r="E139" s="170"/>
      <c r="F139" s="170"/>
      <c r="G139" s="170"/>
      <c r="H139" s="171"/>
      <c r="I139" s="171"/>
      <c r="J139" s="171"/>
      <c r="K139" s="138"/>
      <c r="L139" s="138"/>
      <c r="M139" s="138"/>
      <c r="N139" s="138"/>
      <c r="O139" s="138"/>
      <c r="P139" s="138"/>
      <c r="Q139" s="138"/>
      <c r="R139" s="136"/>
      <c r="S139" s="136"/>
      <c r="T139" s="136"/>
    </row>
    <row r="140" spans="1:20" x14ac:dyDescent="0.35">
      <c r="A140" s="1348"/>
      <c r="B140" s="1397" t="str">
        <f>+'B) Reajuste Tarifas y Ocupación'!B45</f>
        <v>Cabaña Hornitos</v>
      </c>
      <c r="C140" s="161" t="s">
        <v>398</v>
      </c>
      <c r="D140" s="1379"/>
      <c r="E140" s="173">
        <f>+'B) Reajuste Tarifas y Ocupación'!M45</f>
        <v>20000</v>
      </c>
      <c r="F140" s="173">
        <f>+'B) Reajuste Tarifas y Ocupación'!N45</f>
        <v>27100</v>
      </c>
      <c r="G140" s="173">
        <f>+'B) Reajuste Tarifas y Ocupación'!O45</f>
        <v>29400</v>
      </c>
      <c r="H140" s="1368"/>
      <c r="I140" s="1368"/>
      <c r="J140" s="1369"/>
      <c r="K140" s="138"/>
      <c r="L140" s="138"/>
      <c r="M140" s="138"/>
      <c r="N140" s="138"/>
      <c r="O140" s="138"/>
      <c r="P140" s="138"/>
      <c r="Q140" s="138"/>
      <c r="R140" s="136"/>
      <c r="S140" s="136"/>
      <c r="T140" s="136"/>
    </row>
    <row r="141" spans="1:20" x14ac:dyDescent="0.35">
      <c r="A141" s="1348"/>
      <c r="B141" s="1398"/>
      <c r="C141" s="163" t="s">
        <v>245</v>
      </c>
      <c r="D141" s="1366"/>
      <c r="E141" s="174">
        <f>+'B) Reajuste Tarifas y Ocupación'!Z45</f>
        <v>0</v>
      </c>
      <c r="F141" s="174">
        <f>+'B) Reajuste Tarifas y Ocupación'!AA45</f>
        <v>0</v>
      </c>
      <c r="G141" s="174">
        <f>+'B) Reajuste Tarifas y Ocupación'!AB45</f>
        <v>0</v>
      </c>
      <c r="H141" s="1368"/>
      <c r="I141" s="1368"/>
      <c r="J141" s="1369"/>
      <c r="K141" s="138"/>
      <c r="L141" s="138"/>
      <c r="M141" s="138"/>
      <c r="N141" s="138"/>
      <c r="O141" s="138"/>
      <c r="P141" s="138"/>
      <c r="Q141" s="138"/>
      <c r="R141" s="136"/>
      <c r="S141" s="136"/>
      <c r="T141" s="136"/>
    </row>
    <row r="142" spans="1:20" x14ac:dyDescent="0.35">
      <c r="A142" s="1348"/>
      <c r="B142" s="1386"/>
      <c r="C142" s="165" t="s">
        <v>246</v>
      </c>
      <c r="D142" s="170"/>
      <c r="E142" s="166">
        <f>E141*E140</f>
        <v>0</v>
      </c>
      <c r="F142" s="166">
        <f>F141*F140</f>
        <v>0</v>
      </c>
      <c r="G142" s="166">
        <f>G141*G140</f>
        <v>0</v>
      </c>
      <c r="H142" s="167">
        <f>(E140-D140)*D141</f>
        <v>0</v>
      </c>
      <c r="I142" s="167">
        <f>SUM(D142:G142)</f>
        <v>0</v>
      </c>
      <c r="J142" s="168">
        <f>H142+I142</f>
        <v>0</v>
      </c>
      <c r="K142" s="138"/>
      <c r="L142" s="138"/>
      <c r="M142" s="138"/>
      <c r="N142" s="138"/>
      <c r="O142" s="138"/>
      <c r="P142" s="138"/>
      <c r="Q142" s="138"/>
      <c r="R142" s="136"/>
      <c r="S142" s="136"/>
      <c r="T142" s="136"/>
    </row>
    <row r="143" spans="1:20" ht="15" thickBot="1" x14ac:dyDescent="0.4">
      <c r="A143" s="1350"/>
      <c r="B143" s="1370" t="s">
        <v>247</v>
      </c>
      <c r="C143" s="1372"/>
      <c r="D143" s="176">
        <f t="shared" ref="D143:J143" si="13">SUM(D136,D139,D142)</f>
        <v>3110400</v>
      </c>
      <c r="E143" s="176">
        <f t="shared" si="13"/>
        <v>2855200</v>
      </c>
      <c r="F143" s="176">
        <f t="shared" si="13"/>
        <v>1533400</v>
      </c>
      <c r="G143" s="176">
        <f t="shared" si="13"/>
        <v>782400</v>
      </c>
      <c r="H143" s="176">
        <f t="shared" si="13"/>
        <v>1670400</v>
      </c>
      <c r="I143" s="176">
        <f t="shared" si="13"/>
        <v>8281400</v>
      </c>
      <c r="J143" s="176">
        <f t="shared" si="13"/>
        <v>9951800</v>
      </c>
      <c r="K143" s="138"/>
      <c r="L143" s="138"/>
      <c r="M143" s="138"/>
      <c r="N143" s="138"/>
      <c r="O143" s="138"/>
      <c r="P143" s="138"/>
      <c r="Q143" s="138"/>
      <c r="R143" s="136"/>
      <c r="S143" s="136"/>
      <c r="T143" s="136"/>
    </row>
    <row r="144" spans="1:20" x14ac:dyDescent="0.35">
      <c r="A144" s="1347" t="str">
        <f>+'B) Reajuste Tarifas y Ocupación'!A46</f>
        <v>C. H. Rada Iquique</v>
      </c>
      <c r="B144" s="1351" t="str">
        <f>+'B) Reajuste Tarifas y Ocupación'!B46</f>
        <v>Simple</v>
      </c>
      <c r="C144" s="161" t="s">
        <v>398</v>
      </c>
      <c r="D144" s="177">
        <f>+'B) Reajuste Tarifas y Ocupación'!L46</f>
        <v>26900</v>
      </c>
      <c r="E144" s="177">
        <f>+'B) Reajuste Tarifas y Ocupación'!M46</f>
        <v>41300</v>
      </c>
      <c r="F144" s="177">
        <f>+'B) Reajuste Tarifas y Ocupación'!N46</f>
        <v>56200</v>
      </c>
      <c r="G144" s="177">
        <f>+'B) Reajuste Tarifas y Ocupación'!O46</f>
        <v>60900</v>
      </c>
      <c r="H144" s="1354"/>
      <c r="I144" s="1354"/>
      <c r="J144" s="1356"/>
      <c r="K144" s="138"/>
      <c r="L144" s="138"/>
      <c r="M144" s="138"/>
      <c r="N144" s="138"/>
      <c r="O144" s="138"/>
      <c r="P144" s="138"/>
      <c r="Q144" s="138"/>
      <c r="R144" s="136"/>
      <c r="S144" s="136"/>
      <c r="T144" s="136"/>
    </row>
    <row r="145" spans="1:20" x14ac:dyDescent="0.35">
      <c r="A145" s="1348"/>
      <c r="B145" s="1352"/>
      <c r="C145" s="439" t="s">
        <v>245</v>
      </c>
      <c r="D145" s="164">
        <f>+'B) Reajuste Tarifas y Ocupación'!Y46</f>
        <v>198</v>
      </c>
      <c r="E145" s="164">
        <f>+'B) Reajuste Tarifas y Ocupación'!Z46</f>
        <v>21</v>
      </c>
      <c r="F145" s="164">
        <f>+'B) Reajuste Tarifas y Ocupación'!AA46</f>
        <v>1</v>
      </c>
      <c r="G145" s="164">
        <f>+'B) Reajuste Tarifas y Ocupación'!AB46</f>
        <v>0</v>
      </c>
      <c r="H145" s="1355"/>
      <c r="I145" s="1355"/>
      <c r="J145" s="1357"/>
      <c r="K145" s="138"/>
      <c r="L145" s="138"/>
      <c r="M145" s="138"/>
      <c r="N145" s="138"/>
      <c r="O145" s="138"/>
      <c r="P145" s="138"/>
      <c r="Q145" s="138"/>
      <c r="R145" s="136"/>
      <c r="S145" s="136"/>
      <c r="T145" s="136"/>
    </row>
    <row r="146" spans="1:20" ht="15" thickBot="1" x14ac:dyDescent="0.4">
      <c r="A146" s="1348"/>
      <c r="B146" s="1382"/>
      <c r="C146" s="419" t="s">
        <v>246</v>
      </c>
      <c r="D146" s="424">
        <f>D145*D144</f>
        <v>5326200</v>
      </c>
      <c r="E146" s="166">
        <f>E145*E144</f>
        <v>867300</v>
      </c>
      <c r="F146" s="166">
        <f>F145*F144</f>
        <v>56200</v>
      </c>
      <c r="G146" s="166">
        <f>G145*G144</f>
        <v>0</v>
      </c>
      <c r="H146" s="167">
        <f>(E144-D144)*D145</f>
        <v>2851200</v>
      </c>
      <c r="I146" s="167">
        <f>SUM(D146:G146)</f>
        <v>6249700</v>
      </c>
      <c r="J146" s="168">
        <f>H146+I146</f>
        <v>9100900</v>
      </c>
      <c r="K146" s="138"/>
      <c r="L146" s="138"/>
      <c r="M146" s="138"/>
      <c r="N146" s="138"/>
      <c r="O146" s="138"/>
      <c r="P146" s="138"/>
      <c r="Q146" s="138"/>
      <c r="R146" s="136"/>
      <c r="S146" s="136"/>
      <c r="T146" s="136"/>
    </row>
    <row r="147" spans="1:20" x14ac:dyDescent="0.35">
      <c r="A147" s="1348"/>
      <c r="B147" s="1383" t="str">
        <f>+'B) Reajuste Tarifas y Ocupación'!B47</f>
        <v>Doble</v>
      </c>
      <c r="C147" s="161" t="s">
        <v>398</v>
      </c>
      <c r="D147" s="430">
        <f>+'B) Reajuste Tarifas y Ocupación'!L47</f>
        <v>34300</v>
      </c>
      <c r="E147" s="175">
        <f>+'B) Reajuste Tarifas y Ocupación'!M47</f>
        <v>52700</v>
      </c>
      <c r="F147" s="175">
        <f>+'B) Reajuste Tarifas y Ocupación'!N47</f>
        <v>71700</v>
      </c>
      <c r="G147" s="175">
        <f>+'B) Reajuste Tarifas y Ocupación'!O47</f>
        <v>77700</v>
      </c>
      <c r="H147" s="1391"/>
      <c r="I147" s="1391"/>
      <c r="J147" s="1392"/>
      <c r="K147" s="138"/>
      <c r="L147" s="138"/>
      <c r="M147" s="138"/>
      <c r="N147" s="138"/>
      <c r="O147" s="138"/>
      <c r="P147" s="138"/>
      <c r="Q147" s="138"/>
      <c r="R147" s="136"/>
      <c r="S147" s="136"/>
      <c r="T147" s="136"/>
    </row>
    <row r="148" spans="1:20" x14ac:dyDescent="0.35">
      <c r="A148" s="1348"/>
      <c r="B148" s="1381"/>
      <c r="C148" s="416" t="s">
        <v>245</v>
      </c>
      <c r="D148" s="423">
        <f>+'B) Reajuste Tarifas y Ocupación'!Y47</f>
        <v>461</v>
      </c>
      <c r="E148" s="174">
        <f>+'B) Reajuste Tarifas y Ocupación'!Z47</f>
        <v>47</v>
      </c>
      <c r="F148" s="174">
        <f>+'B) Reajuste Tarifas y Ocupación'!AA47</f>
        <v>0</v>
      </c>
      <c r="G148" s="174">
        <f>+'B) Reajuste Tarifas y Ocupación'!AB47</f>
        <v>0</v>
      </c>
      <c r="H148" s="1368"/>
      <c r="I148" s="1368"/>
      <c r="J148" s="1369"/>
      <c r="K148" s="138"/>
      <c r="L148" s="138"/>
      <c r="M148" s="138"/>
      <c r="N148" s="138"/>
      <c r="O148" s="138"/>
      <c r="P148" s="138"/>
      <c r="Q148" s="138"/>
      <c r="R148" s="136"/>
      <c r="S148" s="136"/>
      <c r="T148" s="136"/>
    </row>
    <row r="149" spans="1:20" ht="15" thickBot="1" x14ac:dyDescent="0.4">
      <c r="A149" s="1348"/>
      <c r="B149" s="1382"/>
      <c r="C149" s="419" t="s">
        <v>246</v>
      </c>
      <c r="D149" s="424">
        <f>D148*D147</f>
        <v>15812300</v>
      </c>
      <c r="E149" s="166">
        <f>E148*E147</f>
        <v>2476900</v>
      </c>
      <c r="F149" s="166">
        <f>F148*F147</f>
        <v>0</v>
      </c>
      <c r="G149" s="166">
        <f>G148*G147</f>
        <v>0</v>
      </c>
      <c r="H149" s="167">
        <f>(E147-D147)*D148</f>
        <v>8482400</v>
      </c>
      <c r="I149" s="167">
        <f>SUM(D149:G149)</f>
        <v>18289200</v>
      </c>
      <c r="J149" s="168">
        <f>H149+I149</f>
        <v>26771600</v>
      </c>
      <c r="K149" s="138"/>
      <c r="L149" s="138"/>
      <c r="M149" s="138"/>
      <c r="N149" s="138"/>
      <c r="O149" s="138"/>
      <c r="P149" s="138"/>
      <c r="Q149" s="138"/>
      <c r="R149" s="136"/>
      <c r="S149" s="136"/>
      <c r="T149" s="136"/>
    </row>
    <row r="150" spans="1:20" x14ac:dyDescent="0.35">
      <c r="A150" s="1348"/>
      <c r="B150" s="1383" t="str">
        <f>+'B) Reajuste Tarifas y Ocupación'!B48</f>
        <v>Matrimonial</v>
      </c>
      <c r="C150" s="161" t="s">
        <v>398</v>
      </c>
      <c r="D150" s="425">
        <f>+'B) Reajuste Tarifas y Ocupación'!L48</f>
        <v>34300</v>
      </c>
      <c r="E150" s="173">
        <f>+'B) Reajuste Tarifas y Ocupación'!M48</f>
        <v>52700</v>
      </c>
      <c r="F150" s="173">
        <f>+'B) Reajuste Tarifas y Ocupación'!N48</f>
        <v>71700</v>
      </c>
      <c r="G150" s="173">
        <f>+'B) Reajuste Tarifas y Ocupación'!O48</f>
        <v>77700</v>
      </c>
      <c r="H150" s="1368"/>
      <c r="I150" s="1368"/>
      <c r="J150" s="1369"/>
      <c r="K150" s="138"/>
      <c r="L150" s="138"/>
      <c r="M150" s="138"/>
      <c r="N150" s="138"/>
      <c r="O150" s="138"/>
      <c r="P150" s="138"/>
      <c r="Q150" s="138"/>
      <c r="R150" s="136"/>
      <c r="S150" s="136"/>
      <c r="T150" s="136"/>
    </row>
    <row r="151" spans="1:20" x14ac:dyDescent="0.35">
      <c r="A151" s="1348"/>
      <c r="B151" s="1381"/>
      <c r="C151" s="416" t="s">
        <v>245</v>
      </c>
      <c r="D151" s="423">
        <f>+'B) Reajuste Tarifas y Ocupación'!Y48</f>
        <v>278</v>
      </c>
      <c r="E151" s="174">
        <f>+'B) Reajuste Tarifas y Ocupación'!Z48</f>
        <v>32</v>
      </c>
      <c r="F151" s="174">
        <f>+'B) Reajuste Tarifas y Ocupación'!AA48</f>
        <v>1</v>
      </c>
      <c r="G151" s="174">
        <f>+'B) Reajuste Tarifas y Ocupación'!AB48</f>
        <v>0</v>
      </c>
      <c r="H151" s="1368"/>
      <c r="I151" s="1368"/>
      <c r="J151" s="1369"/>
      <c r="K151" s="138"/>
      <c r="L151" s="138"/>
      <c r="M151" s="138"/>
      <c r="N151" s="138"/>
      <c r="O151" s="138"/>
      <c r="P151" s="138"/>
      <c r="Q151" s="138"/>
      <c r="R151" s="136"/>
      <c r="S151" s="136"/>
      <c r="T151" s="136"/>
    </row>
    <row r="152" spans="1:20" ht="15" thickBot="1" x14ac:dyDescent="0.4">
      <c r="A152" s="1348"/>
      <c r="B152" s="1382"/>
      <c r="C152" s="419" t="s">
        <v>246</v>
      </c>
      <c r="D152" s="424">
        <f>D151*D150</f>
        <v>9535400</v>
      </c>
      <c r="E152" s="166">
        <f>E151*E150</f>
        <v>1686400</v>
      </c>
      <c r="F152" s="166">
        <f>F151*F150</f>
        <v>71700</v>
      </c>
      <c r="G152" s="166">
        <f>G151*G150</f>
        <v>0</v>
      </c>
      <c r="H152" s="167">
        <f>(E150-D150)*D151</f>
        <v>5115200</v>
      </c>
      <c r="I152" s="167">
        <f>SUM(D152:G152)</f>
        <v>11293500</v>
      </c>
      <c r="J152" s="168">
        <f>H152+I152</f>
        <v>16408700</v>
      </c>
      <c r="K152" s="138"/>
      <c r="L152" s="138"/>
      <c r="M152" s="138"/>
      <c r="N152" s="138"/>
      <c r="O152" s="138"/>
      <c r="P152" s="138"/>
      <c r="Q152" s="138"/>
      <c r="R152" s="136"/>
      <c r="S152" s="136"/>
      <c r="T152" s="136"/>
    </row>
    <row r="153" spans="1:20" x14ac:dyDescent="0.35">
      <c r="A153" s="1348"/>
      <c r="B153" s="1383" t="str">
        <f>+'B) Reajuste Tarifas y Ocupación'!B49</f>
        <v>Matrimonial + Camarote (Familiar)</v>
      </c>
      <c r="C153" s="161" t="s">
        <v>398</v>
      </c>
      <c r="D153" s="425">
        <f>+'B) Reajuste Tarifas y Ocupación'!L49</f>
        <v>51100</v>
      </c>
      <c r="E153" s="173">
        <f>+'B) Reajuste Tarifas y Ocupación'!M49</f>
        <v>78500</v>
      </c>
      <c r="F153" s="173">
        <f>+'B) Reajuste Tarifas y Ocupación'!N49</f>
        <v>106800</v>
      </c>
      <c r="G153" s="173">
        <f>+'B) Reajuste Tarifas y Ocupación'!O49</f>
        <v>115700</v>
      </c>
      <c r="H153" s="1368"/>
      <c r="I153" s="1368"/>
      <c r="J153" s="1369"/>
      <c r="K153" s="138"/>
      <c r="L153" s="138"/>
      <c r="M153" s="138"/>
      <c r="N153" s="138"/>
      <c r="O153" s="138"/>
      <c r="P153" s="138"/>
      <c r="Q153" s="138"/>
      <c r="R153" s="136"/>
      <c r="S153" s="136"/>
      <c r="T153" s="136"/>
    </row>
    <row r="154" spans="1:20" x14ac:dyDescent="0.35">
      <c r="A154" s="1348"/>
      <c r="B154" s="1381"/>
      <c r="C154" s="416" t="s">
        <v>245</v>
      </c>
      <c r="D154" s="423">
        <f>+'B) Reajuste Tarifas y Ocupación'!Y49</f>
        <v>186</v>
      </c>
      <c r="E154" s="174">
        <f>+'B) Reajuste Tarifas y Ocupación'!Z49</f>
        <v>25</v>
      </c>
      <c r="F154" s="174">
        <f>+'B) Reajuste Tarifas y Ocupación'!AA49</f>
        <v>0</v>
      </c>
      <c r="G154" s="174">
        <f>+'B) Reajuste Tarifas y Ocupación'!AB49</f>
        <v>0</v>
      </c>
      <c r="H154" s="1368"/>
      <c r="I154" s="1368"/>
      <c r="J154" s="1369"/>
      <c r="K154" s="138"/>
      <c r="L154" s="138"/>
      <c r="M154" s="138"/>
      <c r="N154" s="138"/>
      <c r="O154" s="138"/>
      <c r="P154" s="138"/>
      <c r="Q154" s="138"/>
      <c r="R154" s="136"/>
      <c r="S154" s="136"/>
      <c r="T154" s="136"/>
    </row>
    <row r="155" spans="1:20" ht="15" thickBot="1" x14ac:dyDescent="0.4">
      <c r="A155" s="1348"/>
      <c r="B155" s="1382"/>
      <c r="C155" s="419" t="s">
        <v>246</v>
      </c>
      <c r="D155" s="424">
        <f>D154*D153</f>
        <v>9504600</v>
      </c>
      <c r="E155" s="166">
        <f>E154*E153</f>
        <v>1962500</v>
      </c>
      <c r="F155" s="166">
        <f>F154*F153</f>
        <v>0</v>
      </c>
      <c r="G155" s="166">
        <f>G154*G153</f>
        <v>0</v>
      </c>
      <c r="H155" s="167">
        <f>(E153-D153)*D154</f>
        <v>5096400</v>
      </c>
      <c r="I155" s="167">
        <f>SUM(D155:G155)</f>
        <v>11467100</v>
      </c>
      <c r="J155" s="168">
        <f>H155+I155</f>
        <v>16563500</v>
      </c>
      <c r="K155" s="138"/>
      <c r="L155" s="138"/>
      <c r="M155" s="138"/>
      <c r="N155" s="138"/>
      <c r="O155" s="138"/>
      <c r="P155" s="138"/>
      <c r="Q155" s="138"/>
      <c r="R155" s="136"/>
      <c r="S155" s="136"/>
      <c r="T155" s="136"/>
    </row>
    <row r="156" spans="1:20" x14ac:dyDescent="0.35">
      <c r="A156" s="1348"/>
      <c r="B156" s="1383" t="str">
        <f>+'B) Reajuste Tarifas y Ocupación'!B50</f>
        <v>Superior</v>
      </c>
      <c r="C156" s="161" t="s">
        <v>398</v>
      </c>
      <c r="D156" s="425">
        <f>+'B) Reajuste Tarifas y Ocupación'!L50</f>
        <v>40000</v>
      </c>
      <c r="E156" s="173">
        <f>+'B) Reajuste Tarifas y Ocupación'!M50</f>
        <v>61500</v>
      </c>
      <c r="F156" s="173">
        <f>+'B) Reajuste Tarifas y Ocupación'!N50</f>
        <v>83600</v>
      </c>
      <c r="G156" s="173">
        <f>+'B) Reajuste Tarifas y Ocupación'!O50</f>
        <v>90700</v>
      </c>
      <c r="H156" s="1368"/>
      <c r="I156" s="1368"/>
      <c r="J156" s="1369"/>
      <c r="K156" s="138"/>
      <c r="L156" s="138"/>
      <c r="M156" s="138"/>
      <c r="N156" s="138"/>
      <c r="O156" s="138"/>
      <c r="P156" s="138"/>
      <c r="Q156" s="138"/>
      <c r="R156" s="136"/>
      <c r="S156" s="136"/>
      <c r="T156" s="136"/>
    </row>
    <row r="157" spans="1:20" x14ac:dyDescent="0.35">
      <c r="A157" s="1348"/>
      <c r="B157" s="1381"/>
      <c r="C157" s="416" t="s">
        <v>245</v>
      </c>
      <c r="D157" s="423">
        <f>+'B) Reajuste Tarifas y Ocupación'!Y50</f>
        <v>89</v>
      </c>
      <c r="E157" s="174">
        <f>+'B) Reajuste Tarifas y Ocupación'!Z50</f>
        <v>12</v>
      </c>
      <c r="F157" s="174">
        <f>+'B) Reajuste Tarifas y Ocupación'!AA50</f>
        <v>0</v>
      </c>
      <c r="G157" s="174">
        <f>+'B) Reajuste Tarifas y Ocupación'!AB50</f>
        <v>0</v>
      </c>
      <c r="H157" s="1368"/>
      <c r="I157" s="1368"/>
      <c r="J157" s="1369"/>
      <c r="K157" s="138"/>
      <c r="L157" s="138"/>
      <c r="M157" s="138"/>
      <c r="N157" s="138"/>
      <c r="O157" s="138"/>
      <c r="P157" s="138"/>
      <c r="Q157" s="138"/>
      <c r="R157" s="136"/>
      <c r="S157" s="136"/>
      <c r="T157" s="136"/>
    </row>
    <row r="158" spans="1:20" ht="15" thickBot="1" x14ac:dyDescent="0.4">
      <c r="A158" s="1348"/>
      <c r="B158" s="1382"/>
      <c r="C158" s="419" t="s">
        <v>246</v>
      </c>
      <c r="D158" s="424"/>
      <c r="E158" s="166">
        <f>E157*E156</f>
        <v>738000</v>
      </c>
      <c r="F158" s="166">
        <f>F157*F156</f>
        <v>0</v>
      </c>
      <c r="G158" s="166">
        <f>G157*G156</f>
        <v>0</v>
      </c>
      <c r="H158" s="167">
        <f>(E156-D156)*D157</f>
        <v>1913500</v>
      </c>
      <c r="I158" s="167">
        <f>SUM(D158:G158)</f>
        <v>738000</v>
      </c>
      <c r="J158" s="168">
        <f>H158+I158</f>
        <v>2651500</v>
      </c>
      <c r="K158" s="138"/>
      <c r="L158" s="138"/>
      <c r="M158" s="138"/>
      <c r="N158" s="138"/>
      <c r="O158" s="138"/>
      <c r="P158" s="138"/>
      <c r="Q158" s="138"/>
      <c r="R158" s="136"/>
      <c r="S158" s="136"/>
      <c r="T158" s="136"/>
    </row>
    <row r="159" spans="1:20" x14ac:dyDescent="0.35">
      <c r="A159" s="1348"/>
      <c r="B159" s="1383" t="str">
        <f>+'B) Reajuste Tarifas y Ocupación'!B51</f>
        <v>Sofá cama adiciona (Hasta 7 años)</v>
      </c>
      <c r="C159" s="161" t="s">
        <v>398</v>
      </c>
      <c r="D159" s="425">
        <f>+'B) Reajuste Tarifas y Ocupación'!L51</f>
        <v>11000</v>
      </c>
      <c r="E159" s="173">
        <f>+'B) Reajuste Tarifas y Ocupación'!M51</f>
        <v>16800</v>
      </c>
      <c r="F159" s="173">
        <f>+'B) Reajuste Tarifas y Ocupación'!N51</f>
        <v>22800</v>
      </c>
      <c r="G159" s="173">
        <f>+'B) Reajuste Tarifas y Ocupación'!O51</f>
        <v>24700</v>
      </c>
      <c r="H159" s="1368"/>
      <c r="I159" s="1368"/>
      <c r="J159" s="1369"/>
      <c r="K159" s="138"/>
      <c r="L159" s="138"/>
      <c r="M159" s="138"/>
      <c r="N159" s="138"/>
      <c r="O159" s="138"/>
      <c r="P159" s="138"/>
      <c r="Q159" s="138"/>
      <c r="R159" s="136"/>
      <c r="S159" s="136"/>
      <c r="T159" s="136"/>
    </row>
    <row r="160" spans="1:20" x14ac:dyDescent="0.35">
      <c r="A160" s="1348"/>
      <c r="B160" s="1352"/>
      <c r="C160" s="411" t="s">
        <v>245</v>
      </c>
      <c r="D160" s="174">
        <f>+'B) Reajuste Tarifas y Ocupación'!Y51</f>
        <v>8</v>
      </c>
      <c r="E160" s="174">
        <f>+'B) Reajuste Tarifas y Ocupación'!Z51</f>
        <v>0</v>
      </c>
      <c r="F160" s="174">
        <f>+'B) Reajuste Tarifas y Ocupación'!AA51</f>
        <v>0</v>
      </c>
      <c r="G160" s="174">
        <f>+'B) Reajuste Tarifas y Ocupación'!AB51</f>
        <v>0</v>
      </c>
      <c r="H160" s="1368"/>
      <c r="I160" s="1368"/>
      <c r="J160" s="1369"/>
      <c r="K160" s="138"/>
      <c r="L160" s="138"/>
      <c r="M160" s="138"/>
      <c r="N160" s="138"/>
      <c r="O160" s="138"/>
      <c r="P160" s="138"/>
      <c r="Q160" s="138"/>
      <c r="R160" s="136"/>
      <c r="S160" s="136"/>
      <c r="T160" s="136"/>
    </row>
    <row r="161" spans="1:20" x14ac:dyDescent="0.35">
      <c r="A161" s="1348"/>
      <c r="B161" s="1364"/>
      <c r="C161" s="165" t="s">
        <v>246</v>
      </c>
      <c r="D161" s="166">
        <f>D160*D159</f>
        <v>88000</v>
      </c>
      <c r="E161" s="166">
        <f>E160*E159</f>
        <v>0</v>
      </c>
      <c r="F161" s="166">
        <f>F160*F159</f>
        <v>0</v>
      </c>
      <c r="G161" s="166">
        <f>G160*G159</f>
        <v>0</v>
      </c>
      <c r="H161" s="167">
        <f>(E159-D159)*D160</f>
        <v>46400</v>
      </c>
      <c r="I161" s="167">
        <f>SUM(D161:G161)</f>
        <v>88000</v>
      </c>
      <c r="J161" s="168">
        <f>H161+I161</f>
        <v>134400</v>
      </c>
      <c r="K161" s="138"/>
      <c r="L161" s="138"/>
      <c r="M161" s="138"/>
      <c r="N161" s="138"/>
      <c r="O161" s="138"/>
      <c r="P161" s="138"/>
      <c r="Q161" s="138"/>
      <c r="R161" s="136"/>
      <c r="S161" s="136"/>
      <c r="T161" s="136"/>
    </row>
    <row r="162" spans="1:20" x14ac:dyDescent="0.35">
      <c r="A162" s="1348"/>
      <c r="B162" s="1402" t="str">
        <f>+'B) Reajuste Tarifas y Ocupación'!B52</f>
        <v>Late check-out o early check-in</v>
      </c>
      <c r="C162" s="1379"/>
      <c r="D162" s="1379"/>
      <c r="E162" s="1379"/>
      <c r="F162" s="1379"/>
      <c r="G162" s="1379"/>
      <c r="H162" s="1368"/>
      <c r="I162" s="1368"/>
      <c r="J162" s="1387"/>
      <c r="K162" s="138"/>
      <c r="L162" s="138"/>
      <c r="M162" s="138"/>
      <c r="N162" s="138"/>
      <c r="O162" s="138"/>
      <c r="P162" s="138"/>
      <c r="Q162" s="138"/>
      <c r="R162" s="136"/>
      <c r="S162" s="136"/>
      <c r="T162" s="136"/>
    </row>
    <row r="163" spans="1:20" x14ac:dyDescent="0.35">
      <c r="A163" s="1348"/>
      <c r="B163" s="1403"/>
      <c r="C163" s="1366"/>
      <c r="D163" s="1366"/>
      <c r="E163" s="1366"/>
      <c r="F163" s="1366"/>
      <c r="G163" s="1366"/>
      <c r="H163" s="1368"/>
      <c r="I163" s="1368"/>
      <c r="J163" s="1387"/>
      <c r="K163" s="138"/>
      <c r="L163" s="138"/>
      <c r="M163" s="138"/>
      <c r="N163" s="138"/>
      <c r="O163" s="138"/>
      <c r="P163" s="138"/>
      <c r="Q163" s="138"/>
      <c r="R163" s="136"/>
      <c r="S163" s="136"/>
      <c r="T163" s="136"/>
    </row>
    <row r="164" spans="1:20" ht="15" thickBot="1" x14ac:dyDescent="0.4">
      <c r="A164" s="1348"/>
      <c r="B164" s="1404"/>
      <c r="C164" s="169"/>
      <c r="D164" s="170"/>
      <c r="E164" s="170"/>
      <c r="F164" s="170"/>
      <c r="G164" s="170"/>
      <c r="H164" s="171"/>
      <c r="I164" s="171"/>
      <c r="J164" s="172"/>
      <c r="K164" s="138"/>
      <c r="L164" s="138"/>
      <c r="M164" s="138"/>
      <c r="N164" s="138"/>
      <c r="O164" s="138"/>
      <c r="P164" s="138"/>
      <c r="Q164" s="138"/>
      <c r="R164" s="136"/>
      <c r="S164" s="136"/>
      <c r="T164" s="136"/>
    </row>
    <row r="165" spans="1:20" x14ac:dyDescent="0.35">
      <c r="A165" s="1348"/>
      <c r="B165" s="1397" t="str">
        <f>+'B) Reajuste Tarifas y Ocupación'!B53</f>
        <v>Simple</v>
      </c>
      <c r="C165" s="161" t="s">
        <v>398</v>
      </c>
      <c r="D165" s="1379"/>
      <c r="E165" s="173">
        <f>+'B) Reajuste Tarifas y Ocupación'!M53</f>
        <v>12400</v>
      </c>
      <c r="F165" s="173">
        <f>+'B) Reajuste Tarifas y Ocupación'!N53</f>
        <v>16900</v>
      </c>
      <c r="G165" s="173">
        <f>+'B) Reajuste Tarifas y Ocupación'!O53</f>
        <v>18300</v>
      </c>
      <c r="H165" s="1368"/>
      <c r="I165" s="1368"/>
      <c r="J165" s="1369"/>
      <c r="K165" s="138"/>
      <c r="L165" s="138"/>
      <c r="M165" s="138"/>
      <c r="N165" s="138"/>
      <c r="O165" s="138"/>
      <c r="P165" s="138"/>
      <c r="Q165" s="138"/>
      <c r="R165" s="136"/>
      <c r="S165" s="136"/>
      <c r="T165" s="136"/>
    </row>
    <row r="166" spans="1:20" x14ac:dyDescent="0.35">
      <c r="A166" s="1348"/>
      <c r="B166" s="1385"/>
      <c r="C166" s="416" t="s">
        <v>245</v>
      </c>
      <c r="D166" s="1401"/>
      <c r="E166" s="174">
        <f>+'B) Reajuste Tarifas y Ocupación'!Z53</f>
        <v>0</v>
      </c>
      <c r="F166" s="174">
        <f>+'B) Reajuste Tarifas y Ocupación'!AA53</f>
        <v>0</v>
      </c>
      <c r="G166" s="174">
        <f>+'B) Reajuste Tarifas y Ocupación'!AB53</f>
        <v>0</v>
      </c>
      <c r="H166" s="1368"/>
      <c r="I166" s="1368"/>
      <c r="J166" s="1369"/>
      <c r="K166" s="138"/>
      <c r="L166" s="138"/>
      <c r="M166" s="138"/>
      <c r="N166" s="138"/>
      <c r="O166" s="138"/>
      <c r="P166" s="138"/>
      <c r="Q166" s="138"/>
      <c r="R166" s="136"/>
      <c r="S166" s="136"/>
      <c r="T166" s="136"/>
    </row>
    <row r="167" spans="1:20" ht="15" thickBot="1" x14ac:dyDescent="0.4">
      <c r="A167" s="1348"/>
      <c r="B167" s="1400"/>
      <c r="C167" s="419" t="s">
        <v>246</v>
      </c>
      <c r="D167" s="438"/>
      <c r="E167" s="166">
        <f>E166*E165</f>
        <v>0</v>
      </c>
      <c r="F167" s="166">
        <f>F166*F165</f>
        <v>0</v>
      </c>
      <c r="G167" s="166">
        <f>G166*G165</f>
        <v>0</v>
      </c>
      <c r="H167" s="167">
        <f>(E165-D165)*D166</f>
        <v>0</v>
      </c>
      <c r="I167" s="167">
        <f>SUM(D167:G167)</f>
        <v>0</v>
      </c>
      <c r="J167" s="168">
        <f>H167+I167</f>
        <v>0</v>
      </c>
      <c r="K167" s="138"/>
      <c r="L167" s="138"/>
      <c r="M167" s="138"/>
      <c r="N167" s="138"/>
      <c r="O167" s="138"/>
      <c r="P167" s="138"/>
      <c r="Q167" s="138"/>
      <c r="R167" s="136"/>
      <c r="S167" s="136"/>
      <c r="T167" s="136"/>
    </row>
    <row r="168" spans="1:20" x14ac:dyDescent="0.35">
      <c r="A168" s="1348"/>
      <c r="B168" s="1384" t="str">
        <f>+'B) Reajuste Tarifas y Ocupación'!B54</f>
        <v xml:space="preserve"> Doble</v>
      </c>
      <c r="C168" s="161" t="s">
        <v>398</v>
      </c>
      <c r="D168" s="1405"/>
      <c r="E168" s="173">
        <f>+'B) Reajuste Tarifas y Ocupación'!M54</f>
        <v>15900</v>
      </c>
      <c r="F168" s="173">
        <f>+'B) Reajuste Tarifas y Ocupación'!N54</f>
        <v>21600</v>
      </c>
      <c r="G168" s="173">
        <f>+'B) Reajuste Tarifas y Ocupación'!O54</f>
        <v>23400</v>
      </c>
      <c r="H168" s="1368"/>
      <c r="I168" s="1368"/>
      <c r="J168" s="1369"/>
      <c r="K168" s="138"/>
      <c r="L168" s="138"/>
      <c r="M168" s="138"/>
      <c r="N168" s="138"/>
      <c r="O168" s="138"/>
      <c r="P168" s="138"/>
      <c r="Q168" s="138"/>
      <c r="R168" s="136"/>
      <c r="S168" s="136"/>
      <c r="T168" s="136"/>
    </row>
    <row r="169" spans="1:20" x14ac:dyDescent="0.35">
      <c r="A169" s="1348"/>
      <c r="B169" s="1385"/>
      <c r="C169" s="416" t="s">
        <v>245</v>
      </c>
      <c r="D169" s="1401"/>
      <c r="E169" s="174">
        <f>+'B) Reajuste Tarifas y Ocupación'!Z54</f>
        <v>0</v>
      </c>
      <c r="F169" s="174">
        <f>+'B) Reajuste Tarifas y Ocupación'!AA54</f>
        <v>0</v>
      </c>
      <c r="G169" s="174">
        <f>+'B) Reajuste Tarifas y Ocupación'!AB54</f>
        <v>0</v>
      </c>
      <c r="H169" s="1368"/>
      <c r="I169" s="1368"/>
      <c r="J169" s="1369"/>
      <c r="K169" s="138"/>
      <c r="L169" s="138"/>
      <c r="M169" s="138"/>
      <c r="N169" s="138"/>
      <c r="O169" s="138"/>
      <c r="P169" s="138"/>
      <c r="Q169" s="138"/>
      <c r="R169" s="136"/>
      <c r="S169" s="136"/>
      <c r="T169" s="136"/>
    </row>
    <row r="170" spans="1:20" ht="15" thickBot="1" x14ac:dyDescent="0.4">
      <c r="A170" s="1348"/>
      <c r="B170" s="1400"/>
      <c r="C170" s="419" t="s">
        <v>246</v>
      </c>
      <c r="D170" s="438"/>
      <c r="E170" s="166">
        <f>E169*E168</f>
        <v>0</v>
      </c>
      <c r="F170" s="166">
        <f>F169*F168</f>
        <v>0</v>
      </c>
      <c r="G170" s="166">
        <f>G169*G168</f>
        <v>0</v>
      </c>
      <c r="H170" s="167">
        <f>(E168-D168)*D169</f>
        <v>0</v>
      </c>
      <c r="I170" s="167">
        <f>SUM(D170:G170)</f>
        <v>0</v>
      </c>
      <c r="J170" s="168">
        <f>H170+I170</f>
        <v>0</v>
      </c>
      <c r="K170" s="138"/>
      <c r="L170" s="138"/>
      <c r="M170" s="138"/>
      <c r="N170" s="138"/>
      <c r="O170" s="138"/>
      <c r="P170" s="138"/>
      <c r="Q170" s="138"/>
      <c r="R170" s="136"/>
      <c r="S170" s="136"/>
      <c r="T170" s="136"/>
    </row>
    <row r="171" spans="1:20" x14ac:dyDescent="0.35">
      <c r="A171" s="1348"/>
      <c r="B171" s="1384" t="str">
        <f>+'B) Reajuste Tarifas y Ocupación'!B55</f>
        <v>Matrimonial</v>
      </c>
      <c r="C171" s="161" t="s">
        <v>398</v>
      </c>
      <c r="D171" s="1405"/>
      <c r="E171" s="173">
        <f>+'B) Reajuste Tarifas y Ocupación'!M55</f>
        <v>15900</v>
      </c>
      <c r="F171" s="173">
        <f>+'B) Reajuste Tarifas y Ocupación'!N55</f>
        <v>21600</v>
      </c>
      <c r="G171" s="173">
        <f>+'B) Reajuste Tarifas y Ocupación'!O55</f>
        <v>23400</v>
      </c>
      <c r="H171" s="1368"/>
      <c r="I171" s="1368"/>
      <c r="J171" s="1369"/>
      <c r="K171" s="138"/>
      <c r="L171" s="138"/>
      <c r="M171" s="138"/>
      <c r="N171" s="138"/>
      <c r="O171" s="138"/>
      <c r="P171" s="138"/>
      <c r="Q171" s="138"/>
      <c r="R171" s="136"/>
      <c r="S171" s="136"/>
      <c r="T171" s="136"/>
    </row>
    <row r="172" spans="1:20" x14ac:dyDescent="0.35">
      <c r="A172" s="1348"/>
      <c r="B172" s="1385"/>
      <c r="C172" s="416" t="s">
        <v>245</v>
      </c>
      <c r="D172" s="1401"/>
      <c r="E172" s="174">
        <f>+'B) Reajuste Tarifas y Ocupación'!Z55</f>
        <v>0</v>
      </c>
      <c r="F172" s="174">
        <f>+'B) Reajuste Tarifas y Ocupación'!AA55</f>
        <v>0</v>
      </c>
      <c r="G172" s="174">
        <f>+'B) Reajuste Tarifas y Ocupación'!AB55</f>
        <v>0</v>
      </c>
      <c r="H172" s="1368"/>
      <c r="I172" s="1368"/>
      <c r="J172" s="1369"/>
      <c r="K172" s="138"/>
      <c r="L172" s="138"/>
      <c r="M172" s="138"/>
      <c r="N172" s="138"/>
      <c r="O172" s="138"/>
      <c r="P172" s="138"/>
      <c r="Q172" s="138"/>
      <c r="R172" s="136"/>
      <c r="S172" s="136"/>
      <c r="T172" s="136"/>
    </row>
    <row r="173" spans="1:20" ht="15" thickBot="1" x14ac:dyDescent="0.4">
      <c r="A173" s="1348"/>
      <c r="B173" s="1400"/>
      <c r="C173" s="419" t="s">
        <v>246</v>
      </c>
      <c r="D173" s="438"/>
      <c r="E173" s="166">
        <f>E172*E171</f>
        <v>0</v>
      </c>
      <c r="F173" s="166">
        <f>F172*F171</f>
        <v>0</v>
      </c>
      <c r="G173" s="166">
        <f>G172*G171</f>
        <v>0</v>
      </c>
      <c r="H173" s="167">
        <f>(E171-D171)*D172</f>
        <v>0</v>
      </c>
      <c r="I173" s="167">
        <f>SUM(D173:G173)</f>
        <v>0</v>
      </c>
      <c r="J173" s="168">
        <f>H173+I173</f>
        <v>0</v>
      </c>
      <c r="K173" s="138"/>
      <c r="L173" s="138"/>
      <c r="M173" s="138"/>
      <c r="N173" s="138"/>
      <c r="O173" s="138"/>
      <c r="P173" s="138"/>
      <c r="Q173" s="138"/>
      <c r="R173" s="136"/>
      <c r="S173" s="136"/>
      <c r="T173" s="136"/>
    </row>
    <row r="174" spans="1:20" x14ac:dyDescent="0.35">
      <c r="A174" s="1348"/>
      <c r="B174" s="1384" t="str">
        <f>+'B) Reajuste Tarifas y Ocupación'!B56</f>
        <v>Matrimonial + Camarote</v>
      </c>
      <c r="C174" s="161" t="s">
        <v>398</v>
      </c>
      <c r="D174" s="1405"/>
      <c r="E174" s="173">
        <f>+'B) Reajuste Tarifas y Ocupación'!M56</f>
        <v>23600</v>
      </c>
      <c r="F174" s="173">
        <f>+'B) Reajuste Tarifas y Ocupación'!N56</f>
        <v>32100</v>
      </c>
      <c r="G174" s="173">
        <f>+'B) Reajuste Tarifas y Ocupación'!O56</f>
        <v>34800</v>
      </c>
      <c r="H174" s="1368"/>
      <c r="I174" s="1368"/>
      <c r="J174" s="1369"/>
      <c r="K174" s="138"/>
      <c r="L174" s="138"/>
      <c r="M174" s="138"/>
      <c r="N174" s="138"/>
      <c r="O174" s="138"/>
      <c r="P174" s="138"/>
      <c r="Q174" s="138"/>
      <c r="R174" s="136"/>
      <c r="S174" s="136"/>
      <c r="T174" s="136"/>
    </row>
    <row r="175" spans="1:20" x14ac:dyDescent="0.35">
      <c r="A175" s="1348"/>
      <c r="B175" s="1385"/>
      <c r="C175" s="416" t="s">
        <v>245</v>
      </c>
      <c r="D175" s="1401"/>
      <c r="E175" s="174">
        <f>+'B) Reajuste Tarifas y Ocupación'!Z56</f>
        <v>0</v>
      </c>
      <c r="F175" s="174">
        <f>+'B) Reajuste Tarifas y Ocupación'!AA56</f>
        <v>0</v>
      </c>
      <c r="G175" s="174">
        <f>+'B) Reajuste Tarifas y Ocupación'!AB56</f>
        <v>0</v>
      </c>
      <c r="H175" s="1368"/>
      <c r="I175" s="1368"/>
      <c r="J175" s="1369"/>
      <c r="K175" s="138"/>
      <c r="L175" s="138"/>
      <c r="M175" s="138"/>
      <c r="N175" s="138"/>
      <c r="O175" s="138"/>
      <c r="P175" s="138"/>
      <c r="Q175" s="138"/>
      <c r="R175" s="136"/>
      <c r="S175" s="136"/>
      <c r="T175" s="136"/>
    </row>
    <row r="176" spans="1:20" ht="15" thickBot="1" x14ac:dyDescent="0.4">
      <c r="A176" s="1348"/>
      <c r="B176" s="1400"/>
      <c r="C176" s="419" t="s">
        <v>246</v>
      </c>
      <c r="D176" s="438"/>
      <c r="E176" s="166">
        <f>E175*E174</f>
        <v>0</v>
      </c>
      <c r="F176" s="166">
        <f>F175*F174</f>
        <v>0</v>
      </c>
      <c r="G176" s="166">
        <f>G175*G174</f>
        <v>0</v>
      </c>
      <c r="H176" s="167">
        <f>(E174-D174)*D175</f>
        <v>0</v>
      </c>
      <c r="I176" s="167">
        <f>SUM(D176:G176)</f>
        <v>0</v>
      </c>
      <c r="J176" s="168">
        <f>H176+I176</f>
        <v>0</v>
      </c>
      <c r="K176" s="138"/>
      <c r="L176" s="138"/>
      <c r="M176" s="138"/>
      <c r="N176" s="138"/>
      <c r="O176" s="138"/>
      <c r="P176" s="138"/>
      <c r="Q176" s="138"/>
      <c r="R176" s="136"/>
      <c r="S176" s="136"/>
      <c r="T176" s="136"/>
    </row>
    <row r="177" spans="1:20" x14ac:dyDescent="0.35">
      <c r="A177" s="1348"/>
      <c r="B177" s="1384" t="str">
        <f>+'B) Reajuste Tarifas y Ocupación'!B57</f>
        <v>Superior</v>
      </c>
      <c r="C177" s="161" t="s">
        <v>398</v>
      </c>
      <c r="D177" s="1405"/>
      <c r="E177" s="173">
        <f>+'B) Reajuste Tarifas y Ocupación'!M57</f>
        <v>18500</v>
      </c>
      <c r="F177" s="173">
        <f>+'B) Reajuste Tarifas y Ocupación'!N57</f>
        <v>25100</v>
      </c>
      <c r="G177" s="173">
        <f>+'B) Reajuste Tarifas y Ocupación'!O57</f>
        <v>27300</v>
      </c>
      <c r="H177" s="1368"/>
      <c r="I177" s="1368"/>
      <c r="J177" s="1369"/>
      <c r="K177" s="138"/>
      <c r="L177" s="138"/>
      <c r="M177" s="138"/>
      <c r="N177" s="138"/>
      <c r="O177" s="138"/>
      <c r="P177" s="138"/>
      <c r="Q177" s="138"/>
      <c r="R177" s="136"/>
      <c r="S177" s="136"/>
      <c r="T177" s="136"/>
    </row>
    <row r="178" spans="1:20" x14ac:dyDescent="0.35">
      <c r="A178" s="1348"/>
      <c r="B178" s="1385"/>
      <c r="C178" s="416" t="s">
        <v>245</v>
      </c>
      <c r="D178" s="1401"/>
      <c r="E178" s="174">
        <f>+'B) Reajuste Tarifas y Ocupación'!Z57</f>
        <v>0</v>
      </c>
      <c r="F178" s="174">
        <f>+'B) Reajuste Tarifas y Ocupación'!AA57</f>
        <v>0</v>
      </c>
      <c r="G178" s="174">
        <f>+'B) Reajuste Tarifas y Ocupación'!AB57</f>
        <v>0</v>
      </c>
      <c r="H178" s="1368"/>
      <c r="I178" s="1368"/>
      <c r="J178" s="1369"/>
      <c r="K178" s="138"/>
      <c r="L178" s="138"/>
      <c r="M178" s="138"/>
      <c r="N178" s="138"/>
      <c r="O178" s="138"/>
      <c r="P178" s="138"/>
      <c r="Q178" s="138"/>
      <c r="R178" s="136"/>
      <c r="S178" s="136"/>
      <c r="T178" s="136"/>
    </row>
    <row r="179" spans="1:20" x14ac:dyDescent="0.35">
      <c r="A179" s="1348"/>
      <c r="B179" s="1400"/>
      <c r="C179" s="419" t="s">
        <v>246</v>
      </c>
      <c r="D179" s="438"/>
      <c r="E179" s="166">
        <f>E178*E177</f>
        <v>0</v>
      </c>
      <c r="F179" s="166">
        <f>F178*F177</f>
        <v>0</v>
      </c>
      <c r="G179" s="166">
        <f>G178*G177</f>
        <v>0</v>
      </c>
      <c r="H179" s="167">
        <f>(E177-D177)*D178</f>
        <v>0</v>
      </c>
      <c r="I179" s="167">
        <f>SUM(D179:G179)</f>
        <v>0</v>
      </c>
      <c r="J179" s="168">
        <f>H179+I179</f>
        <v>0</v>
      </c>
      <c r="K179" s="138"/>
      <c r="L179" s="138"/>
      <c r="M179" s="138"/>
      <c r="N179" s="138"/>
      <c r="O179" s="138"/>
      <c r="P179" s="138"/>
      <c r="Q179" s="138"/>
      <c r="R179" s="136"/>
      <c r="S179" s="136"/>
      <c r="T179" s="136"/>
    </row>
    <row r="180" spans="1:20" ht="15" thickBot="1" x14ac:dyDescent="0.4">
      <c r="A180" s="1350"/>
      <c r="B180" s="1370" t="s">
        <v>247</v>
      </c>
      <c r="C180" s="1394"/>
      <c r="D180" s="176">
        <f t="shared" ref="D180:J180" si="14">D146+D149+D152+D155+D158+D161+D164+D167+D170+D173+D176+D179</f>
        <v>40266500</v>
      </c>
      <c r="E180" s="176">
        <f t="shared" si="14"/>
        <v>7731100</v>
      </c>
      <c r="F180" s="176">
        <f t="shared" si="14"/>
        <v>127900</v>
      </c>
      <c r="G180" s="176">
        <f t="shared" si="14"/>
        <v>0</v>
      </c>
      <c r="H180" s="176">
        <f t="shared" si="14"/>
        <v>23505100</v>
      </c>
      <c r="I180" s="176">
        <f t="shared" si="14"/>
        <v>48125500</v>
      </c>
      <c r="J180" s="176">
        <f t="shared" si="14"/>
        <v>71630600</v>
      </c>
      <c r="K180" s="138"/>
      <c r="L180" s="138"/>
      <c r="M180" s="138"/>
      <c r="N180" s="138"/>
      <c r="O180" s="138"/>
      <c r="P180" s="138"/>
      <c r="Q180" s="138"/>
      <c r="R180" s="136"/>
      <c r="S180" s="136"/>
      <c r="T180" s="136"/>
    </row>
    <row r="181" spans="1:20" x14ac:dyDescent="0.35">
      <c r="A181" s="1347" t="str">
        <f>+'B) Reajuste Tarifas y Ocupación'!A58</f>
        <v>C. H. Caleta Angamos</v>
      </c>
      <c r="B181" s="1373" t="str">
        <f>+'B) Reajuste Tarifas y Ocupación'!B58</f>
        <v>Simple</v>
      </c>
      <c r="C181" s="161" t="s">
        <v>398</v>
      </c>
      <c r="D181" s="177">
        <f>+'B) Reajuste Tarifas y Ocupación'!L58</f>
        <v>36800</v>
      </c>
      <c r="E181" s="177">
        <f>+'B) Reajuste Tarifas y Ocupación'!M58</f>
        <v>56500</v>
      </c>
      <c r="F181" s="177">
        <f>+'B) Reajuste Tarifas y Ocupación'!N58</f>
        <v>70400</v>
      </c>
      <c r="G181" s="177">
        <f>+'B) Reajuste Tarifas y Ocupación'!O58</f>
        <v>76800</v>
      </c>
      <c r="H181" s="1354"/>
      <c r="I181" s="1354"/>
      <c r="J181" s="1356"/>
      <c r="K181" s="138"/>
      <c r="L181" s="138"/>
      <c r="M181" s="138"/>
      <c r="N181" s="138"/>
      <c r="O181" s="138"/>
      <c r="P181" s="138"/>
      <c r="Q181" s="138"/>
      <c r="R181" s="136"/>
      <c r="S181" s="136"/>
      <c r="T181" s="136"/>
    </row>
    <row r="182" spans="1:20" x14ac:dyDescent="0.35">
      <c r="A182" s="1348"/>
      <c r="B182" s="1389"/>
      <c r="C182" s="416" t="s">
        <v>245</v>
      </c>
      <c r="D182" s="431">
        <f>+'B) Reajuste Tarifas y Ocupación'!Y58</f>
        <v>480</v>
      </c>
      <c r="E182" s="164">
        <f>+'B) Reajuste Tarifas y Ocupación'!Z58</f>
        <v>31</v>
      </c>
      <c r="F182" s="164">
        <f>+'B) Reajuste Tarifas y Ocupación'!AA58</f>
        <v>2</v>
      </c>
      <c r="G182" s="164">
        <f>+'B) Reajuste Tarifas y Ocupación'!AB58</f>
        <v>0</v>
      </c>
      <c r="H182" s="1355"/>
      <c r="I182" s="1355"/>
      <c r="J182" s="1357"/>
      <c r="K182" s="138"/>
      <c r="L182" s="138"/>
      <c r="M182" s="138"/>
      <c r="N182" s="138"/>
      <c r="O182" s="138"/>
      <c r="P182" s="138"/>
      <c r="Q182" s="138"/>
      <c r="R182" s="136"/>
      <c r="S182" s="136"/>
      <c r="T182" s="136"/>
    </row>
    <row r="183" spans="1:20" ht="15" thickBot="1" x14ac:dyDescent="0.4">
      <c r="A183" s="1348"/>
      <c r="B183" s="1390"/>
      <c r="C183" s="419" t="s">
        <v>246</v>
      </c>
      <c r="D183" s="424">
        <f>D182*D181</f>
        <v>17664000</v>
      </c>
      <c r="E183" s="166">
        <f>E182*E181</f>
        <v>1751500</v>
      </c>
      <c r="F183" s="166">
        <f>F182*F181</f>
        <v>140800</v>
      </c>
      <c r="G183" s="166">
        <f>G182*G181</f>
        <v>0</v>
      </c>
      <c r="H183" s="167">
        <f>(E181-D181)*D182</f>
        <v>9456000</v>
      </c>
      <c r="I183" s="167">
        <f>SUM(D183:G183)</f>
        <v>19556300</v>
      </c>
      <c r="J183" s="168">
        <f>H183+I183</f>
        <v>29012300</v>
      </c>
      <c r="K183" s="138"/>
      <c r="L183" s="138"/>
      <c r="M183" s="138"/>
      <c r="N183" s="138"/>
      <c r="O183" s="138"/>
      <c r="P183" s="138"/>
      <c r="Q183" s="138"/>
      <c r="R183" s="136"/>
      <c r="S183" s="136"/>
      <c r="T183" s="136"/>
    </row>
    <row r="184" spans="1:20" x14ac:dyDescent="0.35">
      <c r="A184" s="1348"/>
      <c r="B184" s="1388" t="str">
        <f>+'B) Reajuste Tarifas y Ocupación'!B59</f>
        <v>Doble</v>
      </c>
      <c r="C184" s="161" t="s">
        <v>398</v>
      </c>
      <c r="D184" s="430">
        <f>+'B) Reajuste Tarifas y Ocupación'!L59</f>
        <v>45000</v>
      </c>
      <c r="E184" s="175">
        <f>+'B) Reajuste Tarifas y Ocupación'!M59</f>
        <v>69200</v>
      </c>
      <c r="F184" s="175">
        <f>+'B) Reajuste Tarifas y Ocupación'!N59</f>
        <v>86300</v>
      </c>
      <c r="G184" s="175">
        <f>+'B) Reajuste Tarifas y Ocupación'!O59</f>
        <v>94100</v>
      </c>
      <c r="H184" s="1391"/>
      <c r="I184" s="1391"/>
      <c r="J184" s="1392"/>
      <c r="K184" s="138"/>
      <c r="L184" s="138"/>
      <c r="M184" s="138"/>
      <c r="N184" s="138"/>
      <c r="O184" s="138"/>
      <c r="P184" s="138"/>
      <c r="Q184" s="138"/>
      <c r="R184" s="136"/>
      <c r="S184" s="136"/>
      <c r="T184" s="136"/>
    </row>
    <row r="185" spans="1:20" x14ac:dyDescent="0.35">
      <c r="A185" s="1348"/>
      <c r="B185" s="1389"/>
      <c r="C185" s="416" t="s">
        <v>245</v>
      </c>
      <c r="D185" s="431">
        <f>+'B) Reajuste Tarifas y Ocupación'!Y59</f>
        <v>97</v>
      </c>
      <c r="E185" s="164">
        <f>+'B) Reajuste Tarifas y Ocupación'!Z59</f>
        <v>7</v>
      </c>
      <c r="F185" s="164">
        <f>+'B) Reajuste Tarifas y Ocupación'!AA59</f>
        <v>2</v>
      </c>
      <c r="G185" s="164">
        <f>+'B) Reajuste Tarifas y Ocupación'!AB59</f>
        <v>0</v>
      </c>
      <c r="H185" s="1368"/>
      <c r="I185" s="1368"/>
      <c r="J185" s="1369"/>
      <c r="K185" s="138"/>
      <c r="L185" s="138"/>
      <c r="M185" s="138"/>
      <c r="N185" s="138"/>
      <c r="O185" s="138"/>
      <c r="P185" s="138"/>
      <c r="Q185" s="138"/>
      <c r="R185" s="136"/>
      <c r="S185" s="136"/>
      <c r="T185" s="136"/>
    </row>
    <row r="186" spans="1:20" ht="15" thickBot="1" x14ac:dyDescent="0.4">
      <c r="A186" s="1348"/>
      <c r="B186" s="1390"/>
      <c r="C186" s="419" t="s">
        <v>246</v>
      </c>
      <c r="D186" s="424">
        <f>D185*D184</f>
        <v>4365000</v>
      </c>
      <c r="E186" s="166">
        <f>E185*E184</f>
        <v>484400</v>
      </c>
      <c r="F186" s="166">
        <f>F185*F184</f>
        <v>172600</v>
      </c>
      <c r="G186" s="166">
        <f>G185*G184</f>
        <v>0</v>
      </c>
      <c r="H186" s="167">
        <f>(E184-D184)*D185</f>
        <v>2347400</v>
      </c>
      <c r="I186" s="167">
        <f>SUM(D186:G186)</f>
        <v>5022000</v>
      </c>
      <c r="J186" s="168">
        <f>H186+I186</f>
        <v>7369400</v>
      </c>
      <c r="K186" s="138"/>
      <c r="L186" s="138"/>
      <c r="M186" s="138"/>
      <c r="N186" s="138"/>
      <c r="O186" s="138"/>
      <c r="P186" s="138"/>
      <c r="Q186" s="138"/>
      <c r="R186" s="136"/>
      <c r="S186" s="136"/>
      <c r="T186" s="136"/>
    </row>
    <row r="187" spans="1:20" x14ac:dyDescent="0.35">
      <c r="A187" s="1348"/>
      <c r="B187" s="1388" t="str">
        <f>+'B) Reajuste Tarifas y Ocupación'!B60</f>
        <v>Matrimonial</v>
      </c>
      <c r="C187" s="161" t="s">
        <v>398</v>
      </c>
      <c r="D187" s="430">
        <f>+'B) Reajuste Tarifas y Ocupación'!L60</f>
        <v>44400</v>
      </c>
      <c r="E187" s="175">
        <f>+'B) Reajuste Tarifas y Ocupación'!M60</f>
        <v>68300</v>
      </c>
      <c r="F187" s="175">
        <f>+'B) Reajuste Tarifas y Ocupación'!N60</f>
        <v>85000</v>
      </c>
      <c r="G187" s="175">
        <f>+'B) Reajuste Tarifas y Ocupación'!O60</f>
        <v>92700</v>
      </c>
      <c r="H187" s="1391"/>
      <c r="I187" s="1391"/>
      <c r="J187" s="1392"/>
      <c r="K187" s="138"/>
      <c r="L187" s="138"/>
      <c r="M187" s="138"/>
      <c r="N187" s="138"/>
      <c r="O187" s="138"/>
      <c r="P187" s="138"/>
      <c r="Q187" s="138"/>
      <c r="R187" s="136"/>
      <c r="S187" s="136"/>
      <c r="T187" s="136"/>
    </row>
    <row r="188" spans="1:20" x14ac:dyDescent="0.35">
      <c r="A188" s="1348"/>
      <c r="B188" s="1389"/>
      <c r="C188" s="416" t="s">
        <v>245</v>
      </c>
      <c r="D188" s="431">
        <f>+'B) Reajuste Tarifas y Ocupación'!Y60</f>
        <v>287</v>
      </c>
      <c r="E188" s="164">
        <f>+'B) Reajuste Tarifas y Ocupación'!Z60</f>
        <v>23</v>
      </c>
      <c r="F188" s="164">
        <f>+'B) Reajuste Tarifas y Ocupación'!AA60</f>
        <v>2</v>
      </c>
      <c r="G188" s="164">
        <f>+'B) Reajuste Tarifas y Ocupación'!AB60</f>
        <v>0</v>
      </c>
      <c r="H188" s="1368"/>
      <c r="I188" s="1368"/>
      <c r="J188" s="1369"/>
      <c r="K188" s="138"/>
      <c r="L188" s="138"/>
      <c r="M188" s="138"/>
      <c r="N188" s="138"/>
      <c r="O188" s="138"/>
      <c r="P188" s="138"/>
      <c r="Q188" s="138"/>
      <c r="R188" s="136"/>
      <c r="S188" s="136"/>
      <c r="T188" s="136"/>
    </row>
    <row r="189" spans="1:20" ht="15" thickBot="1" x14ac:dyDescent="0.4">
      <c r="A189" s="1348"/>
      <c r="B189" s="1390"/>
      <c r="C189" s="419" t="s">
        <v>246</v>
      </c>
      <c r="D189" s="424">
        <f>D188*D187</f>
        <v>12742800</v>
      </c>
      <c r="E189" s="166">
        <f>E188*E187</f>
        <v>1570900</v>
      </c>
      <c r="F189" s="166">
        <f>F188*F187</f>
        <v>170000</v>
      </c>
      <c r="G189" s="166">
        <f>G188*G187</f>
        <v>0</v>
      </c>
      <c r="H189" s="167">
        <f>(E187-D187)*D188</f>
        <v>6859300</v>
      </c>
      <c r="I189" s="167">
        <f>SUM(D189:G189)</f>
        <v>14483700</v>
      </c>
      <c r="J189" s="168">
        <f>H189+I189</f>
        <v>21343000</v>
      </c>
      <c r="K189" s="138"/>
      <c r="L189" s="138"/>
      <c r="M189" s="138"/>
      <c r="N189" s="138"/>
      <c r="O189" s="138"/>
      <c r="P189" s="138"/>
      <c r="Q189" s="138"/>
      <c r="R189" s="136"/>
      <c r="S189" s="136"/>
      <c r="T189" s="136"/>
    </row>
    <row r="190" spans="1:20" x14ac:dyDescent="0.35">
      <c r="A190" s="1348"/>
      <c r="B190" s="1388" t="str">
        <f>+'B) Reajuste Tarifas y Ocupación'!B61</f>
        <v>Superior</v>
      </c>
      <c r="C190" s="161" t="s">
        <v>398</v>
      </c>
      <c r="D190" s="430">
        <f>+'B) Reajuste Tarifas y Ocupación'!L61</f>
        <v>59000</v>
      </c>
      <c r="E190" s="175">
        <f>+'B) Reajuste Tarifas y Ocupación'!M61</f>
        <v>90700</v>
      </c>
      <c r="F190" s="175">
        <f>+'B) Reajuste Tarifas y Ocupación'!N61</f>
        <v>112900</v>
      </c>
      <c r="G190" s="175">
        <f>+'B) Reajuste Tarifas y Ocupación'!O61</f>
        <v>123300</v>
      </c>
      <c r="H190" s="1368"/>
      <c r="I190" s="1368"/>
      <c r="J190" s="1369"/>
      <c r="K190" s="138"/>
      <c r="L190" s="138"/>
      <c r="M190" s="138"/>
      <c r="N190" s="138"/>
      <c r="O190" s="138"/>
      <c r="P190" s="138"/>
      <c r="Q190" s="138"/>
      <c r="R190" s="136"/>
      <c r="S190" s="136"/>
      <c r="T190" s="136"/>
    </row>
    <row r="191" spans="1:20" x14ac:dyDescent="0.35">
      <c r="A191" s="1348"/>
      <c r="B191" s="1389"/>
      <c r="C191" s="416" t="s">
        <v>245</v>
      </c>
      <c r="D191" s="431">
        <f>+'B) Reajuste Tarifas y Ocupación'!Y61</f>
        <v>43</v>
      </c>
      <c r="E191" s="164">
        <f>+'B) Reajuste Tarifas y Ocupación'!Z61</f>
        <v>6</v>
      </c>
      <c r="F191" s="164">
        <f>+'B) Reajuste Tarifas y Ocupación'!AA61</f>
        <v>1</v>
      </c>
      <c r="G191" s="164">
        <f>+'B) Reajuste Tarifas y Ocupación'!AB61</f>
        <v>0</v>
      </c>
      <c r="H191" s="1368"/>
      <c r="I191" s="1368"/>
      <c r="J191" s="1369"/>
      <c r="K191" s="138"/>
      <c r="L191" s="138"/>
      <c r="M191" s="138"/>
      <c r="N191" s="138"/>
      <c r="O191" s="138"/>
      <c r="P191" s="138"/>
      <c r="Q191" s="138"/>
      <c r="R191" s="136"/>
      <c r="S191" s="136"/>
      <c r="T191" s="136"/>
    </row>
    <row r="192" spans="1:20" ht="15" thickBot="1" x14ac:dyDescent="0.4">
      <c r="A192" s="1348"/>
      <c r="B192" s="1390"/>
      <c r="C192" s="419" t="s">
        <v>246</v>
      </c>
      <c r="D192" s="424">
        <f>D191*D190</f>
        <v>2537000</v>
      </c>
      <c r="E192" s="166">
        <f>E191*E190</f>
        <v>544200</v>
      </c>
      <c r="F192" s="166">
        <f>F191*F190</f>
        <v>112900</v>
      </c>
      <c r="G192" s="166">
        <f>G191*G190</f>
        <v>0</v>
      </c>
      <c r="H192" s="167">
        <f>(E190-D190)*D191</f>
        <v>1363100</v>
      </c>
      <c r="I192" s="167">
        <f>SUM(D192:G192)</f>
        <v>3194100</v>
      </c>
      <c r="J192" s="168">
        <f>H192+I192</f>
        <v>4557200</v>
      </c>
      <c r="K192" s="138"/>
      <c r="L192" s="138"/>
      <c r="M192" s="138"/>
      <c r="N192" s="138"/>
      <c r="O192" s="138"/>
      <c r="P192" s="138"/>
      <c r="Q192" s="138"/>
      <c r="R192" s="136"/>
      <c r="S192" s="136"/>
      <c r="T192" s="136"/>
    </row>
    <row r="193" spans="1:20" x14ac:dyDescent="0.35">
      <c r="A193" s="1348"/>
      <c r="B193" s="1388" t="str">
        <f>+'B) Reajuste Tarifas y Ocupación'!B62</f>
        <v>Sofá cama adiciona (Hasta 7 años)</v>
      </c>
      <c r="C193" s="161" t="s">
        <v>398</v>
      </c>
      <c r="D193" s="430">
        <f>+'B) Reajuste Tarifas y Ocupación'!L62</f>
        <v>11200</v>
      </c>
      <c r="E193" s="175">
        <f>+'B) Reajuste Tarifas y Ocupación'!M62</f>
        <v>17200</v>
      </c>
      <c r="F193" s="175">
        <f>+'B) Reajuste Tarifas y Ocupación'!N62</f>
        <v>21500</v>
      </c>
      <c r="G193" s="175">
        <f>+'B) Reajuste Tarifas y Ocupación'!O62</f>
        <v>23400</v>
      </c>
      <c r="H193" s="1368"/>
      <c r="I193" s="1368"/>
      <c r="J193" s="1369"/>
      <c r="K193" s="138"/>
      <c r="L193" s="138"/>
      <c r="M193" s="138"/>
      <c r="N193" s="138"/>
      <c r="O193" s="138"/>
      <c r="P193" s="138"/>
      <c r="Q193" s="138"/>
      <c r="R193" s="136"/>
      <c r="S193" s="136"/>
      <c r="T193" s="136"/>
    </row>
    <row r="194" spans="1:20" x14ac:dyDescent="0.35">
      <c r="A194" s="1348"/>
      <c r="B194" s="1389"/>
      <c r="C194" s="416" t="s">
        <v>245</v>
      </c>
      <c r="D194" s="431">
        <f>+'B) Reajuste Tarifas y Ocupación'!Y62</f>
        <v>24</v>
      </c>
      <c r="E194" s="164">
        <f>+'B) Reajuste Tarifas y Ocupación'!Z62</f>
        <v>5</v>
      </c>
      <c r="F194" s="164">
        <f>+'B) Reajuste Tarifas y Ocupación'!AA62</f>
        <v>1</v>
      </c>
      <c r="G194" s="164">
        <f>+'B) Reajuste Tarifas y Ocupación'!AB62</f>
        <v>0</v>
      </c>
      <c r="H194" s="1368"/>
      <c r="I194" s="1368"/>
      <c r="J194" s="1369"/>
      <c r="K194" s="138"/>
      <c r="L194" s="138"/>
      <c r="M194" s="138"/>
      <c r="N194" s="138"/>
      <c r="O194" s="138"/>
      <c r="P194" s="138"/>
      <c r="Q194" s="138"/>
      <c r="R194" s="136"/>
      <c r="S194" s="136"/>
      <c r="T194" s="136"/>
    </row>
    <row r="195" spans="1:20" x14ac:dyDescent="0.35">
      <c r="A195" s="1348"/>
      <c r="B195" s="1390"/>
      <c r="C195" s="419" t="s">
        <v>246</v>
      </c>
      <c r="D195" s="424">
        <f>D194*D193</f>
        <v>268800</v>
      </c>
      <c r="E195" s="166">
        <f>E194*E193</f>
        <v>86000</v>
      </c>
      <c r="F195" s="166">
        <f>F194*F193</f>
        <v>21500</v>
      </c>
      <c r="G195" s="166">
        <f>G194*G193</f>
        <v>0</v>
      </c>
      <c r="H195" s="167">
        <f>(E193-D193)*D194</f>
        <v>144000</v>
      </c>
      <c r="I195" s="167">
        <f>SUM(D195:G195)</f>
        <v>376300</v>
      </c>
      <c r="J195" s="168">
        <f>H195+I195</f>
        <v>520300</v>
      </c>
      <c r="K195" s="138"/>
      <c r="L195" s="138"/>
      <c r="M195" s="138"/>
      <c r="N195" s="138"/>
      <c r="O195" s="138"/>
      <c r="P195" s="138"/>
      <c r="Q195" s="138"/>
      <c r="R195" s="136"/>
      <c r="S195" s="136"/>
      <c r="T195" s="136"/>
    </row>
    <row r="196" spans="1:20" x14ac:dyDescent="0.35">
      <c r="A196" s="1348"/>
      <c r="B196" s="1406" t="str">
        <f>+'B) Reajuste Tarifas y Ocupación'!B63</f>
        <v>Late check-out o early check-in</v>
      </c>
      <c r="C196" s="1343"/>
      <c r="D196" s="1405"/>
      <c r="E196" s="1379"/>
      <c r="F196" s="1379"/>
      <c r="G196" s="1379"/>
      <c r="H196" s="1368"/>
      <c r="I196" s="1368"/>
      <c r="J196" s="1387"/>
      <c r="K196" s="138"/>
      <c r="L196" s="138"/>
      <c r="M196" s="138"/>
      <c r="N196" s="138"/>
      <c r="O196" s="138"/>
      <c r="P196" s="138"/>
      <c r="Q196" s="138"/>
      <c r="R196" s="136"/>
      <c r="S196" s="136"/>
      <c r="T196" s="136"/>
    </row>
    <row r="197" spans="1:20" x14ac:dyDescent="0.35">
      <c r="A197" s="1348"/>
      <c r="B197" s="1407"/>
      <c r="C197" s="1343"/>
      <c r="D197" s="1401"/>
      <c r="E197" s="1366"/>
      <c r="F197" s="1366"/>
      <c r="G197" s="1366"/>
      <c r="H197" s="1368"/>
      <c r="I197" s="1368"/>
      <c r="J197" s="1387"/>
      <c r="K197" s="138"/>
      <c r="L197" s="138"/>
      <c r="M197" s="138"/>
      <c r="N197" s="138"/>
      <c r="O197" s="138"/>
      <c r="P197" s="138"/>
      <c r="Q197" s="138"/>
      <c r="R197" s="136"/>
      <c r="S197" s="136"/>
      <c r="T197" s="136"/>
    </row>
    <row r="198" spans="1:20" ht="15" thickBot="1" x14ac:dyDescent="0.4">
      <c r="A198" s="1348"/>
      <c r="B198" s="1378"/>
      <c r="C198" s="440"/>
      <c r="D198" s="170"/>
      <c r="E198" s="170"/>
      <c r="F198" s="170"/>
      <c r="G198" s="170"/>
      <c r="H198" s="171"/>
      <c r="I198" s="171"/>
      <c r="J198" s="172"/>
      <c r="K198" s="138"/>
      <c r="L198" s="138"/>
      <c r="M198" s="138"/>
      <c r="N198" s="138"/>
      <c r="O198" s="138"/>
      <c r="P198" s="138"/>
      <c r="Q198" s="138"/>
      <c r="R198" s="136"/>
      <c r="S198" s="136"/>
      <c r="T198" s="136"/>
    </row>
    <row r="199" spans="1:20" x14ac:dyDescent="0.35">
      <c r="A199" s="1348"/>
      <c r="B199" s="1397" t="str">
        <f>+'B) Reajuste Tarifas y Ocupación'!B64</f>
        <v>Simple</v>
      </c>
      <c r="C199" s="161" t="s">
        <v>398</v>
      </c>
      <c r="D199" s="1379"/>
      <c r="E199" s="175">
        <f>+'B) Reajuste Tarifas y Ocupación'!M64</f>
        <v>17000</v>
      </c>
      <c r="F199" s="175">
        <f>+'B) Reajuste Tarifas y Ocupación'!N64</f>
        <v>21200</v>
      </c>
      <c r="G199" s="175">
        <f>+'B) Reajuste Tarifas y Ocupación'!O64</f>
        <v>23100</v>
      </c>
      <c r="H199" s="1368"/>
      <c r="I199" s="1368"/>
      <c r="J199" s="1369"/>
      <c r="K199" s="138"/>
      <c r="L199" s="138"/>
      <c r="M199" s="138"/>
      <c r="N199" s="138"/>
      <c r="O199" s="138"/>
      <c r="P199" s="138"/>
      <c r="Q199" s="138"/>
      <c r="R199" s="136"/>
      <c r="S199" s="136"/>
      <c r="T199" s="136"/>
    </row>
    <row r="200" spans="1:20" x14ac:dyDescent="0.35">
      <c r="A200" s="1348"/>
      <c r="B200" s="1385"/>
      <c r="C200" s="416" t="s">
        <v>245</v>
      </c>
      <c r="D200" s="1401"/>
      <c r="E200" s="164">
        <f>+'B) Reajuste Tarifas y Ocupación'!Z64</f>
        <v>0</v>
      </c>
      <c r="F200" s="164">
        <f>+'B) Reajuste Tarifas y Ocupación'!AA64</f>
        <v>0</v>
      </c>
      <c r="G200" s="164">
        <f>+'B) Reajuste Tarifas y Ocupación'!AB64</f>
        <v>0</v>
      </c>
      <c r="H200" s="1368"/>
      <c r="I200" s="1368"/>
      <c r="J200" s="1369"/>
      <c r="K200" s="138"/>
      <c r="L200" s="138"/>
      <c r="M200" s="138"/>
      <c r="N200" s="138"/>
      <c r="O200" s="138"/>
      <c r="P200" s="138"/>
      <c r="Q200" s="138"/>
      <c r="R200" s="136"/>
      <c r="S200" s="136"/>
      <c r="T200" s="136"/>
    </row>
    <row r="201" spans="1:20" ht="15" thickBot="1" x14ac:dyDescent="0.4">
      <c r="A201" s="1348"/>
      <c r="B201" s="1400"/>
      <c r="C201" s="419" t="s">
        <v>246</v>
      </c>
      <c r="D201" s="438"/>
      <c r="E201" s="166">
        <f>E200*E199</f>
        <v>0</v>
      </c>
      <c r="F201" s="166">
        <f>F200*F199</f>
        <v>0</v>
      </c>
      <c r="G201" s="166">
        <f>G200*G199</f>
        <v>0</v>
      </c>
      <c r="H201" s="167">
        <f>(E199-D199)*D200</f>
        <v>0</v>
      </c>
      <c r="I201" s="167">
        <f>SUM(D201:G201)</f>
        <v>0</v>
      </c>
      <c r="J201" s="168">
        <f>H201+I201</f>
        <v>0</v>
      </c>
      <c r="K201" s="138"/>
      <c r="L201" s="138"/>
      <c r="M201" s="138"/>
      <c r="N201" s="138"/>
      <c r="O201" s="138"/>
      <c r="P201" s="138"/>
      <c r="Q201" s="138"/>
      <c r="R201" s="136"/>
      <c r="S201" s="136"/>
      <c r="T201" s="136"/>
    </row>
    <row r="202" spans="1:20" x14ac:dyDescent="0.35">
      <c r="A202" s="1348"/>
      <c r="B202" s="1384" t="str">
        <f>+'B) Reajuste Tarifas y Ocupación'!B65</f>
        <v>Doble</v>
      </c>
      <c r="C202" s="161" t="s">
        <v>398</v>
      </c>
      <c r="D202" s="1405"/>
      <c r="E202" s="175">
        <f>+'B) Reajuste Tarifas y Ocupación'!M65</f>
        <v>20800</v>
      </c>
      <c r="F202" s="175">
        <f>+'B) Reajuste Tarifas y Ocupación'!N65</f>
        <v>25900</v>
      </c>
      <c r="G202" s="175">
        <f>+'B) Reajuste Tarifas y Ocupación'!O65</f>
        <v>28300</v>
      </c>
      <c r="H202" s="1368"/>
      <c r="I202" s="1368"/>
      <c r="J202" s="1369"/>
      <c r="K202" s="138"/>
      <c r="L202" s="138"/>
      <c r="M202" s="138"/>
      <c r="N202" s="138"/>
      <c r="O202" s="138"/>
      <c r="P202" s="138"/>
      <c r="Q202" s="138"/>
      <c r="R202" s="136"/>
      <c r="S202" s="136"/>
      <c r="T202" s="136"/>
    </row>
    <row r="203" spans="1:20" x14ac:dyDescent="0.35">
      <c r="A203" s="1348"/>
      <c r="B203" s="1385"/>
      <c r="C203" s="416" t="s">
        <v>245</v>
      </c>
      <c r="D203" s="1401"/>
      <c r="E203" s="164">
        <f>+'B) Reajuste Tarifas y Ocupación'!Z65</f>
        <v>0</v>
      </c>
      <c r="F203" s="164">
        <f>+'B) Reajuste Tarifas y Ocupación'!AA65</f>
        <v>0</v>
      </c>
      <c r="G203" s="164">
        <f>+'B) Reajuste Tarifas y Ocupación'!AB65</f>
        <v>0</v>
      </c>
      <c r="H203" s="1368"/>
      <c r="I203" s="1368"/>
      <c r="J203" s="1369"/>
      <c r="K203" s="138"/>
      <c r="L203" s="138"/>
      <c r="M203" s="138"/>
      <c r="N203" s="138"/>
      <c r="O203" s="138"/>
      <c r="P203" s="138"/>
      <c r="Q203" s="138"/>
      <c r="R203" s="136"/>
      <c r="S203" s="136"/>
      <c r="T203" s="136"/>
    </row>
    <row r="204" spans="1:20" ht="15" thickBot="1" x14ac:dyDescent="0.4">
      <c r="A204" s="1348"/>
      <c r="B204" s="1400"/>
      <c r="C204" s="419" t="s">
        <v>246</v>
      </c>
      <c r="D204" s="438"/>
      <c r="E204" s="166">
        <f>E203*E202</f>
        <v>0</v>
      </c>
      <c r="F204" s="166">
        <f>F203*F202</f>
        <v>0</v>
      </c>
      <c r="G204" s="166">
        <f>G203*G202</f>
        <v>0</v>
      </c>
      <c r="H204" s="167">
        <f>(E202-D202)*D203</f>
        <v>0</v>
      </c>
      <c r="I204" s="167">
        <f>SUM(D204:G204)</f>
        <v>0</v>
      </c>
      <c r="J204" s="168">
        <f>H204+I204</f>
        <v>0</v>
      </c>
      <c r="K204" s="138"/>
      <c r="L204" s="138"/>
      <c r="M204" s="138"/>
      <c r="N204" s="138"/>
      <c r="O204" s="138"/>
      <c r="P204" s="138"/>
      <c r="Q204" s="138"/>
      <c r="R204" s="136"/>
      <c r="S204" s="136"/>
      <c r="T204" s="136"/>
    </row>
    <row r="205" spans="1:20" x14ac:dyDescent="0.35">
      <c r="A205" s="1348"/>
      <c r="B205" s="1384" t="str">
        <f>+'B) Reajuste Tarifas y Ocupación'!B66</f>
        <v>Matrimonial</v>
      </c>
      <c r="C205" s="161" t="s">
        <v>398</v>
      </c>
      <c r="D205" s="1405"/>
      <c r="E205" s="175">
        <f>+'B) Reajuste Tarifas y Ocupación'!M66</f>
        <v>20500</v>
      </c>
      <c r="F205" s="175">
        <f>+'B) Reajuste Tarifas y Ocupación'!N66</f>
        <v>25500</v>
      </c>
      <c r="G205" s="175">
        <f>+'B) Reajuste Tarifas y Ocupación'!O66</f>
        <v>27900</v>
      </c>
      <c r="H205" s="1368"/>
      <c r="I205" s="1368"/>
      <c r="J205" s="1369"/>
      <c r="K205" s="138"/>
      <c r="L205" s="138"/>
      <c r="M205" s="138"/>
      <c r="N205" s="138"/>
      <c r="O205" s="138"/>
      <c r="P205" s="138"/>
      <c r="Q205" s="138"/>
      <c r="R205" s="136"/>
      <c r="S205" s="136"/>
      <c r="T205" s="136"/>
    </row>
    <row r="206" spans="1:20" x14ac:dyDescent="0.35">
      <c r="A206" s="1348"/>
      <c r="B206" s="1385"/>
      <c r="C206" s="416" t="s">
        <v>245</v>
      </c>
      <c r="D206" s="1401"/>
      <c r="E206" s="164">
        <f>+'B) Reajuste Tarifas y Ocupación'!Z66</f>
        <v>0</v>
      </c>
      <c r="F206" s="164">
        <f>+'B) Reajuste Tarifas y Ocupación'!AA66</f>
        <v>0</v>
      </c>
      <c r="G206" s="164">
        <f>+'B) Reajuste Tarifas y Ocupación'!AB66</f>
        <v>0</v>
      </c>
      <c r="H206" s="1368"/>
      <c r="I206" s="1368"/>
      <c r="J206" s="1369"/>
      <c r="K206" s="138"/>
      <c r="L206" s="138"/>
      <c r="M206" s="138"/>
      <c r="N206" s="138"/>
      <c r="O206" s="138"/>
      <c r="P206" s="138"/>
      <c r="Q206" s="138"/>
      <c r="R206" s="136"/>
      <c r="S206" s="136"/>
      <c r="T206" s="136"/>
    </row>
    <row r="207" spans="1:20" ht="15" thickBot="1" x14ac:dyDescent="0.4">
      <c r="A207" s="1348"/>
      <c r="B207" s="1400"/>
      <c r="C207" s="419" t="s">
        <v>246</v>
      </c>
      <c r="D207" s="438"/>
      <c r="E207" s="166">
        <f>E206*E205</f>
        <v>0</v>
      </c>
      <c r="F207" s="166">
        <f>F206*F205</f>
        <v>0</v>
      </c>
      <c r="G207" s="166">
        <f>G206*G205</f>
        <v>0</v>
      </c>
      <c r="H207" s="167">
        <f>(E205-D205)*D206</f>
        <v>0</v>
      </c>
      <c r="I207" s="167">
        <f>SUM(D207:G207)</f>
        <v>0</v>
      </c>
      <c r="J207" s="168">
        <f>H207+I207</f>
        <v>0</v>
      </c>
      <c r="K207" s="138"/>
      <c r="L207" s="138"/>
      <c r="M207" s="138"/>
      <c r="N207" s="138"/>
      <c r="O207" s="138"/>
      <c r="P207" s="138"/>
      <c r="Q207" s="138"/>
      <c r="R207" s="136"/>
      <c r="S207" s="136"/>
      <c r="T207" s="136"/>
    </row>
    <row r="208" spans="1:20" x14ac:dyDescent="0.35">
      <c r="A208" s="1348"/>
      <c r="B208" s="1384" t="str">
        <f>+'B) Reajuste Tarifas y Ocupación'!B67</f>
        <v>Superior</v>
      </c>
      <c r="C208" s="161" t="s">
        <v>398</v>
      </c>
      <c r="D208" s="1405"/>
      <c r="E208" s="175">
        <f>+'B) Reajuste Tarifas y Ocupación'!M67</f>
        <v>27300</v>
      </c>
      <c r="F208" s="175">
        <f>+'B) Reajuste Tarifas y Ocupación'!N67</f>
        <v>33900</v>
      </c>
      <c r="G208" s="175">
        <f>+'B) Reajuste Tarifas y Ocupación'!O67</f>
        <v>37000</v>
      </c>
      <c r="H208" s="1368"/>
      <c r="I208" s="1368"/>
      <c r="J208" s="1369"/>
      <c r="K208" s="138"/>
      <c r="L208" s="138"/>
      <c r="M208" s="138"/>
      <c r="N208" s="138"/>
      <c r="O208" s="138"/>
      <c r="P208" s="138"/>
      <c r="Q208" s="138"/>
      <c r="R208" s="136"/>
      <c r="S208" s="136"/>
      <c r="T208" s="136"/>
    </row>
    <row r="209" spans="1:20" x14ac:dyDescent="0.35">
      <c r="A209" s="1348"/>
      <c r="B209" s="1385"/>
      <c r="C209" s="416" t="s">
        <v>245</v>
      </c>
      <c r="D209" s="1401"/>
      <c r="E209" s="164">
        <f>+'B) Reajuste Tarifas y Ocupación'!Z67</f>
        <v>0</v>
      </c>
      <c r="F209" s="164">
        <f>+'B) Reajuste Tarifas y Ocupación'!AA67</f>
        <v>0</v>
      </c>
      <c r="G209" s="164">
        <f>+'B) Reajuste Tarifas y Ocupación'!AB67</f>
        <v>0</v>
      </c>
      <c r="H209" s="1368"/>
      <c r="I209" s="1368"/>
      <c r="J209" s="1369"/>
      <c r="K209" s="138"/>
      <c r="L209" s="138"/>
      <c r="M209" s="138"/>
      <c r="N209" s="138"/>
      <c r="O209" s="138"/>
      <c r="P209" s="138"/>
      <c r="Q209" s="138"/>
      <c r="R209" s="136"/>
      <c r="S209" s="136"/>
      <c r="T209" s="136"/>
    </row>
    <row r="210" spans="1:20" x14ac:dyDescent="0.35">
      <c r="A210" s="1348"/>
      <c r="B210" s="1386"/>
      <c r="C210" s="427" t="s">
        <v>246</v>
      </c>
      <c r="D210" s="170"/>
      <c r="E210" s="166">
        <f>E209*E208</f>
        <v>0</v>
      </c>
      <c r="F210" s="166">
        <f>F209*F208</f>
        <v>0</v>
      </c>
      <c r="G210" s="166">
        <f>G209*G208</f>
        <v>0</v>
      </c>
      <c r="H210" s="167">
        <f>(E208-D208)*D209</f>
        <v>0</v>
      </c>
      <c r="I210" s="167">
        <f>SUM(D210:G210)</f>
        <v>0</v>
      </c>
      <c r="J210" s="168">
        <f>H210+I210</f>
        <v>0</v>
      </c>
      <c r="K210" s="138"/>
      <c r="L210" s="138"/>
      <c r="M210" s="138"/>
      <c r="N210" s="138"/>
      <c r="O210" s="138"/>
      <c r="P210" s="138"/>
      <c r="Q210" s="138"/>
      <c r="R210" s="136"/>
      <c r="S210" s="136"/>
      <c r="T210" s="136"/>
    </row>
    <row r="211" spans="1:20" ht="15" thickBot="1" x14ac:dyDescent="0.4">
      <c r="A211" s="1350"/>
      <c r="B211" s="1370" t="s">
        <v>247</v>
      </c>
      <c r="C211" s="1372"/>
      <c r="D211" s="176">
        <f t="shared" ref="D211:J211" si="15">+D183+D186+D189+D192+D195+D198+D201+D204+D207+D210</f>
        <v>37577600</v>
      </c>
      <c r="E211" s="176">
        <f t="shared" si="15"/>
        <v>4437000</v>
      </c>
      <c r="F211" s="176">
        <f t="shared" si="15"/>
        <v>617800</v>
      </c>
      <c r="G211" s="176">
        <f t="shared" si="15"/>
        <v>0</v>
      </c>
      <c r="H211" s="176">
        <f t="shared" si="15"/>
        <v>20169800</v>
      </c>
      <c r="I211" s="176">
        <f t="shared" si="15"/>
        <v>42632400</v>
      </c>
      <c r="J211" s="176">
        <f t="shared" si="15"/>
        <v>62802200</v>
      </c>
      <c r="K211" s="138"/>
      <c r="L211" s="138"/>
      <c r="M211" s="138"/>
      <c r="N211" s="138"/>
      <c r="O211" s="138"/>
      <c r="P211" s="138"/>
      <c r="Q211" s="138"/>
      <c r="R211" s="136"/>
      <c r="S211" s="136"/>
      <c r="T211" s="136"/>
    </row>
    <row r="212" spans="1:20" x14ac:dyDescent="0.35">
      <c r="A212" s="138"/>
      <c r="B212" s="138"/>
      <c r="C212" s="138"/>
      <c r="D212" s="138"/>
      <c r="E212" s="138"/>
      <c r="F212" s="138"/>
      <c r="G212" s="138"/>
      <c r="H212" s="138"/>
      <c r="I212" s="138"/>
      <c r="J212" s="138"/>
      <c r="K212" s="138"/>
      <c r="L212" s="138"/>
      <c r="M212" s="138"/>
      <c r="N212" s="138"/>
      <c r="O212" s="138"/>
      <c r="P212" s="138"/>
      <c r="Q212" s="138"/>
      <c r="R212" s="136"/>
      <c r="S212" s="136"/>
      <c r="T212" s="136"/>
    </row>
    <row r="213" spans="1:20" x14ac:dyDescent="0.35">
      <c r="A213" s="138"/>
      <c r="B213" s="138"/>
      <c r="C213" s="138"/>
      <c r="D213" s="138"/>
      <c r="E213" s="138"/>
      <c r="F213" s="138"/>
      <c r="G213" s="138"/>
      <c r="H213" s="138"/>
      <c r="I213" s="138"/>
      <c r="J213" s="138"/>
      <c r="K213" s="138"/>
      <c r="L213" s="138"/>
      <c r="M213" s="138"/>
      <c r="N213" s="138"/>
      <c r="O213" s="138"/>
      <c r="P213" s="138"/>
      <c r="Q213" s="138"/>
      <c r="R213" s="136"/>
      <c r="S213" s="136"/>
      <c r="T213" s="136"/>
    </row>
    <row r="214" spans="1:20" x14ac:dyDescent="0.35">
      <c r="A214" s="138"/>
      <c r="B214" s="138"/>
      <c r="C214" s="138"/>
      <c r="D214" s="138"/>
      <c r="E214" s="138"/>
      <c r="F214" s="138"/>
      <c r="G214" s="138"/>
      <c r="H214" s="138"/>
      <c r="I214" s="138"/>
      <c r="J214" s="138"/>
      <c r="K214" s="138"/>
      <c r="L214" s="138"/>
      <c r="M214" s="138"/>
      <c r="N214" s="138"/>
      <c r="O214" s="138"/>
      <c r="P214" s="138"/>
      <c r="Q214" s="138"/>
      <c r="R214" s="136"/>
      <c r="S214" s="136"/>
      <c r="T214" s="136"/>
    </row>
    <row r="215" spans="1:20" x14ac:dyDescent="0.35">
      <c r="A215" s="138"/>
      <c r="B215" s="138"/>
      <c r="C215" s="138"/>
      <c r="D215" s="138"/>
      <c r="E215" s="138"/>
      <c r="F215" s="138"/>
      <c r="G215" s="138"/>
      <c r="H215" s="138"/>
      <c r="I215" s="138"/>
      <c r="J215" s="138"/>
      <c r="K215" s="138"/>
      <c r="L215" s="138"/>
      <c r="M215" s="138"/>
      <c r="N215" s="138"/>
      <c r="O215" s="138"/>
      <c r="P215" s="138"/>
      <c r="Q215" s="138"/>
      <c r="R215" s="136"/>
      <c r="S215" s="136"/>
      <c r="T215" s="136"/>
    </row>
    <row r="216" spans="1:20" x14ac:dyDescent="0.35">
      <c r="A216" s="138"/>
      <c r="B216" s="138"/>
      <c r="C216" s="138"/>
      <c r="D216" s="138"/>
      <c r="E216" s="138"/>
      <c r="F216" s="138"/>
      <c r="G216" s="138"/>
      <c r="H216" s="138"/>
      <c r="I216" s="138"/>
      <c r="J216" s="138"/>
      <c r="K216" s="138"/>
      <c r="L216" s="138"/>
      <c r="M216" s="138"/>
      <c r="N216" s="138"/>
      <c r="O216" s="138"/>
      <c r="P216" s="138"/>
      <c r="Q216" s="138"/>
      <c r="R216" s="136"/>
      <c r="S216" s="136"/>
      <c r="T216" s="136"/>
    </row>
    <row r="217" spans="1:20" x14ac:dyDescent="0.35">
      <c r="A217" s="138"/>
      <c r="B217" s="138"/>
      <c r="C217" s="138"/>
      <c r="D217" s="138"/>
      <c r="E217" s="138"/>
      <c r="F217" s="138"/>
      <c r="G217" s="138"/>
      <c r="H217" s="138"/>
      <c r="I217" s="138"/>
      <c r="J217" s="138"/>
      <c r="K217" s="138"/>
      <c r="L217" s="138"/>
      <c r="M217" s="138"/>
      <c r="N217" s="138"/>
      <c r="O217" s="138"/>
      <c r="P217" s="138"/>
      <c r="Q217" s="138"/>
      <c r="R217" s="136"/>
      <c r="S217" s="136"/>
      <c r="T217" s="136"/>
    </row>
    <row r="218" spans="1:20" x14ac:dyDescent="0.35">
      <c r="A218" s="138"/>
      <c r="B218" s="138"/>
      <c r="C218" s="138"/>
      <c r="D218" s="138"/>
      <c r="E218" s="138"/>
      <c r="F218" s="138"/>
      <c r="G218" s="138"/>
      <c r="H218" s="138"/>
      <c r="I218" s="138"/>
      <c r="J218" s="138"/>
      <c r="K218" s="138"/>
      <c r="L218" s="138"/>
      <c r="M218" s="138"/>
      <c r="N218" s="138"/>
      <c r="O218" s="138"/>
      <c r="P218" s="138"/>
      <c r="Q218" s="138"/>
      <c r="R218" s="136"/>
      <c r="S218" s="136"/>
      <c r="T218" s="136"/>
    </row>
    <row r="219" spans="1:20" x14ac:dyDescent="0.35">
      <c r="A219" s="138"/>
      <c r="B219" s="138"/>
      <c r="C219" s="138"/>
      <c r="D219" s="138"/>
      <c r="E219" s="138"/>
      <c r="F219" s="138"/>
      <c r="G219" s="138"/>
      <c r="H219" s="138"/>
      <c r="I219" s="138"/>
      <c r="J219" s="138"/>
      <c r="K219" s="138"/>
      <c r="L219" s="138"/>
      <c r="M219" s="138"/>
      <c r="N219" s="138"/>
      <c r="O219" s="138"/>
      <c r="P219" s="138"/>
      <c r="Q219" s="138"/>
      <c r="R219" s="136"/>
      <c r="S219" s="136"/>
      <c r="T219" s="136"/>
    </row>
    <row r="220" spans="1:20" x14ac:dyDescent="0.35">
      <c r="A220" s="138"/>
      <c r="B220" s="138"/>
      <c r="C220" s="138"/>
      <c r="D220" s="138"/>
      <c r="E220" s="138"/>
      <c r="F220" s="138"/>
      <c r="G220" s="138"/>
      <c r="H220" s="138"/>
      <c r="I220" s="138"/>
      <c r="J220" s="138"/>
      <c r="K220" s="138"/>
      <c r="L220" s="138"/>
      <c r="M220" s="138"/>
      <c r="N220" s="138"/>
      <c r="O220" s="138"/>
      <c r="P220" s="138"/>
      <c r="Q220" s="138"/>
      <c r="R220" s="136"/>
      <c r="S220" s="136"/>
      <c r="T220" s="136"/>
    </row>
    <row r="221" spans="1:20" x14ac:dyDescent="0.35">
      <c r="A221" s="138"/>
      <c r="B221" s="138"/>
      <c r="C221" s="138"/>
      <c r="D221" s="138"/>
      <c r="E221" s="138"/>
      <c r="F221" s="138"/>
      <c r="G221" s="138"/>
      <c r="H221" s="138"/>
      <c r="I221" s="138"/>
      <c r="J221" s="138"/>
      <c r="K221" s="138"/>
      <c r="L221" s="138"/>
      <c r="M221" s="138"/>
      <c r="N221" s="138"/>
      <c r="O221" s="138"/>
      <c r="P221" s="138"/>
      <c r="Q221" s="138"/>
      <c r="R221" s="136"/>
      <c r="S221" s="136"/>
      <c r="T221" s="136"/>
    </row>
    <row r="222" spans="1:20" x14ac:dyDescent="0.35">
      <c r="A222" s="138"/>
      <c r="B222" s="138"/>
      <c r="C222" s="138"/>
      <c r="D222" s="138"/>
      <c r="E222" s="138"/>
      <c r="F222" s="138"/>
      <c r="G222" s="138"/>
      <c r="H222" s="138"/>
      <c r="I222" s="138"/>
      <c r="J222" s="138"/>
      <c r="K222" s="138"/>
      <c r="L222" s="138"/>
      <c r="M222" s="138"/>
      <c r="N222" s="138"/>
      <c r="O222" s="138"/>
      <c r="P222" s="138"/>
      <c r="Q222" s="138"/>
      <c r="R222" s="136"/>
      <c r="S222" s="136"/>
      <c r="T222" s="136"/>
    </row>
    <row r="223" spans="1:20" x14ac:dyDescent="0.35">
      <c r="A223" s="138"/>
      <c r="B223" s="138"/>
      <c r="C223" s="138"/>
      <c r="D223" s="138"/>
      <c r="E223" s="138"/>
      <c r="F223" s="138"/>
      <c r="G223" s="138"/>
      <c r="H223" s="138"/>
      <c r="I223" s="138"/>
      <c r="J223" s="138"/>
      <c r="K223" s="138"/>
      <c r="L223" s="138"/>
      <c r="M223" s="138"/>
      <c r="N223" s="138"/>
      <c r="O223" s="138"/>
      <c r="P223" s="138"/>
      <c r="Q223" s="138"/>
      <c r="R223" s="136"/>
      <c r="S223" s="136"/>
      <c r="T223" s="136"/>
    </row>
    <row r="224" spans="1:20" x14ac:dyDescent="0.35">
      <c r="A224" s="138"/>
      <c r="B224" s="138"/>
      <c r="C224" s="138"/>
      <c r="D224" s="138"/>
      <c r="E224" s="138"/>
      <c r="F224" s="138"/>
      <c r="G224" s="138"/>
      <c r="H224" s="138"/>
      <c r="I224" s="138"/>
      <c r="J224" s="138"/>
      <c r="K224" s="138"/>
      <c r="L224" s="138"/>
      <c r="M224" s="138"/>
      <c r="N224" s="138"/>
      <c r="O224" s="138"/>
      <c r="P224" s="138"/>
      <c r="Q224" s="138"/>
      <c r="R224" s="136"/>
      <c r="S224" s="136"/>
      <c r="T224" s="136"/>
    </row>
    <row r="225" spans="1:20" x14ac:dyDescent="0.35">
      <c r="A225" s="138"/>
      <c r="B225" s="138"/>
      <c r="C225" s="138"/>
      <c r="D225" s="138"/>
      <c r="E225" s="138"/>
      <c r="F225" s="138"/>
      <c r="G225" s="138"/>
      <c r="H225" s="138"/>
      <c r="I225" s="138"/>
      <c r="J225" s="138"/>
      <c r="K225" s="138"/>
      <c r="L225" s="138"/>
      <c r="M225" s="138"/>
      <c r="N225" s="138"/>
      <c r="O225" s="138"/>
      <c r="P225" s="138"/>
      <c r="Q225" s="138"/>
      <c r="R225" s="136"/>
      <c r="S225" s="136"/>
      <c r="T225" s="136"/>
    </row>
    <row r="226" spans="1:20" x14ac:dyDescent="0.35">
      <c r="A226" s="138"/>
      <c r="B226" s="138"/>
      <c r="C226" s="138"/>
      <c r="D226" s="138"/>
      <c r="E226" s="138"/>
      <c r="F226" s="138"/>
      <c r="G226" s="138"/>
      <c r="H226" s="138"/>
      <c r="I226" s="138"/>
      <c r="J226" s="138"/>
      <c r="K226" s="138"/>
      <c r="L226" s="138"/>
      <c r="M226" s="138"/>
      <c r="N226" s="138"/>
      <c r="O226" s="138"/>
      <c r="P226" s="138"/>
      <c r="Q226" s="138"/>
      <c r="R226" s="136"/>
      <c r="S226" s="136"/>
      <c r="T226" s="136"/>
    </row>
    <row r="227" spans="1:20" x14ac:dyDescent="0.35">
      <c r="A227" s="138"/>
      <c r="B227" s="138"/>
      <c r="C227" s="138"/>
      <c r="D227" s="138"/>
      <c r="E227" s="138"/>
      <c r="F227" s="138"/>
      <c r="G227" s="138"/>
      <c r="H227" s="138"/>
      <c r="I227" s="138"/>
      <c r="J227" s="138"/>
      <c r="K227" s="138"/>
      <c r="L227" s="138"/>
      <c r="M227" s="138"/>
      <c r="N227" s="138"/>
      <c r="O227" s="138"/>
      <c r="P227" s="138"/>
      <c r="Q227" s="138"/>
      <c r="R227" s="136"/>
      <c r="S227" s="136"/>
      <c r="T227" s="136"/>
    </row>
    <row r="228" spans="1:20" x14ac:dyDescent="0.35">
      <c r="A228" s="138"/>
      <c r="B228" s="138"/>
      <c r="C228" s="138"/>
      <c r="D228" s="138"/>
      <c r="E228" s="138"/>
      <c r="F228" s="138"/>
      <c r="G228" s="138"/>
      <c r="H228" s="138"/>
      <c r="I228" s="138"/>
      <c r="J228" s="138"/>
      <c r="K228" s="138"/>
      <c r="L228" s="138"/>
      <c r="M228" s="138"/>
      <c r="N228" s="138"/>
      <c r="O228" s="138"/>
      <c r="P228" s="138"/>
      <c r="Q228" s="138"/>
      <c r="R228" s="136"/>
      <c r="S228" s="136"/>
      <c r="T228" s="136"/>
    </row>
    <row r="229" spans="1:20" x14ac:dyDescent="0.35">
      <c r="A229" s="138"/>
      <c r="B229" s="138"/>
      <c r="C229" s="138"/>
      <c r="D229" s="138"/>
      <c r="E229" s="138"/>
      <c r="F229" s="138"/>
      <c r="G229" s="138"/>
      <c r="H229" s="138"/>
      <c r="I229" s="138"/>
      <c r="J229" s="138"/>
      <c r="K229" s="138"/>
      <c r="L229" s="138"/>
      <c r="M229" s="138"/>
      <c r="N229" s="138"/>
      <c r="O229" s="138"/>
      <c r="P229" s="138"/>
      <c r="Q229" s="138"/>
      <c r="R229" s="136"/>
      <c r="S229" s="136"/>
      <c r="T229" s="136"/>
    </row>
    <row r="230" spans="1:20" x14ac:dyDescent="0.35">
      <c r="A230" s="138"/>
      <c r="B230" s="138"/>
      <c r="C230" s="138"/>
      <c r="D230" s="138"/>
      <c r="E230" s="138"/>
      <c r="F230" s="138"/>
      <c r="G230" s="138"/>
      <c r="H230" s="138"/>
      <c r="I230" s="138"/>
      <c r="J230" s="138"/>
      <c r="K230" s="138"/>
      <c r="L230" s="138"/>
      <c r="M230" s="138"/>
      <c r="N230" s="138"/>
      <c r="O230" s="138"/>
      <c r="P230" s="138"/>
      <c r="Q230" s="138"/>
      <c r="R230" s="136"/>
      <c r="S230" s="136"/>
      <c r="T230" s="136"/>
    </row>
    <row r="231" spans="1:20" x14ac:dyDescent="0.35">
      <c r="A231" s="138"/>
      <c r="B231" s="138"/>
      <c r="C231" s="138"/>
      <c r="D231" s="138"/>
      <c r="E231" s="138"/>
      <c r="F231" s="138"/>
      <c r="G231" s="138"/>
      <c r="H231" s="138"/>
      <c r="I231" s="138"/>
      <c r="J231" s="138"/>
      <c r="K231" s="138"/>
      <c r="L231" s="138"/>
      <c r="M231" s="138"/>
      <c r="N231" s="138"/>
      <c r="O231" s="138"/>
      <c r="P231" s="138"/>
      <c r="Q231" s="138"/>
      <c r="R231" s="136"/>
      <c r="S231" s="136"/>
      <c r="T231" s="136"/>
    </row>
    <row r="232" spans="1:20" x14ac:dyDescent="0.35">
      <c r="A232" s="138"/>
      <c r="B232" s="138"/>
      <c r="C232" s="138"/>
      <c r="D232" s="138"/>
      <c r="E232" s="138"/>
      <c r="F232" s="138"/>
      <c r="G232" s="138"/>
      <c r="H232" s="138"/>
      <c r="I232" s="138"/>
      <c r="J232" s="138"/>
      <c r="K232" s="138"/>
      <c r="L232" s="138"/>
      <c r="M232" s="138"/>
      <c r="N232" s="138"/>
      <c r="O232" s="138"/>
      <c r="P232" s="138"/>
      <c r="Q232" s="138"/>
      <c r="R232" s="136"/>
      <c r="S232" s="136"/>
      <c r="T232" s="136"/>
    </row>
    <row r="233" spans="1:20" x14ac:dyDescent="0.35">
      <c r="K233" s="138"/>
      <c r="L233" s="138"/>
      <c r="M233" s="138"/>
      <c r="N233" s="138"/>
      <c r="O233" s="138"/>
      <c r="P233" s="138"/>
      <c r="Q233" s="138"/>
      <c r="R233" s="136"/>
      <c r="S233" s="136"/>
      <c r="T233" s="136"/>
    </row>
    <row r="234" spans="1:20" x14ac:dyDescent="0.35">
      <c r="K234" s="138"/>
      <c r="L234" s="138"/>
      <c r="M234" s="138"/>
      <c r="N234" s="138"/>
      <c r="O234" s="138"/>
      <c r="P234" s="138"/>
      <c r="Q234" s="138"/>
      <c r="R234" s="136"/>
      <c r="S234" s="136"/>
      <c r="T234" s="136"/>
    </row>
    <row r="235" spans="1:20" x14ac:dyDescent="0.35">
      <c r="K235" s="138"/>
      <c r="L235" s="138"/>
      <c r="M235" s="138"/>
      <c r="N235" s="138"/>
      <c r="O235" s="138"/>
      <c r="P235" s="138"/>
      <c r="Q235" s="138"/>
      <c r="R235" s="136"/>
      <c r="S235" s="136"/>
      <c r="T235" s="136"/>
    </row>
    <row r="236" spans="1:20" x14ac:dyDescent="0.35">
      <c r="K236" s="138"/>
      <c r="L236" s="138"/>
      <c r="M236" s="138"/>
      <c r="N236" s="138"/>
      <c r="O236" s="138"/>
      <c r="P236" s="138"/>
      <c r="Q236" s="138"/>
      <c r="R236" s="136"/>
      <c r="S236" s="136"/>
      <c r="T236" s="136"/>
    </row>
    <row r="237" spans="1:20" x14ac:dyDescent="0.35">
      <c r="K237" s="138"/>
      <c r="L237" s="138"/>
      <c r="M237" s="138"/>
      <c r="N237" s="138"/>
      <c r="O237" s="138"/>
      <c r="P237" s="138"/>
      <c r="Q237" s="138"/>
      <c r="R237" s="136"/>
      <c r="S237" s="136"/>
      <c r="T237" s="136"/>
    </row>
    <row r="238" spans="1:20" x14ac:dyDescent="0.35">
      <c r="K238" s="138"/>
      <c r="L238" s="138"/>
      <c r="M238" s="138"/>
      <c r="N238" s="138"/>
      <c r="O238" s="138"/>
      <c r="P238" s="138"/>
      <c r="Q238" s="138"/>
      <c r="R238" s="136"/>
      <c r="S238" s="136"/>
      <c r="T238" s="136"/>
    </row>
    <row r="239" spans="1:20" x14ac:dyDescent="0.35">
      <c r="K239" s="138"/>
      <c r="L239" s="138"/>
      <c r="M239" s="138"/>
      <c r="N239" s="138"/>
      <c r="O239" s="138"/>
      <c r="P239" s="138"/>
      <c r="Q239" s="138"/>
      <c r="R239" s="136"/>
      <c r="S239" s="136"/>
      <c r="T239" s="136"/>
    </row>
    <row r="240" spans="1:20" x14ac:dyDescent="0.35">
      <c r="K240" s="138"/>
      <c r="L240" s="138"/>
      <c r="M240" s="138"/>
      <c r="N240" s="138"/>
      <c r="O240" s="138"/>
      <c r="P240" s="138"/>
      <c r="Q240" s="138"/>
      <c r="R240" s="136"/>
      <c r="S240" s="136"/>
      <c r="T240" s="136"/>
    </row>
    <row r="241" spans="11:20" x14ac:dyDescent="0.35">
      <c r="K241" s="138"/>
      <c r="L241" s="138"/>
      <c r="M241" s="138"/>
      <c r="N241" s="138"/>
      <c r="O241" s="138"/>
      <c r="P241" s="138"/>
      <c r="Q241" s="138"/>
      <c r="R241" s="136"/>
      <c r="S241" s="136"/>
      <c r="T241" s="136"/>
    </row>
    <row r="242" spans="11:20" x14ac:dyDescent="0.35">
      <c r="K242" s="138"/>
      <c r="L242" s="138"/>
      <c r="M242" s="138"/>
      <c r="N242" s="138"/>
      <c r="O242" s="138"/>
      <c r="P242" s="138"/>
      <c r="Q242" s="138"/>
      <c r="R242" s="136"/>
      <c r="S242" s="136"/>
      <c r="T242" s="136"/>
    </row>
    <row r="243" spans="11:20" x14ac:dyDescent="0.35">
      <c r="K243" s="138"/>
      <c r="L243" s="138"/>
      <c r="M243" s="138"/>
      <c r="N243" s="138"/>
      <c r="O243" s="138"/>
      <c r="P243" s="138"/>
      <c r="Q243" s="138"/>
      <c r="R243" s="136"/>
      <c r="S243" s="136"/>
      <c r="T243" s="136"/>
    </row>
    <row r="244" spans="11:20" x14ac:dyDescent="0.35">
      <c r="K244" s="138"/>
      <c r="L244" s="138"/>
      <c r="M244" s="138"/>
      <c r="N244" s="138"/>
      <c r="O244" s="138"/>
      <c r="P244" s="138"/>
      <c r="Q244" s="138"/>
      <c r="R244" s="136"/>
      <c r="S244" s="136"/>
      <c r="T244" s="136"/>
    </row>
    <row r="245" spans="11:20" x14ac:dyDescent="0.35">
      <c r="K245" s="138"/>
      <c r="L245" s="138"/>
      <c r="M245" s="138"/>
      <c r="N245" s="138"/>
      <c r="O245" s="138"/>
      <c r="P245" s="138"/>
      <c r="Q245" s="138"/>
      <c r="R245" s="136"/>
      <c r="S245" s="136"/>
      <c r="T245" s="136"/>
    </row>
    <row r="246" spans="11:20" x14ac:dyDescent="0.35">
      <c r="K246" s="138"/>
      <c r="L246" s="138"/>
      <c r="M246" s="138"/>
      <c r="N246" s="138"/>
      <c r="O246" s="138"/>
      <c r="P246" s="138"/>
      <c r="Q246" s="138"/>
      <c r="R246" s="136"/>
      <c r="S246" s="136"/>
      <c r="T246" s="136"/>
    </row>
    <row r="247" spans="11:20" x14ac:dyDescent="0.35">
      <c r="K247" s="138"/>
      <c r="L247" s="138"/>
      <c r="M247" s="138"/>
      <c r="N247" s="138"/>
      <c r="O247" s="138"/>
      <c r="P247" s="138"/>
      <c r="Q247" s="138"/>
      <c r="R247" s="136"/>
      <c r="S247" s="136"/>
      <c r="T247" s="136"/>
    </row>
    <row r="248" spans="11:20" x14ac:dyDescent="0.35">
      <c r="K248" s="138"/>
      <c r="L248" s="138"/>
      <c r="M248" s="138"/>
      <c r="N248" s="138"/>
      <c r="O248" s="138"/>
      <c r="P248" s="138"/>
      <c r="Q248" s="138"/>
      <c r="R248" s="136"/>
      <c r="S248" s="136"/>
      <c r="T248" s="136"/>
    </row>
    <row r="249" spans="11:20" x14ac:dyDescent="0.35">
      <c r="K249" s="138"/>
      <c r="L249" s="138"/>
      <c r="M249" s="138"/>
      <c r="N249" s="138"/>
      <c r="O249" s="138"/>
      <c r="P249" s="138"/>
      <c r="Q249" s="138"/>
      <c r="R249" s="136"/>
      <c r="S249" s="136"/>
      <c r="T249" s="136"/>
    </row>
    <row r="250" spans="11:20" x14ac:dyDescent="0.35">
      <c r="K250" s="138"/>
      <c r="L250" s="138"/>
      <c r="M250" s="138"/>
      <c r="N250" s="138"/>
      <c r="O250" s="138"/>
      <c r="P250" s="138"/>
      <c r="Q250" s="138"/>
      <c r="R250" s="136"/>
      <c r="S250" s="136"/>
      <c r="T250" s="136"/>
    </row>
    <row r="251" spans="11:20" x14ac:dyDescent="0.35">
      <c r="K251" s="138"/>
      <c r="L251" s="138"/>
      <c r="M251" s="138"/>
      <c r="N251" s="138"/>
      <c r="O251" s="138"/>
      <c r="P251" s="138"/>
      <c r="Q251" s="138"/>
      <c r="R251" s="136"/>
      <c r="S251" s="136"/>
      <c r="T251" s="136"/>
    </row>
    <row r="252" spans="11:20" x14ac:dyDescent="0.35">
      <c r="K252" s="138"/>
      <c r="L252" s="138"/>
      <c r="M252" s="138"/>
      <c r="N252" s="138"/>
      <c r="O252" s="138"/>
      <c r="P252" s="138"/>
      <c r="Q252" s="138"/>
      <c r="R252" s="136"/>
      <c r="S252" s="136"/>
      <c r="T252" s="136"/>
    </row>
    <row r="253" spans="11:20" x14ac:dyDescent="0.35">
      <c r="K253" s="138"/>
      <c r="L253" s="138"/>
      <c r="M253" s="138"/>
      <c r="N253" s="138"/>
      <c r="O253" s="138"/>
      <c r="P253" s="138"/>
      <c r="Q253" s="138"/>
      <c r="R253" s="136"/>
      <c r="S253" s="136"/>
      <c r="T253" s="136"/>
    </row>
    <row r="254" spans="11:20" x14ac:dyDescent="0.35">
      <c r="K254" s="138"/>
      <c r="L254" s="138"/>
      <c r="M254" s="138"/>
      <c r="N254" s="138"/>
      <c r="O254" s="138"/>
      <c r="P254" s="138"/>
      <c r="Q254" s="138"/>
      <c r="R254" s="136"/>
      <c r="S254" s="136"/>
      <c r="T254" s="136"/>
    </row>
  </sheetData>
  <mergeCells count="321">
    <mergeCell ref="D202:D203"/>
    <mergeCell ref="H202:H203"/>
    <mergeCell ref="I202:I203"/>
    <mergeCell ref="J202:J203"/>
    <mergeCell ref="B205:B207"/>
    <mergeCell ref="D205:D206"/>
    <mergeCell ref="H205:H206"/>
    <mergeCell ref="I205:I206"/>
    <mergeCell ref="J205:J206"/>
    <mergeCell ref="B180:C180"/>
    <mergeCell ref="H196:H197"/>
    <mergeCell ref="I196:I197"/>
    <mergeCell ref="J196:J197"/>
    <mergeCell ref="B199:B201"/>
    <mergeCell ref="D199:D200"/>
    <mergeCell ref="H199:H200"/>
    <mergeCell ref="I199:I200"/>
    <mergeCell ref="J199:J200"/>
    <mergeCell ref="B193:B195"/>
    <mergeCell ref="H193:H194"/>
    <mergeCell ref="I193:I194"/>
    <mergeCell ref="J193:J194"/>
    <mergeCell ref="B196:B198"/>
    <mergeCell ref="C196:C197"/>
    <mergeCell ref="D196:D197"/>
    <mergeCell ref="E196:E197"/>
    <mergeCell ref="F196:F197"/>
    <mergeCell ref="G196:G197"/>
    <mergeCell ref="A181:A211"/>
    <mergeCell ref="B181:B183"/>
    <mergeCell ref="H181:H182"/>
    <mergeCell ref="I181:I182"/>
    <mergeCell ref="J181:J182"/>
    <mergeCell ref="B184:B186"/>
    <mergeCell ref="H184:H185"/>
    <mergeCell ref="I184:I185"/>
    <mergeCell ref="J184:J185"/>
    <mergeCell ref="B187:B189"/>
    <mergeCell ref="H187:H188"/>
    <mergeCell ref="I187:I188"/>
    <mergeCell ref="J187:J188"/>
    <mergeCell ref="B190:B192"/>
    <mergeCell ref="H190:H191"/>
    <mergeCell ref="I190:I191"/>
    <mergeCell ref="J190:J191"/>
    <mergeCell ref="B208:B210"/>
    <mergeCell ref="D208:D209"/>
    <mergeCell ref="H208:H209"/>
    <mergeCell ref="I208:I209"/>
    <mergeCell ref="J208:J209"/>
    <mergeCell ref="B211:C211"/>
    <mergeCell ref="B202:B204"/>
    <mergeCell ref="B174:B176"/>
    <mergeCell ref="D174:D175"/>
    <mergeCell ref="H174:H175"/>
    <mergeCell ref="I174:I175"/>
    <mergeCell ref="J174:J175"/>
    <mergeCell ref="B177:B179"/>
    <mergeCell ref="D177:D178"/>
    <mergeCell ref="H177:H178"/>
    <mergeCell ref="I177:I178"/>
    <mergeCell ref="J177:J178"/>
    <mergeCell ref="B168:B170"/>
    <mergeCell ref="D168:D169"/>
    <mergeCell ref="H168:H169"/>
    <mergeCell ref="I168:I169"/>
    <mergeCell ref="J168:J169"/>
    <mergeCell ref="B171:B173"/>
    <mergeCell ref="D171:D172"/>
    <mergeCell ref="H171:H172"/>
    <mergeCell ref="I171:I172"/>
    <mergeCell ref="J171:J172"/>
    <mergeCell ref="H162:H163"/>
    <mergeCell ref="I162:I163"/>
    <mergeCell ref="J162:J163"/>
    <mergeCell ref="B165:B167"/>
    <mergeCell ref="D165:D166"/>
    <mergeCell ref="H165:H166"/>
    <mergeCell ref="I165:I166"/>
    <mergeCell ref="J165:J166"/>
    <mergeCell ref="B162:B164"/>
    <mergeCell ref="C162:C163"/>
    <mergeCell ref="D162:D163"/>
    <mergeCell ref="E162:E163"/>
    <mergeCell ref="F162:F163"/>
    <mergeCell ref="G162:G163"/>
    <mergeCell ref="I159:I160"/>
    <mergeCell ref="J159:J160"/>
    <mergeCell ref="H150:H151"/>
    <mergeCell ref="I150:I151"/>
    <mergeCell ref="J150:J151"/>
    <mergeCell ref="B153:B155"/>
    <mergeCell ref="H153:H154"/>
    <mergeCell ref="I153:I154"/>
    <mergeCell ref="J153:J154"/>
    <mergeCell ref="J140:J141"/>
    <mergeCell ref="B143:C143"/>
    <mergeCell ref="E137:E138"/>
    <mergeCell ref="F137:F138"/>
    <mergeCell ref="G137:G138"/>
    <mergeCell ref="H137:H138"/>
    <mergeCell ref="I137:I138"/>
    <mergeCell ref="J137:J138"/>
    <mergeCell ref="A144:A180"/>
    <mergeCell ref="B144:B146"/>
    <mergeCell ref="H144:H145"/>
    <mergeCell ref="I144:I145"/>
    <mergeCell ref="J144:J145"/>
    <mergeCell ref="B147:B149"/>
    <mergeCell ref="H147:H148"/>
    <mergeCell ref="I147:I148"/>
    <mergeCell ref="J147:J148"/>
    <mergeCell ref="B150:B152"/>
    <mergeCell ref="B156:B158"/>
    <mergeCell ref="H156:H157"/>
    <mergeCell ref="I156:I157"/>
    <mergeCell ref="J156:J157"/>
    <mergeCell ref="B159:B161"/>
    <mergeCell ref="H159:H160"/>
    <mergeCell ref="J130:J131"/>
    <mergeCell ref="B133:C133"/>
    <mergeCell ref="A134:A143"/>
    <mergeCell ref="B134:B136"/>
    <mergeCell ref="H134:H135"/>
    <mergeCell ref="I134:I135"/>
    <mergeCell ref="J134:J135"/>
    <mergeCell ref="B137:B139"/>
    <mergeCell ref="C137:C138"/>
    <mergeCell ref="D137:D138"/>
    <mergeCell ref="A127:A133"/>
    <mergeCell ref="B127:B129"/>
    <mergeCell ref="D127:D128"/>
    <mergeCell ref="H127:H128"/>
    <mergeCell ref="I127:I128"/>
    <mergeCell ref="J127:J128"/>
    <mergeCell ref="B130:B132"/>
    <mergeCell ref="D130:D131"/>
    <mergeCell ref="H130:H131"/>
    <mergeCell ref="I130:I131"/>
    <mergeCell ref="B140:B142"/>
    <mergeCell ref="D140:D141"/>
    <mergeCell ref="H140:H141"/>
    <mergeCell ref="I140:I141"/>
    <mergeCell ref="J120:J121"/>
    <mergeCell ref="B123:B125"/>
    <mergeCell ref="D123:D124"/>
    <mergeCell ref="H123:H124"/>
    <mergeCell ref="I123:I124"/>
    <mergeCell ref="J123:J124"/>
    <mergeCell ref="B119:C119"/>
    <mergeCell ref="A120:A126"/>
    <mergeCell ref="B120:B122"/>
    <mergeCell ref="D120:D121"/>
    <mergeCell ref="H120:H121"/>
    <mergeCell ref="I120:I121"/>
    <mergeCell ref="B126:C126"/>
    <mergeCell ref="B113:B115"/>
    <mergeCell ref="H113:H114"/>
    <mergeCell ref="I113:I114"/>
    <mergeCell ref="J113:J114"/>
    <mergeCell ref="B116:B118"/>
    <mergeCell ref="H116:H117"/>
    <mergeCell ref="I116:I117"/>
    <mergeCell ref="J116:J117"/>
    <mergeCell ref="B107:B109"/>
    <mergeCell ref="D107:D108"/>
    <mergeCell ref="H107:H108"/>
    <mergeCell ref="I107:I108"/>
    <mergeCell ref="J107:J108"/>
    <mergeCell ref="B110:B112"/>
    <mergeCell ref="D110:D111"/>
    <mergeCell ref="H110:H111"/>
    <mergeCell ref="I110:I111"/>
    <mergeCell ref="J110:J111"/>
    <mergeCell ref="B101:B103"/>
    <mergeCell ref="D101:D102"/>
    <mergeCell ref="H101:H102"/>
    <mergeCell ref="I101:I102"/>
    <mergeCell ref="J101:J102"/>
    <mergeCell ref="B104:B106"/>
    <mergeCell ref="D104:D105"/>
    <mergeCell ref="H104:H105"/>
    <mergeCell ref="I104:I105"/>
    <mergeCell ref="J104:J105"/>
    <mergeCell ref="B95:B97"/>
    <mergeCell ref="D95:D96"/>
    <mergeCell ref="H95:H96"/>
    <mergeCell ref="I95:I96"/>
    <mergeCell ref="J95:J96"/>
    <mergeCell ref="B98:B100"/>
    <mergeCell ref="D98:D99"/>
    <mergeCell ref="H98:H99"/>
    <mergeCell ref="I98:I99"/>
    <mergeCell ref="J98:J99"/>
    <mergeCell ref="B89:B91"/>
    <mergeCell ref="D89:D90"/>
    <mergeCell ref="H89:H90"/>
    <mergeCell ref="I89:I90"/>
    <mergeCell ref="J89:J90"/>
    <mergeCell ref="B92:B94"/>
    <mergeCell ref="D92:D93"/>
    <mergeCell ref="H92:H93"/>
    <mergeCell ref="I92:I93"/>
    <mergeCell ref="J92:J93"/>
    <mergeCell ref="B80:B82"/>
    <mergeCell ref="H80:H81"/>
    <mergeCell ref="I80:I81"/>
    <mergeCell ref="J80:J81"/>
    <mergeCell ref="A71:A119"/>
    <mergeCell ref="B71:B73"/>
    <mergeCell ref="H71:H72"/>
    <mergeCell ref="I71:I72"/>
    <mergeCell ref="J71:J72"/>
    <mergeCell ref="B74:B76"/>
    <mergeCell ref="H74:H75"/>
    <mergeCell ref="I74:I75"/>
    <mergeCell ref="J74:J75"/>
    <mergeCell ref="B77:B79"/>
    <mergeCell ref="B83:B85"/>
    <mergeCell ref="D83:D84"/>
    <mergeCell ref="H83:H84"/>
    <mergeCell ref="I83:I84"/>
    <mergeCell ref="J83:J84"/>
    <mergeCell ref="B86:B88"/>
    <mergeCell ref="D86:D87"/>
    <mergeCell ref="H86:H87"/>
    <mergeCell ref="I86:I87"/>
    <mergeCell ref="J86:J87"/>
    <mergeCell ref="J67:J68"/>
    <mergeCell ref="B70:C70"/>
    <mergeCell ref="E64:E65"/>
    <mergeCell ref="F64:F65"/>
    <mergeCell ref="G64:G65"/>
    <mergeCell ref="H64:H65"/>
    <mergeCell ref="I64:I65"/>
    <mergeCell ref="J64:J65"/>
    <mergeCell ref="H77:H78"/>
    <mergeCell ref="I77:I78"/>
    <mergeCell ref="J77:J78"/>
    <mergeCell ref="J57:J58"/>
    <mergeCell ref="B60:C60"/>
    <mergeCell ref="A61:A70"/>
    <mergeCell ref="B61:B63"/>
    <mergeCell ref="H61:H62"/>
    <mergeCell ref="I61:I62"/>
    <mergeCell ref="J61:J62"/>
    <mergeCell ref="B64:B66"/>
    <mergeCell ref="C64:C65"/>
    <mergeCell ref="D64:D65"/>
    <mergeCell ref="A54:A60"/>
    <mergeCell ref="B54:B56"/>
    <mergeCell ref="D54:D55"/>
    <mergeCell ref="H54:H55"/>
    <mergeCell ref="I54:I55"/>
    <mergeCell ref="J54:J55"/>
    <mergeCell ref="B57:B59"/>
    <mergeCell ref="D57:D58"/>
    <mergeCell ref="H57:H58"/>
    <mergeCell ref="I57:I58"/>
    <mergeCell ref="B67:B69"/>
    <mergeCell ref="D67:D68"/>
    <mergeCell ref="H67:H68"/>
    <mergeCell ref="I67:I68"/>
    <mergeCell ref="B50:B52"/>
    <mergeCell ref="D50:D51"/>
    <mergeCell ref="H50:H51"/>
    <mergeCell ref="I50:I51"/>
    <mergeCell ref="J50:J51"/>
    <mergeCell ref="B53:C53"/>
    <mergeCell ref="B44:B46"/>
    <mergeCell ref="H44:H45"/>
    <mergeCell ref="I44:I45"/>
    <mergeCell ref="J44:J45"/>
    <mergeCell ref="B47:B49"/>
    <mergeCell ref="D47:D48"/>
    <mergeCell ref="H47:H48"/>
    <mergeCell ref="I47:I48"/>
    <mergeCell ref="J47:J48"/>
    <mergeCell ref="B32:B34"/>
    <mergeCell ref="D32:D33"/>
    <mergeCell ref="H32:H33"/>
    <mergeCell ref="I32:I33"/>
    <mergeCell ref="J32:J33"/>
    <mergeCell ref="B35:B37"/>
    <mergeCell ref="H35:H36"/>
    <mergeCell ref="I35:I36"/>
    <mergeCell ref="J35:J36"/>
    <mergeCell ref="E29:E30"/>
    <mergeCell ref="F29:F30"/>
    <mergeCell ref="G29:G30"/>
    <mergeCell ref="H29:H30"/>
    <mergeCell ref="I29:I30"/>
    <mergeCell ref="J29:J30"/>
    <mergeCell ref="I24:I25"/>
    <mergeCell ref="J24:J25"/>
    <mergeCell ref="A26:A53"/>
    <mergeCell ref="B26:B28"/>
    <mergeCell ref="H26:H27"/>
    <mergeCell ref="I26:I27"/>
    <mergeCell ref="J26:J27"/>
    <mergeCell ref="B29:B31"/>
    <mergeCell ref="C29:C30"/>
    <mergeCell ref="D29:D30"/>
    <mergeCell ref="B38:B40"/>
    <mergeCell ref="H38:H39"/>
    <mergeCell ref="I38:I39"/>
    <mergeCell ref="J38:J39"/>
    <mergeCell ref="B41:B43"/>
    <mergeCell ref="H41:H42"/>
    <mergeCell ref="I41:I42"/>
    <mergeCell ref="J41:J42"/>
    <mergeCell ref="A22:D22"/>
    <mergeCell ref="A24:A25"/>
    <mergeCell ref="B24:B25"/>
    <mergeCell ref="C24:C25"/>
    <mergeCell ref="D24:G24"/>
    <mergeCell ref="H24:H25"/>
    <mergeCell ref="C4:D4"/>
    <mergeCell ref="E4:F4"/>
    <mergeCell ref="A6:D6"/>
    <mergeCell ref="F22:F23"/>
  </mergeCells>
  <conditionalFormatting sqref="B9:M18">
    <cfRule type="cellIs" dxfId="26" priority="10" stopIfTrue="1" operator="lessThan">
      <formula>0</formula>
    </cfRule>
  </conditionalFormatting>
  <conditionalFormatting sqref="C19:L19 D20:L20 D21:I21 E22:I22">
    <cfRule type="cellIs" dxfId="25" priority="11" stopIfTrue="1" operator="lessThan">
      <formula>0</formula>
    </cfRule>
  </conditionalFormatting>
  <conditionalFormatting sqref="M9:N19">
    <cfRule type="cellIs" dxfId="24" priority="1" operator="lessThan">
      <formula>0</formula>
    </cfRule>
  </conditionalFormatting>
  <conditionalFormatting sqref="M22:N22">
    <cfRule type="cellIs" dxfId="23" priority="2" operator="greaterThan">
      <formula>0</formula>
    </cfRule>
    <cfRule type="cellIs" dxfId="22" priority="6" operator="lessThan">
      <formula>0</formula>
    </cfRule>
  </conditionalFormatting>
  <conditionalFormatting sqref="N9:N18">
    <cfRule type="cellIs" dxfId="21" priority="8" operator="lessThan">
      <formula>0</formula>
    </cfRule>
  </conditionalFormatting>
  <conditionalFormatting sqref="N19">
    <cfRule type="cellIs" dxfId="20" priority="3" operator="greaterThan">
      <formula>0</formula>
    </cfRule>
  </conditionalFormatting>
  <hyperlinks>
    <hyperlink ref="A6:D6" location="'Índice Tablas '!A1" display="TABLA 1: RESUMEN DE INGRESOS Y EGRESOS DE CENTROS DE BENEFICIOS" xr:uid="{00000000-0004-0000-0300-000000000000}"/>
    <hyperlink ref="A22:D22" location="'Índice Tablas '!A1" display="TABLA 2: DETALLE DE INGRESOS POR PRESTACIÓN Y SEGMENTO" xr:uid="{00000000-0004-0000-0300-000001000000}"/>
  </hyperlinks>
  <pageMargins left="0.7" right="0.7" top="0.75" bottom="0.75" header="0.3" footer="0.3"/>
  <pageSetup orientation="portrait" r:id="rId1"/>
  <ignoredErrors>
    <ignoredError sqref="H18"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44"/>
  <sheetViews>
    <sheetView workbookViewId="0">
      <selection sqref="A1:N1"/>
    </sheetView>
  </sheetViews>
  <sheetFormatPr baseColWidth="10" defaultRowHeight="14.5" x14ac:dyDescent="0.35"/>
  <sheetData>
    <row r="1" spans="1:16" x14ac:dyDescent="0.35">
      <c r="A1" s="1408" t="s">
        <v>75</v>
      </c>
      <c r="B1" s="1408"/>
      <c r="C1" s="1408"/>
      <c r="D1" s="1408"/>
      <c r="E1" s="1408"/>
      <c r="F1" s="1408"/>
      <c r="G1" s="1408"/>
      <c r="H1" s="1408"/>
      <c r="I1" s="1408"/>
      <c r="J1" s="1408"/>
      <c r="K1" s="1408"/>
      <c r="L1" s="1408"/>
      <c r="M1" s="1408"/>
      <c r="N1" s="1408"/>
    </row>
    <row r="3" spans="1:16" x14ac:dyDescent="0.35">
      <c r="A3" s="22" t="s">
        <v>76</v>
      </c>
      <c r="B3" s="22" t="s">
        <v>77</v>
      </c>
      <c r="C3" s="22" t="s">
        <v>78</v>
      </c>
      <c r="D3" s="22" t="s">
        <v>79</v>
      </c>
      <c r="E3" s="22" t="s">
        <v>80</v>
      </c>
      <c r="F3" s="22" t="s">
        <v>81</v>
      </c>
      <c r="G3" s="22" t="s">
        <v>82</v>
      </c>
      <c r="H3" s="22" t="s">
        <v>83</v>
      </c>
      <c r="I3" s="22" t="s">
        <v>84</v>
      </c>
      <c r="J3" s="22" t="s">
        <v>85</v>
      </c>
      <c r="K3" s="22" t="s">
        <v>86</v>
      </c>
      <c r="L3" s="22" t="s">
        <v>87</v>
      </c>
      <c r="M3" s="22" t="s">
        <v>88</v>
      </c>
      <c r="N3" s="23" t="s">
        <v>89</v>
      </c>
      <c r="P3" s="54" t="s">
        <v>16</v>
      </c>
    </row>
    <row r="4" spans="1:16" ht="15" thickBot="1" x14ac:dyDescent="0.4">
      <c r="A4" s="24">
        <v>2017</v>
      </c>
      <c r="B4" s="25">
        <v>8809478</v>
      </c>
      <c r="C4" s="25">
        <v>9233244</v>
      </c>
      <c r="D4" s="25">
        <v>5002762</v>
      </c>
      <c r="E4" s="25">
        <v>4021239</v>
      </c>
      <c r="F4" s="25">
        <v>6275354</v>
      </c>
      <c r="G4" s="25">
        <v>5569625</v>
      </c>
      <c r="H4" s="25">
        <v>9317730</v>
      </c>
      <c r="I4" s="25">
        <v>4192125</v>
      </c>
      <c r="J4" s="25">
        <v>7073884</v>
      </c>
      <c r="K4" s="25">
        <v>7204234</v>
      </c>
      <c r="L4" s="25">
        <v>6288376</v>
      </c>
      <c r="M4" s="25">
        <v>5336891</v>
      </c>
      <c r="N4" s="25">
        <f>SUM(A4:M4)</f>
        <v>78326959</v>
      </c>
      <c r="P4" s="49">
        <v>-5209959</v>
      </c>
    </row>
    <row r="5" spans="1:16" ht="15" thickBot="1" x14ac:dyDescent="0.4">
      <c r="A5" s="26">
        <v>2018</v>
      </c>
      <c r="B5" s="27">
        <v>7495581</v>
      </c>
      <c r="C5" s="27">
        <v>7301171</v>
      </c>
      <c r="D5" s="27">
        <v>3639467</v>
      </c>
      <c r="E5" s="27">
        <v>7935097</v>
      </c>
      <c r="F5" s="27">
        <v>5787343</v>
      </c>
      <c r="G5" s="27">
        <v>6369437</v>
      </c>
      <c r="H5" s="27">
        <v>8684403</v>
      </c>
      <c r="I5" s="27">
        <v>4999075</v>
      </c>
      <c r="J5" s="27">
        <v>4926794</v>
      </c>
      <c r="K5" s="27">
        <v>6635198</v>
      </c>
      <c r="L5" s="27">
        <v>4076344</v>
      </c>
      <c r="M5" s="27">
        <v>5109462</v>
      </c>
      <c r="N5" s="27">
        <f>SUM(A5:M5)</f>
        <v>72961390</v>
      </c>
      <c r="P5" s="49">
        <v>-4221792</v>
      </c>
    </row>
    <row r="6" spans="1:16" ht="15" thickBot="1" x14ac:dyDescent="0.4">
      <c r="A6" s="26">
        <v>2019</v>
      </c>
      <c r="B6" s="27">
        <v>8371750</v>
      </c>
      <c r="C6" s="27">
        <v>6718702</v>
      </c>
      <c r="D6" s="27">
        <v>5063461</v>
      </c>
      <c r="E6" s="27">
        <v>4813638</v>
      </c>
      <c r="F6" s="27">
        <v>8518657</v>
      </c>
      <c r="G6" s="27">
        <v>6716896</v>
      </c>
      <c r="H6" s="27">
        <v>3887962</v>
      </c>
      <c r="I6" s="27">
        <v>4393946</v>
      </c>
      <c r="J6" s="27">
        <v>5401283</v>
      </c>
      <c r="K6" s="27">
        <v>4388038</v>
      </c>
      <c r="L6" s="27">
        <v>5652338</v>
      </c>
      <c r="M6" s="27">
        <v>6818878</v>
      </c>
      <c r="N6" s="27">
        <f>SUM(A6:M6)</f>
        <v>70747568</v>
      </c>
      <c r="P6" s="49">
        <v>8330211</v>
      </c>
    </row>
    <row r="7" spans="1:16" ht="15" thickBot="1" x14ac:dyDescent="0.4">
      <c r="A7" s="26">
        <v>2020</v>
      </c>
      <c r="B7" s="28">
        <v>6449594</v>
      </c>
      <c r="C7" s="28">
        <v>6519956</v>
      </c>
      <c r="D7" s="28">
        <v>3660004</v>
      </c>
      <c r="E7" s="28">
        <v>80442</v>
      </c>
      <c r="F7" s="28">
        <v>466474</v>
      </c>
      <c r="G7" s="28">
        <v>73235</v>
      </c>
      <c r="H7" s="28">
        <v>2983341</v>
      </c>
      <c r="I7" s="28">
        <v>449579</v>
      </c>
      <c r="J7" s="28">
        <v>1048473</v>
      </c>
      <c r="K7" s="28">
        <v>328814</v>
      </c>
      <c r="L7" s="28">
        <v>1331112</v>
      </c>
      <c r="M7" s="28">
        <v>10532773</v>
      </c>
      <c r="N7" s="28">
        <f>SUM(A7:M7)</f>
        <v>33925817</v>
      </c>
    </row>
    <row r="8" spans="1:16" ht="15" thickBot="1" x14ac:dyDescent="0.4">
      <c r="A8" s="29">
        <v>2021</v>
      </c>
      <c r="B8" s="28">
        <v>3305576</v>
      </c>
      <c r="C8" s="28">
        <v>3856973</v>
      </c>
      <c r="D8" s="28">
        <v>1103626</v>
      </c>
      <c r="E8" s="28">
        <v>892445</v>
      </c>
      <c r="F8" s="28">
        <v>1587296</v>
      </c>
      <c r="G8" s="28">
        <v>1898141</v>
      </c>
      <c r="H8" s="28">
        <v>5755650</v>
      </c>
      <c r="I8" s="28">
        <v>3090735</v>
      </c>
      <c r="J8" s="28">
        <v>5733324</v>
      </c>
      <c r="K8" s="28">
        <f>AVERAGE(B8:J8)</f>
        <v>3024862.888888889</v>
      </c>
      <c r="L8" s="28">
        <f>AVERAGE(C8:K8)</f>
        <v>2993672.5432098764</v>
      </c>
      <c r="M8" s="28">
        <f>AVERAGE(D8:L8)</f>
        <v>2897750.2702331962</v>
      </c>
      <c r="N8" s="28">
        <f>SUM(A8:M8)</f>
        <v>36142072.70233196</v>
      </c>
    </row>
    <row r="10" spans="1:16" x14ac:dyDescent="0.35">
      <c r="L10" s="30" t="s">
        <v>90</v>
      </c>
      <c r="M10" s="30"/>
      <c r="N10" s="31">
        <f>AVERAGE(N4:N6)</f>
        <v>74011972.333333328</v>
      </c>
    </row>
    <row r="13" spans="1:16" x14ac:dyDescent="0.35">
      <c r="A13" s="1409" t="s">
        <v>91</v>
      </c>
      <c r="B13" s="1409"/>
      <c r="C13" s="1409"/>
      <c r="D13" s="1409"/>
      <c r="E13" s="1409"/>
      <c r="F13" s="1409"/>
      <c r="G13" s="1409"/>
      <c r="H13" s="1409"/>
      <c r="I13" s="1409"/>
      <c r="J13" s="1409"/>
      <c r="K13" s="1409"/>
      <c r="L13" s="1409"/>
      <c r="M13" s="1409"/>
      <c r="N13" s="1409"/>
    </row>
    <row r="15" spans="1:16" ht="15" thickBot="1" x14ac:dyDescent="0.4">
      <c r="A15" s="32" t="s">
        <v>76</v>
      </c>
      <c r="B15" s="32" t="s">
        <v>77</v>
      </c>
      <c r="C15" s="32" t="s">
        <v>78</v>
      </c>
      <c r="D15" s="32" t="s">
        <v>79</v>
      </c>
      <c r="E15" s="32" t="s">
        <v>80</v>
      </c>
      <c r="F15" s="32" t="s">
        <v>81</v>
      </c>
      <c r="G15" s="32" t="s">
        <v>82</v>
      </c>
      <c r="H15" s="32" t="s">
        <v>83</v>
      </c>
      <c r="I15" s="32" t="s">
        <v>84</v>
      </c>
      <c r="J15" s="32" t="s">
        <v>85</v>
      </c>
      <c r="K15" s="32" t="s">
        <v>86</v>
      </c>
      <c r="L15" s="32" t="s">
        <v>87</v>
      </c>
      <c r="M15" s="32" t="s">
        <v>88</v>
      </c>
      <c r="N15" s="33" t="s">
        <v>89</v>
      </c>
      <c r="P15" s="55" t="s">
        <v>94</v>
      </c>
    </row>
    <row r="16" spans="1:16" ht="15" thickBot="1" x14ac:dyDescent="0.4">
      <c r="A16" s="34">
        <v>2017</v>
      </c>
      <c r="B16" s="27">
        <v>8954984</v>
      </c>
      <c r="C16" s="27">
        <v>8788942</v>
      </c>
      <c r="D16" s="27">
        <v>7270765</v>
      </c>
      <c r="E16" s="27">
        <v>3683604</v>
      </c>
      <c r="F16" s="27">
        <v>3191510</v>
      </c>
      <c r="G16" s="27">
        <v>4665718</v>
      </c>
      <c r="H16" s="27">
        <v>6433851</v>
      </c>
      <c r="I16" s="27">
        <v>5304076</v>
      </c>
      <c r="J16" s="27">
        <v>5464844</v>
      </c>
      <c r="K16" s="27">
        <v>6559028</v>
      </c>
      <c r="L16" s="27">
        <v>5880026</v>
      </c>
      <c r="M16" s="27">
        <v>6410711</v>
      </c>
      <c r="N16" s="27">
        <f>SUM(A16:M16)</f>
        <v>72610076</v>
      </c>
      <c r="P16" s="49">
        <v>1664715</v>
      </c>
    </row>
    <row r="17" spans="1:16" ht="15" thickBot="1" x14ac:dyDescent="0.4">
      <c r="A17" s="34">
        <v>2018</v>
      </c>
      <c r="B17" s="27">
        <v>7464997</v>
      </c>
      <c r="C17" s="27">
        <v>9039789</v>
      </c>
      <c r="D17" s="27">
        <v>5579707</v>
      </c>
      <c r="E17" s="27">
        <v>4274142</v>
      </c>
      <c r="F17" s="27">
        <v>6204464</v>
      </c>
      <c r="G17" s="27">
        <v>4585725</v>
      </c>
      <c r="H17" s="27">
        <v>7175032</v>
      </c>
      <c r="I17" s="27">
        <v>6665436</v>
      </c>
      <c r="J17" s="27">
        <v>5909549</v>
      </c>
      <c r="K17" s="27">
        <v>5953911</v>
      </c>
      <c r="L17" s="27">
        <v>5173560</v>
      </c>
      <c r="M17" s="27">
        <v>4249643</v>
      </c>
      <c r="N17" s="27">
        <f>SUM(A17:M17)</f>
        <v>72277973</v>
      </c>
      <c r="P17" s="49">
        <v>3611599</v>
      </c>
    </row>
    <row r="18" spans="1:16" ht="15" thickBot="1" x14ac:dyDescent="0.4">
      <c r="A18" s="34">
        <v>2019</v>
      </c>
      <c r="B18" s="27">
        <v>7838807</v>
      </c>
      <c r="C18" s="27">
        <v>7051891</v>
      </c>
      <c r="D18" s="27">
        <v>4551069</v>
      </c>
      <c r="E18" s="27">
        <v>3062818</v>
      </c>
      <c r="F18" s="27">
        <v>5334160</v>
      </c>
      <c r="G18" s="27">
        <v>5557001</v>
      </c>
      <c r="H18" s="27">
        <v>4543068</v>
      </c>
      <c r="I18" s="27">
        <v>4891031</v>
      </c>
      <c r="J18" s="27">
        <v>4400444</v>
      </c>
      <c r="K18" s="27">
        <v>4190752</v>
      </c>
      <c r="L18" s="27">
        <v>5165650</v>
      </c>
      <c r="M18" s="27">
        <v>7301084</v>
      </c>
      <c r="N18" s="27">
        <f>SUM(A18:M18)</f>
        <v>63889794</v>
      </c>
      <c r="P18" s="49">
        <v>1664715</v>
      </c>
    </row>
    <row r="19" spans="1:16" ht="15" thickBot="1" x14ac:dyDescent="0.4">
      <c r="A19" s="34">
        <v>2020</v>
      </c>
      <c r="B19" s="35">
        <v>7628573</v>
      </c>
      <c r="C19" s="35">
        <v>8020976</v>
      </c>
      <c r="D19" s="35">
        <v>3979651</v>
      </c>
      <c r="E19" s="35">
        <v>0</v>
      </c>
      <c r="F19" s="35">
        <v>162244</v>
      </c>
      <c r="G19" s="35">
        <v>798494</v>
      </c>
      <c r="H19" s="35">
        <v>0</v>
      </c>
      <c r="I19" s="35">
        <v>14500</v>
      </c>
      <c r="J19" s="35">
        <v>10924</v>
      </c>
      <c r="K19" s="35">
        <v>0</v>
      </c>
      <c r="L19" s="35">
        <v>0</v>
      </c>
      <c r="M19" s="35">
        <v>1065737</v>
      </c>
      <c r="N19" s="35">
        <f>SUM(A19:M19)</f>
        <v>21683119</v>
      </c>
    </row>
    <row r="20" spans="1:16" ht="15" thickBot="1" x14ac:dyDescent="0.4">
      <c r="A20" s="36">
        <v>2021</v>
      </c>
      <c r="B20" s="35">
        <v>1262344</v>
      </c>
      <c r="C20" s="35">
        <v>1696834</v>
      </c>
      <c r="D20" s="35">
        <v>1691880</v>
      </c>
      <c r="E20" s="35">
        <v>655370</v>
      </c>
      <c r="F20" s="35">
        <v>1088662</v>
      </c>
      <c r="G20" s="35">
        <v>2329519</v>
      </c>
      <c r="H20" s="35">
        <v>3742155</v>
      </c>
      <c r="I20" s="35">
        <v>5760360</v>
      </c>
      <c r="J20" s="35">
        <v>3140512</v>
      </c>
      <c r="K20" s="35">
        <f>AVERAGE(B20:J20)</f>
        <v>2374181.777777778</v>
      </c>
      <c r="L20" s="35">
        <f>AVERAGE(C20:K20)</f>
        <v>2497719.3086419753</v>
      </c>
      <c r="M20" s="35">
        <f>AVERAGE(D20:L20)</f>
        <v>2586706.5651577502</v>
      </c>
      <c r="N20" s="35">
        <f>SUM(A20:M20)</f>
        <v>28828264.651577499</v>
      </c>
    </row>
    <row r="22" spans="1:16" x14ac:dyDescent="0.35">
      <c r="L22" s="37" t="s">
        <v>90</v>
      </c>
      <c r="M22" s="37"/>
      <c r="N22" s="38">
        <f>AVERAGE(N16:N18)</f>
        <v>69592614.333333328</v>
      </c>
    </row>
    <row r="24" spans="1:16" x14ac:dyDescent="0.35">
      <c r="A24" s="1410" t="s">
        <v>92</v>
      </c>
      <c r="B24" s="1410"/>
      <c r="C24" s="1410"/>
      <c r="D24" s="1410"/>
      <c r="E24" s="1410"/>
      <c r="F24" s="1410"/>
      <c r="G24" s="1410"/>
      <c r="H24" s="1410"/>
      <c r="I24" s="1410"/>
      <c r="J24" s="1410"/>
      <c r="K24" s="1410"/>
      <c r="L24" s="1410"/>
      <c r="M24" s="1410"/>
      <c r="N24" s="1410"/>
    </row>
    <row r="26" spans="1:16" ht="15" thickBot="1" x14ac:dyDescent="0.4">
      <c r="A26" s="39" t="s">
        <v>76</v>
      </c>
      <c r="B26" s="39" t="s">
        <v>77</v>
      </c>
      <c r="C26" s="39" t="s">
        <v>78</v>
      </c>
      <c r="D26" s="39" t="s">
        <v>79</v>
      </c>
      <c r="E26" s="39" t="s">
        <v>80</v>
      </c>
      <c r="F26" s="39" t="s">
        <v>81</v>
      </c>
      <c r="G26" s="39" t="s">
        <v>82</v>
      </c>
      <c r="H26" s="39" t="s">
        <v>83</v>
      </c>
      <c r="I26" s="39" t="s">
        <v>84</v>
      </c>
      <c r="J26" s="39" t="s">
        <v>85</v>
      </c>
      <c r="K26" s="39" t="s">
        <v>86</v>
      </c>
      <c r="L26" s="39" t="s">
        <v>87</v>
      </c>
      <c r="M26" s="39" t="s">
        <v>88</v>
      </c>
      <c r="N26" s="40" t="s">
        <v>89</v>
      </c>
    </row>
    <row r="27" spans="1:16" ht="15" thickBot="1" x14ac:dyDescent="0.4">
      <c r="A27" s="41">
        <v>2017</v>
      </c>
      <c r="B27" s="27">
        <v>2051500</v>
      </c>
      <c r="C27" s="27">
        <v>2071100</v>
      </c>
      <c r="D27" s="27">
        <v>538411</v>
      </c>
      <c r="E27" s="27">
        <v>894600</v>
      </c>
      <c r="F27" s="27">
        <v>692900</v>
      </c>
      <c r="G27" s="27">
        <v>178500</v>
      </c>
      <c r="H27" s="27">
        <v>1242800</v>
      </c>
      <c r="I27" s="27">
        <v>264200</v>
      </c>
      <c r="J27" s="27">
        <v>525300</v>
      </c>
      <c r="K27" s="27">
        <v>293500</v>
      </c>
      <c r="L27" s="27">
        <v>263900</v>
      </c>
      <c r="M27" s="27">
        <v>2077318</v>
      </c>
      <c r="N27" s="27">
        <f>SUM(A27:M27)</f>
        <v>11096046</v>
      </c>
    </row>
    <row r="28" spans="1:16" ht="15" thickBot="1" x14ac:dyDescent="0.4">
      <c r="A28" s="41">
        <v>2018</v>
      </c>
      <c r="B28" s="27">
        <v>1149200</v>
      </c>
      <c r="C28" s="27">
        <v>1167300</v>
      </c>
      <c r="D28" s="27">
        <v>367488</v>
      </c>
      <c r="E28" s="27">
        <v>276200</v>
      </c>
      <c r="F28" s="27">
        <v>336502</v>
      </c>
      <c r="G28" s="27">
        <v>273900</v>
      </c>
      <c r="H28" s="27">
        <v>1163000</v>
      </c>
      <c r="I28" s="27">
        <v>689700</v>
      </c>
      <c r="J28" s="27">
        <v>752900</v>
      </c>
      <c r="K28" s="27">
        <v>644789</v>
      </c>
      <c r="L28" s="27">
        <v>1597337</v>
      </c>
      <c r="M28" s="27">
        <v>1077781</v>
      </c>
      <c r="N28" s="27">
        <f>SUM(A28:M28)</f>
        <v>9498115</v>
      </c>
    </row>
    <row r="29" spans="1:16" ht="15" thickBot="1" x14ac:dyDescent="0.4">
      <c r="A29" s="41">
        <v>2019</v>
      </c>
      <c r="B29" s="27">
        <v>1955600</v>
      </c>
      <c r="C29" s="27">
        <v>1504002</v>
      </c>
      <c r="D29" s="27">
        <v>253026</v>
      </c>
      <c r="E29" s="27">
        <v>348600</v>
      </c>
      <c r="F29" s="27">
        <v>478535</v>
      </c>
      <c r="G29" s="27">
        <v>266900</v>
      </c>
      <c r="H29" s="27">
        <v>970800</v>
      </c>
      <c r="I29" s="27">
        <v>1089929</v>
      </c>
      <c r="J29" s="27">
        <v>672635</v>
      </c>
      <c r="K29" s="27">
        <v>582579</v>
      </c>
      <c r="L29" s="27">
        <v>1214928</v>
      </c>
      <c r="M29" s="27">
        <v>3678234</v>
      </c>
      <c r="N29" s="27">
        <f>SUM(A29:M29)</f>
        <v>13017787</v>
      </c>
    </row>
    <row r="30" spans="1:16" ht="15" thickBot="1" x14ac:dyDescent="0.4">
      <c r="A30" s="41">
        <v>2020</v>
      </c>
      <c r="B30" s="42">
        <v>2446153</v>
      </c>
      <c r="C30" s="42">
        <v>3026312</v>
      </c>
      <c r="D30" s="42">
        <v>566567</v>
      </c>
      <c r="E30" s="42">
        <v>1800</v>
      </c>
      <c r="F30" s="42">
        <v>0</v>
      </c>
      <c r="G30" s="42">
        <v>116400</v>
      </c>
      <c r="H30" s="42">
        <v>102800</v>
      </c>
      <c r="I30" s="42">
        <v>671300</v>
      </c>
      <c r="J30" s="42">
        <v>90700</v>
      </c>
      <c r="K30" s="42">
        <v>0</v>
      </c>
      <c r="L30" s="42">
        <v>155700</v>
      </c>
      <c r="M30" s="42">
        <v>213000</v>
      </c>
      <c r="N30" s="42">
        <f>SUM(A30:M30)</f>
        <v>7392752</v>
      </c>
    </row>
    <row r="31" spans="1:16" ht="15" thickBot="1" x14ac:dyDescent="0.4">
      <c r="A31" s="43">
        <v>2021</v>
      </c>
      <c r="B31" s="42">
        <v>1004508</v>
      </c>
      <c r="C31" s="42">
        <v>519218</v>
      </c>
      <c r="D31" s="42">
        <v>0</v>
      </c>
      <c r="E31" s="42">
        <v>99700</v>
      </c>
      <c r="F31" s="42">
        <v>28200</v>
      </c>
      <c r="G31" s="42">
        <v>495200</v>
      </c>
      <c r="H31" s="42">
        <v>1795468</v>
      </c>
      <c r="I31" s="42">
        <v>982097</v>
      </c>
      <c r="J31" s="42">
        <v>923241</v>
      </c>
      <c r="K31" s="42">
        <f>AVERAGE(B31:J31)</f>
        <v>649736.88888888888</v>
      </c>
      <c r="L31" s="42">
        <f>AVERAGE(C31:K31)</f>
        <v>610317.87654320989</v>
      </c>
      <c r="M31" s="42">
        <f>AVERAGE(D31:L31)</f>
        <v>620440.08504801104</v>
      </c>
      <c r="N31" s="42">
        <f>SUM(A31:M31)</f>
        <v>7730147.8504801095</v>
      </c>
    </row>
    <row r="33" spans="1:14" x14ac:dyDescent="0.35">
      <c r="L33" s="44" t="s">
        <v>90</v>
      </c>
      <c r="M33" s="44"/>
      <c r="N33" s="45">
        <f>AVERAGE(N27:N29)*1.15</f>
        <v>12884580.066666665</v>
      </c>
    </row>
    <row r="35" spans="1:14" x14ac:dyDescent="0.35">
      <c r="A35" s="1411" t="s">
        <v>93</v>
      </c>
      <c r="B35" s="1411"/>
      <c r="C35" s="1411"/>
      <c r="D35" s="1411"/>
      <c r="E35" s="1411"/>
      <c r="F35" s="1411"/>
      <c r="G35" s="1411"/>
      <c r="H35" s="1411"/>
      <c r="I35" s="1411"/>
      <c r="J35" s="1411"/>
      <c r="K35" s="1411"/>
      <c r="L35" s="1411"/>
      <c r="M35" s="1411"/>
      <c r="N35" s="1411"/>
    </row>
    <row r="37" spans="1:14" x14ac:dyDescent="0.35">
      <c r="A37" s="46" t="s">
        <v>76</v>
      </c>
      <c r="B37" s="46" t="s">
        <v>77</v>
      </c>
      <c r="C37" s="46" t="s">
        <v>78</v>
      </c>
      <c r="D37" s="46" t="s">
        <v>79</v>
      </c>
      <c r="E37" s="46" t="s">
        <v>80</v>
      </c>
      <c r="F37" s="46" t="s">
        <v>81</v>
      </c>
      <c r="G37" s="46" t="s">
        <v>82</v>
      </c>
      <c r="H37" s="46" t="s">
        <v>83</v>
      </c>
      <c r="I37" s="46" t="s">
        <v>84</v>
      </c>
      <c r="J37" s="46" t="s">
        <v>85</v>
      </c>
      <c r="K37" s="46" t="s">
        <v>86</v>
      </c>
      <c r="L37" s="46" t="s">
        <v>87</v>
      </c>
      <c r="M37" s="46" t="s">
        <v>88</v>
      </c>
      <c r="N37" s="47" t="s">
        <v>89</v>
      </c>
    </row>
    <row r="38" spans="1:14" x14ac:dyDescent="0.35">
      <c r="A38" s="48">
        <v>2017</v>
      </c>
      <c r="B38" s="49">
        <v>4974287</v>
      </c>
      <c r="C38" s="49">
        <v>4459570</v>
      </c>
      <c r="D38" s="49">
        <v>1591128</v>
      </c>
      <c r="E38" s="49">
        <v>2488397</v>
      </c>
      <c r="F38" s="49">
        <v>813900</v>
      </c>
      <c r="G38" s="49">
        <v>2314488</v>
      </c>
      <c r="H38" s="49">
        <v>1247192</v>
      </c>
      <c r="I38" s="49">
        <v>3308113</v>
      </c>
      <c r="J38" s="49">
        <v>2298369</v>
      </c>
      <c r="K38" s="49">
        <v>1444791</v>
      </c>
      <c r="L38" s="49">
        <v>4466936</v>
      </c>
      <c r="M38" s="49">
        <v>16943223</v>
      </c>
      <c r="N38" s="49">
        <f>SUM(A38:M38)</f>
        <v>46352411</v>
      </c>
    </row>
    <row r="39" spans="1:14" x14ac:dyDescent="0.35">
      <c r="A39" s="48">
        <v>2018</v>
      </c>
      <c r="B39" s="49">
        <v>9042386</v>
      </c>
      <c r="C39" s="49">
        <v>5640725</v>
      </c>
      <c r="D39" s="49">
        <v>3803632</v>
      </c>
      <c r="E39" s="49">
        <v>3097587</v>
      </c>
      <c r="F39" s="49">
        <v>1629476</v>
      </c>
      <c r="G39" s="49">
        <v>1967086</v>
      </c>
      <c r="H39" s="49">
        <v>1217386</v>
      </c>
      <c r="I39" s="49">
        <v>1779430</v>
      </c>
      <c r="J39" s="49">
        <v>5013244</v>
      </c>
      <c r="K39" s="49">
        <v>3058701</v>
      </c>
      <c r="L39" s="49">
        <v>6632648</v>
      </c>
      <c r="M39" s="49">
        <v>20149815</v>
      </c>
      <c r="N39" s="49">
        <f>SUM(A39:M39)</f>
        <v>63034134</v>
      </c>
    </row>
    <row r="40" spans="1:14" x14ac:dyDescent="0.35">
      <c r="A40" s="48">
        <v>2019</v>
      </c>
      <c r="B40" s="49">
        <v>6820375</v>
      </c>
      <c r="C40" s="49">
        <v>5248987</v>
      </c>
      <c r="D40" s="49">
        <v>3358465</v>
      </c>
      <c r="E40" s="49">
        <v>3698870</v>
      </c>
      <c r="F40" s="49">
        <v>3070148</v>
      </c>
      <c r="G40" s="49">
        <v>965690</v>
      </c>
      <c r="H40" s="49">
        <v>2178803</v>
      </c>
      <c r="I40" s="49">
        <v>1035778</v>
      </c>
      <c r="J40" s="49">
        <v>2603939</v>
      </c>
      <c r="K40" s="49">
        <v>3968305</v>
      </c>
      <c r="L40" s="49">
        <v>5407410</v>
      </c>
      <c r="M40" s="49">
        <v>21715563</v>
      </c>
      <c r="N40" s="49">
        <f>SUM(A40:M40)</f>
        <v>60074352</v>
      </c>
    </row>
    <row r="41" spans="1:14" x14ac:dyDescent="0.35">
      <c r="A41" s="48">
        <v>2020</v>
      </c>
      <c r="B41" s="50">
        <v>5850599</v>
      </c>
      <c r="C41" s="50">
        <v>8635539</v>
      </c>
      <c r="D41" s="50">
        <v>2501352</v>
      </c>
      <c r="E41" s="50">
        <v>0</v>
      </c>
      <c r="F41" s="50">
        <v>0</v>
      </c>
      <c r="G41" s="50">
        <v>0</v>
      </c>
      <c r="H41" s="50">
        <v>0</v>
      </c>
      <c r="I41" s="50">
        <v>0</v>
      </c>
      <c r="J41" s="50">
        <v>0</v>
      </c>
      <c r="K41" s="50">
        <v>0</v>
      </c>
      <c r="L41" s="50">
        <v>533493</v>
      </c>
      <c r="M41" s="50">
        <v>2078287</v>
      </c>
      <c r="N41" s="50">
        <f>SUM(A41:M41)</f>
        <v>19601290</v>
      </c>
    </row>
    <row r="42" spans="1:14" x14ac:dyDescent="0.35">
      <c r="A42" s="51">
        <v>2021</v>
      </c>
      <c r="B42" s="50">
        <v>141200</v>
      </c>
      <c r="C42" s="50">
        <v>296313</v>
      </c>
      <c r="D42" s="50">
        <v>322432</v>
      </c>
      <c r="E42" s="50">
        <v>0</v>
      </c>
      <c r="F42" s="50">
        <v>99600</v>
      </c>
      <c r="G42" s="50">
        <v>243577</v>
      </c>
      <c r="H42" s="50">
        <v>970559</v>
      </c>
      <c r="I42" s="50">
        <v>1900839</v>
      </c>
      <c r="J42" s="50">
        <v>2050943</v>
      </c>
      <c r="K42" s="50">
        <f>AVERAGE(B42:J42)</f>
        <v>669495.88888888888</v>
      </c>
      <c r="L42" s="50">
        <f>AVERAGE(C42:K42)</f>
        <v>728195.43209876539</v>
      </c>
      <c r="M42" s="50">
        <f>AVERAGE(D42:L42)</f>
        <v>776182.36899862834</v>
      </c>
      <c r="N42" s="50">
        <f>SUM(A42:M42)</f>
        <v>8201357.689986283</v>
      </c>
    </row>
    <row r="44" spans="1:14" x14ac:dyDescent="0.35">
      <c r="L44" s="52" t="s">
        <v>90</v>
      </c>
      <c r="M44" s="52"/>
      <c r="N44" s="53">
        <f>AVERAGE(N38:N40)*1.15</f>
        <v>64960010.516666658</v>
      </c>
    </row>
  </sheetData>
  <mergeCells count="4">
    <mergeCell ref="A1:N1"/>
    <mergeCell ref="A13:N13"/>
    <mergeCell ref="A24:N24"/>
    <mergeCell ref="A35:N3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pageSetUpPr fitToPage="1"/>
  </sheetPr>
  <dimension ref="A1:AD67"/>
  <sheetViews>
    <sheetView topLeftCell="W40" workbookViewId="0">
      <selection activeCell="AD52" sqref="AD52"/>
    </sheetView>
  </sheetViews>
  <sheetFormatPr baseColWidth="10" defaultRowHeight="14.5" x14ac:dyDescent="0.35"/>
  <cols>
    <col min="1" max="1" width="42.453125" bestFit="1" customWidth="1"/>
    <col min="2" max="2" width="11.453125" style="954"/>
    <col min="3" max="4" width="11.453125" style="955"/>
    <col min="6" max="6" width="14.81640625" bestFit="1" customWidth="1"/>
    <col min="7" max="8" width="15.453125" bestFit="1" customWidth="1"/>
    <col min="9" max="9" width="13.1796875" bestFit="1" customWidth="1"/>
    <col min="10" max="11" width="15.453125" bestFit="1" customWidth="1"/>
    <col min="13" max="13" width="14.81640625" bestFit="1" customWidth="1"/>
    <col min="14" max="14" width="16" bestFit="1" customWidth="1"/>
    <col min="15" max="15" width="15.453125" bestFit="1" customWidth="1"/>
    <col min="17" max="19" width="13.26953125" customWidth="1"/>
    <col min="21" max="21" width="42.453125" bestFit="1" customWidth="1"/>
    <col min="24" max="24" width="23.81640625" customWidth="1"/>
    <col min="26" max="26" width="14.81640625" bestFit="1" customWidth="1"/>
    <col min="27" max="28" width="15.453125" bestFit="1" customWidth="1"/>
    <col min="29" max="29" width="19.453125" bestFit="1" customWidth="1"/>
  </cols>
  <sheetData>
    <row r="1" spans="1:29" x14ac:dyDescent="0.35">
      <c r="I1" s="956"/>
      <c r="J1" s="956"/>
      <c r="K1" s="956"/>
      <c r="L1" s="957" t="s">
        <v>19</v>
      </c>
      <c r="M1" s="956"/>
      <c r="N1" s="956"/>
      <c r="O1" s="956"/>
    </row>
    <row r="2" spans="1:29" x14ac:dyDescent="0.35">
      <c r="I2" s="956"/>
      <c r="J2" s="956"/>
      <c r="K2" s="956"/>
      <c r="L2" s="956"/>
      <c r="M2" s="956"/>
      <c r="N2" s="956"/>
      <c r="O2" s="956"/>
    </row>
    <row r="3" spans="1:29" ht="15" thickBot="1" x14ac:dyDescent="0.4">
      <c r="I3" s="958"/>
      <c r="J3" s="956"/>
      <c r="K3" s="956"/>
      <c r="L3" s="956"/>
      <c r="M3" s="956"/>
      <c r="N3" s="956"/>
      <c r="O3" s="956"/>
    </row>
    <row r="4" spans="1:29" ht="15" thickBot="1" x14ac:dyDescent="0.4">
      <c r="I4" s="958"/>
      <c r="J4" s="1412" t="s">
        <v>1</v>
      </c>
      <c r="K4" s="1413"/>
      <c r="L4" s="1414" t="s">
        <v>20</v>
      </c>
      <c r="M4" s="1415"/>
      <c r="N4" s="957"/>
      <c r="O4" s="957"/>
    </row>
    <row r="5" spans="1:29" x14ac:dyDescent="0.35">
      <c r="A5" s="1313" t="s">
        <v>254</v>
      </c>
      <c r="B5" s="1313"/>
      <c r="C5" s="1313"/>
      <c r="D5" s="1313"/>
      <c r="E5" s="1313"/>
      <c r="F5" s="1313"/>
      <c r="G5" s="1313"/>
      <c r="H5" s="1313"/>
      <c r="I5" s="1313"/>
      <c r="J5" s="959"/>
      <c r="K5" s="959"/>
      <c r="L5" s="957"/>
      <c r="M5" s="957"/>
      <c r="N5" s="957"/>
      <c r="O5" s="957"/>
      <c r="U5" s="1313" t="s">
        <v>255</v>
      </c>
      <c r="V5" s="1313"/>
      <c r="W5" s="1313"/>
      <c r="X5" s="1313"/>
      <c r="Y5" s="1313"/>
      <c r="Z5" s="1313"/>
    </row>
    <row r="6" spans="1:29" ht="15" thickBot="1" x14ac:dyDescent="0.4"/>
    <row r="7" spans="1:29" ht="15" customHeight="1" x14ac:dyDescent="0.35">
      <c r="A7" s="1416" t="s">
        <v>3</v>
      </c>
      <c r="B7" s="1445" t="s">
        <v>21</v>
      </c>
      <c r="C7" s="1446"/>
      <c r="D7" s="1447"/>
      <c r="E7" s="1418" t="s">
        <v>396</v>
      </c>
      <c r="F7" s="1419"/>
      <c r="G7" s="1419"/>
      <c r="H7" s="1420"/>
      <c r="I7" s="1421" t="s">
        <v>22</v>
      </c>
      <c r="J7" s="1422"/>
      <c r="K7" s="1423"/>
      <c r="L7" s="1418" t="s">
        <v>399</v>
      </c>
      <c r="M7" s="1419"/>
      <c r="N7" s="1419"/>
      <c r="O7" s="1420"/>
      <c r="P7" s="1492" t="s">
        <v>394</v>
      </c>
      <c r="Q7" s="1493"/>
      <c r="R7" s="1493"/>
      <c r="S7" s="1494"/>
      <c r="U7" s="1416" t="s">
        <v>3</v>
      </c>
      <c r="V7" s="1445" t="s">
        <v>21</v>
      </c>
      <c r="W7" s="1446"/>
      <c r="X7" s="1447"/>
      <c r="Y7" s="1461" t="s">
        <v>400</v>
      </c>
      <c r="Z7" s="1462"/>
      <c r="AA7" s="1462"/>
      <c r="AB7" s="1463"/>
      <c r="AC7" s="1447" t="s">
        <v>74</v>
      </c>
    </row>
    <row r="8" spans="1:29" ht="29.5" thickBot="1" x14ac:dyDescent="0.4">
      <c r="A8" s="1417"/>
      <c r="B8" s="1448"/>
      <c r="C8" s="1449"/>
      <c r="D8" s="1450"/>
      <c r="E8" s="960" t="s">
        <v>24</v>
      </c>
      <c r="F8" s="961" t="s">
        <v>25</v>
      </c>
      <c r="G8" s="961" t="s">
        <v>26</v>
      </c>
      <c r="H8" s="962" t="s">
        <v>27</v>
      </c>
      <c r="I8" s="1234" t="s">
        <v>25</v>
      </c>
      <c r="J8" s="1235" t="s">
        <v>26</v>
      </c>
      <c r="K8" s="1236" t="s">
        <v>27</v>
      </c>
      <c r="L8" s="960" t="s">
        <v>24</v>
      </c>
      <c r="M8" s="961" t="s">
        <v>25</v>
      </c>
      <c r="N8" s="961" t="s">
        <v>26</v>
      </c>
      <c r="O8" s="962" t="s">
        <v>27</v>
      </c>
      <c r="P8" s="963" t="s">
        <v>24</v>
      </c>
      <c r="Q8" s="964" t="s">
        <v>391</v>
      </c>
      <c r="R8" s="964" t="s">
        <v>392</v>
      </c>
      <c r="S8" s="965" t="s">
        <v>393</v>
      </c>
      <c r="U8" s="1417"/>
      <c r="V8" s="1448"/>
      <c r="W8" s="1449"/>
      <c r="X8" s="1450"/>
      <c r="Y8" s="966" t="s">
        <v>73</v>
      </c>
      <c r="Z8" s="967" t="s">
        <v>25</v>
      </c>
      <c r="AA8" s="967" t="s">
        <v>26</v>
      </c>
      <c r="AB8" s="968" t="s">
        <v>27</v>
      </c>
      <c r="AC8" s="1464"/>
    </row>
    <row r="9" spans="1:29" x14ac:dyDescent="0.35">
      <c r="A9" s="1426" t="s">
        <v>28</v>
      </c>
      <c r="B9" s="1437" t="s">
        <v>29</v>
      </c>
      <c r="C9" s="1438"/>
      <c r="D9" s="1439"/>
      <c r="E9" s="969">
        <v>41500</v>
      </c>
      <c r="F9" s="970">
        <v>63800</v>
      </c>
      <c r="G9" s="970">
        <v>86700</v>
      </c>
      <c r="H9" s="971">
        <v>94000</v>
      </c>
      <c r="I9" s="1233">
        <v>4.4999999999999998E-2</v>
      </c>
      <c r="J9" s="1240">
        <v>4.4999999999999998E-2</v>
      </c>
      <c r="K9" s="1241">
        <v>4.4999999999999998E-2</v>
      </c>
      <c r="L9" s="972">
        <f>IF(OR(E9=0,E9=""),0,CEILING(M9*0.65,100))</f>
        <v>43400</v>
      </c>
      <c r="M9" s="973">
        <f>CEILING($F9*(1+$I9),100)</f>
        <v>66700</v>
      </c>
      <c r="N9" s="973">
        <f>CEILING($G9*(1+$J9),100)</f>
        <v>90700</v>
      </c>
      <c r="O9" s="974">
        <f>CEILING($H9*(1+$K9),100)</f>
        <v>98300</v>
      </c>
      <c r="P9" s="972">
        <f>L9-E9</f>
        <v>1900</v>
      </c>
      <c r="Q9" s="973">
        <f>M9-F9</f>
        <v>2900</v>
      </c>
      <c r="R9" s="973">
        <f>N9-G9</f>
        <v>4000</v>
      </c>
      <c r="S9" s="974">
        <f>O9-H9</f>
        <v>4300</v>
      </c>
      <c r="U9" s="1426" t="s">
        <v>28</v>
      </c>
      <c r="V9" s="1480" t="s">
        <v>29</v>
      </c>
      <c r="W9" s="1481"/>
      <c r="X9" s="1482"/>
      <c r="Y9" s="975">
        <v>187</v>
      </c>
      <c r="Z9" s="976">
        <v>9</v>
      </c>
      <c r="AA9" s="976">
        <v>3</v>
      </c>
      <c r="AB9" s="977">
        <v>0</v>
      </c>
      <c r="AC9" s="978">
        <f>SUM(Y9:AB9)</f>
        <v>199</v>
      </c>
    </row>
    <row r="10" spans="1:29" x14ac:dyDescent="0.35">
      <c r="A10" s="1427"/>
      <c r="B10" s="1442" t="s">
        <v>30</v>
      </c>
      <c r="C10" s="1443"/>
      <c r="D10" s="1444"/>
      <c r="E10" s="979"/>
      <c r="F10" s="980"/>
      <c r="G10" s="980"/>
      <c r="H10" s="981"/>
      <c r="I10" s="1237"/>
      <c r="J10" s="1238"/>
      <c r="K10" s="1239"/>
      <c r="L10" s="985"/>
      <c r="M10" s="980"/>
      <c r="N10" s="980"/>
      <c r="O10" s="986"/>
      <c r="P10" s="985"/>
      <c r="Q10" s="980"/>
      <c r="R10" s="980"/>
      <c r="S10" s="986"/>
      <c r="U10" s="1427"/>
      <c r="V10" s="1483" t="s">
        <v>30</v>
      </c>
      <c r="W10" s="1484"/>
      <c r="X10" s="1485"/>
      <c r="Y10" s="987"/>
      <c r="Z10" s="988"/>
      <c r="AA10" s="988"/>
      <c r="AB10" s="989"/>
      <c r="AC10" s="990"/>
    </row>
    <row r="11" spans="1:29" x14ac:dyDescent="0.35">
      <c r="A11" s="1427"/>
      <c r="B11" s="1431" t="s">
        <v>31</v>
      </c>
      <c r="C11" s="1432"/>
      <c r="D11" s="1433"/>
      <c r="E11" s="979"/>
      <c r="F11" s="991">
        <v>19200</v>
      </c>
      <c r="G11" s="991">
        <v>26100</v>
      </c>
      <c r="H11" s="992">
        <v>28200</v>
      </c>
      <c r="I11" s="1242"/>
      <c r="J11" s="1243"/>
      <c r="K11" s="1244"/>
      <c r="L11" s="985"/>
      <c r="M11" s="991">
        <f>CEILING(M9*0.3,100)</f>
        <v>20100</v>
      </c>
      <c r="N11" s="991">
        <f>CEILING(N9*0.3,100)</f>
        <v>27300</v>
      </c>
      <c r="O11" s="993">
        <f>CEILING(O9*0.3,100)</f>
        <v>29500</v>
      </c>
      <c r="P11" s="985"/>
      <c r="Q11" s="991">
        <f t="shared" ref="Q11:Q67" si="0">M11-F11</f>
        <v>900</v>
      </c>
      <c r="R11" s="991">
        <f t="shared" ref="R11:R67" si="1">N11-G11</f>
        <v>1200</v>
      </c>
      <c r="S11" s="993">
        <f t="shared" ref="S11:S67" si="2">O11-H11</f>
        <v>1300</v>
      </c>
      <c r="U11" s="1427"/>
      <c r="V11" s="1471" t="s">
        <v>31</v>
      </c>
      <c r="W11" s="1472"/>
      <c r="X11" s="1473"/>
      <c r="Y11" s="987"/>
      <c r="Z11" s="994">
        <v>0</v>
      </c>
      <c r="AA11" s="994">
        <v>0</v>
      </c>
      <c r="AB11" s="994">
        <v>0</v>
      </c>
      <c r="AC11" s="995">
        <f t="shared" ref="AC11:AC20" si="3">SUM(Y11:AB11)</f>
        <v>0</v>
      </c>
    </row>
    <row r="12" spans="1:29" x14ac:dyDescent="0.35">
      <c r="A12" s="1427"/>
      <c r="B12" s="1431" t="s">
        <v>32</v>
      </c>
      <c r="C12" s="1432"/>
      <c r="D12" s="1433"/>
      <c r="E12" s="996">
        <v>23400</v>
      </c>
      <c r="F12" s="991">
        <v>36000</v>
      </c>
      <c r="G12" s="991">
        <v>48900</v>
      </c>
      <c r="H12" s="992">
        <v>53000</v>
      </c>
      <c r="I12" s="1245">
        <v>4.4999999999999998E-2</v>
      </c>
      <c r="J12" s="1246">
        <v>4.4999999999999998E-2</v>
      </c>
      <c r="K12" s="1247">
        <v>4.4999999999999998E-2</v>
      </c>
      <c r="L12" s="997">
        <f>IF(OR(E12=0,E12=""),0,CEILING(M12*0.65,100))</f>
        <v>24600</v>
      </c>
      <c r="M12" s="991">
        <f>CEILING($F12*(1+$I12),100)</f>
        <v>37700</v>
      </c>
      <c r="N12" s="991">
        <f>CEILING($G12*(1+$J12),100)</f>
        <v>51200</v>
      </c>
      <c r="O12" s="993">
        <f>CEILING($H12*(1+$K12),100)</f>
        <v>55400</v>
      </c>
      <c r="P12" s="997">
        <f>L12-E12</f>
        <v>1200</v>
      </c>
      <c r="Q12" s="991">
        <f t="shared" si="0"/>
        <v>1700</v>
      </c>
      <c r="R12" s="991">
        <f t="shared" si="1"/>
        <v>2300</v>
      </c>
      <c r="S12" s="993">
        <f t="shared" si="2"/>
        <v>2400</v>
      </c>
      <c r="U12" s="1427"/>
      <c r="V12" s="1471" t="s">
        <v>32</v>
      </c>
      <c r="W12" s="1472"/>
      <c r="X12" s="1473"/>
      <c r="Y12" s="998">
        <v>50</v>
      </c>
      <c r="Z12" s="994">
        <v>11</v>
      </c>
      <c r="AA12" s="994">
        <v>6</v>
      </c>
      <c r="AB12" s="994">
        <v>5</v>
      </c>
      <c r="AC12" s="995">
        <f t="shared" si="3"/>
        <v>72</v>
      </c>
    </row>
    <row r="13" spans="1:29" x14ac:dyDescent="0.35">
      <c r="A13" s="1427"/>
      <c r="B13" s="1451" t="s">
        <v>33</v>
      </c>
      <c r="C13" s="1452"/>
      <c r="D13" s="1453"/>
      <c r="E13" s="996">
        <v>4100</v>
      </c>
      <c r="F13" s="991">
        <v>6300</v>
      </c>
      <c r="G13" s="991">
        <v>8600</v>
      </c>
      <c r="H13" s="992">
        <v>9300</v>
      </c>
      <c r="I13" s="1245">
        <v>4.4999999999999998E-2</v>
      </c>
      <c r="J13" s="1246">
        <v>4.4999999999999998E-2</v>
      </c>
      <c r="K13" s="1247">
        <v>4.4999999999999998E-2</v>
      </c>
      <c r="L13" s="997">
        <f>IF(OR(E13=0,E13=""),0,CEILING(M13*0.65,100))</f>
        <v>4300</v>
      </c>
      <c r="M13" s="991">
        <f t="shared" ref="M13:M20" si="4">CEILING($F13*(1+$I13),100)</f>
        <v>6600</v>
      </c>
      <c r="N13" s="991">
        <f t="shared" ref="N13:N20" si="5">CEILING($G13*(1+$J13),100)</f>
        <v>9000</v>
      </c>
      <c r="O13" s="993">
        <f t="shared" ref="O13:O20" si="6">CEILING($H13*(1+$K13),100)</f>
        <v>9800</v>
      </c>
      <c r="P13" s="997">
        <f>L13-E13</f>
        <v>200</v>
      </c>
      <c r="Q13" s="991">
        <f t="shared" si="0"/>
        <v>300</v>
      </c>
      <c r="R13" s="991">
        <f t="shared" si="1"/>
        <v>400</v>
      </c>
      <c r="S13" s="993">
        <f t="shared" si="2"/>
        <v>500</v>
      </c>
      <c r="U13" s="1427"/>
      <c r="V13" s="1474" t="s">
        <v>33</v>
      </c>
      <c r="W13" s="1475"/>
      <c r="X13" s="1476"/>
      <c r="Y13" s="998"/>
      <c r="Z13" s="994"/>
      <c r="AA13" s="994"/>
      <c r="AB13" s="994">
        <v>0</v>
      </c>
      <c r="AC13" s="995">
        <f t="shared" si="3"/>
        <v>0</v>
      </c>
    </row>
    <row r="14" spans="1:29" x14ac:dyDescent="0.35">
      <c r="A14" s="1427"/>
      <c r="B14" s="1431" t="s">
        <v>34</v>
      </c>
      <c r="C14" s="1432"/>
      <c r="D14" s="1433"/>
      <c r="E14" s="996">
        <v>5800</v>
      </c>
      <c r="F14" s="991">
        <v>8900</v>
      </c>
      <c r="G14" s="991">
        <v>12000</v>
      </c>
      <c r="H14" s="992">
        <v>13000</v>
      </c>
      <c r="I14" s="1245">
        <v>4.4999999999999998E-2</v>
      </c>
      <c r="J14" s="1246">
        <v>4.4999999999999998E-2</v>
      </c>
      <c r="K14" s="1247">
        <v>4.4999999999999998E-2</v>
      </c>
      <c r="L14" s="997">
        <f>IF(OR(E14=0,E14=""),0,CEILING(M14*0.65,100))</f>
        <v>6200</v>
      </c>
      <c r="M14" s="991">
        <f t="shared" si="4"/>
        <v>9400</v>
      </c>
      <c r="N14" s="991">
        <f t="shared" si="5"/>
        <v>12600</v>
      </c>
      <c r="O14" s="993">
        <f t="shared" si="6"/>
        <v>13600</v>
      </c>
      <c r="P14" s="997">
        <f>L14-E14</f>
        <v>400</v>
      </c>
      <c r="Q14" s="991">
        <f t="shared" si="0"/>
        <v>500</v>
      </c>
      <c r="R14" s="991">
        <f t="shared" si="1"/>
        <v>600</v>
      </c>
      <c r="S14" s="993">
        <f t="shared" si="2"/>
        <v>600</v>
      </c>
      <c r="U14" s="1427"/>
      <c r="V14" s="1471" t="s">
        <v>34</v>
      </c>
      <c r="W14" s="1472"/>
      <c r="X14" s="1473"/>
      <c r="Y14" s="998">
        <v>90</v>
      </c>
      <c r="Z14" s="994">
        <v>10</v>
      </c>
      <c r="AA14" s="994">
        <v>5</v>
      </c>
      <c r="AB14" s="994">
        <v>5</v>
      </c>
      <c r="AC14" s="995">
        <f t="shared" si="3"/>
        <v>110</v>
      </c>
    </row>
    <row r="15" spans="1:29" x14ac:dyDescent="0.35">
      <c r="A15" s="1427"/>
      <c r="B15" s="1431" t="s">
        <v>35</v>
      </c>
      <c r="C15" s="1432"/>
      <c r="D15" s="1433"/>
      <c r="E15" s="996">
        <v>1100</v>
      </c>
      <c r="F15" s="991">
        <v>1600</v>
      </c>
      <c r="G15" s="991">
        <v>2200</v>
      </c>
      <c r="H15" s="992">
        <v>2400</v>
      </c>
      <c r="I15" s="1245">
        <v>4.4999999999999998E-2</v>
      </c>
      <c r="J15" s="1246">
        <v>4.4999999999999998E-2</v>
      </c>
      <c r="K15" s="1247">
        <v>4.4999999999999998E-2</v>
      </c>
      <c r="L15" s="997">
        <f>IF(OR(E15=0,E15=""),0,CEILING(M15*0.65,100))</f>
        <v>1200</v>
      </c>
      <c r="M15" s="991">
        <f t="shared" si="4"/>
        <v>1700</v>
      </c>
      <c r="N15" s="991">
        <f>CEILING($G15*(1+$J15),100)</f>
        <v>2300</v>
      </c>
      <c r="O15" s="993">
        <f t="shared" si="6"/>
        <v>2600</v>
      </c>
      <c r="P15" s="997">
        <f>L15-E15</f>
        <v>100</v>
      </c>
      <c r="Q15" s="991">
        <f t="shared" si="0"/>
        <v>100</v>
      </c>
      <c r="R15" s="991">
        <f t="shared" si="1"/>
        <v>100</v>
      </c>
      <c r="S15" s="993">
        <f t="shared" si="2"/>
        <v>200</v>
      </c>
      <c r="U15" s="1427"/>
      <c r="V15" s="1471" t="s">
        <v>35</v>
      </c>
      <c r="W15" s="1472"/>
      <c r="X15" s="1473"/>
      <c r="Y15" s="998"/>
      <c r="Z15" s="994"/>
      <c r="AA15" s="994"/>
      <c r="AB15" s="994">
        <v>0</v>
      </c>
      <c r="AC15" s="995">
        <f t="shared" si="3"/>
        <v>0</v>
      </c>
    </row>
    <row r="16" spans="1:29" x14ac:dyDescent="0.35">
      <c r="A16" s="1427"/>
      <c r="B16" s="1431" t="s">
        <v>36</v>
      </c>
      <c r="C16" s="1432"/>
      <c r="D16" s="1433"/>
      <c r="E16" s="979"/>
      <c r="F16" s="991">
        <v>69000</v>
      </c>
      <c r="G16" s="991">
        <v>93900</v>
      </c>
      <c r="H16" s="992">
        <v>101700</v>
      </c>
      <c r="I16" s="1245">
        <v>4.4999999999999998E-2</v>
      </c>
      <c r="J16" s="1246">
        <v>4.4999999999999998E-2</v>
      </c>
      <c r="K16" s="1247">
        <v>4.4999999999999998E-2</v>
      </c>
      <c r="L16" s="985"/>
      <c r="M16" s="991">
        <f t="shared" si="4"/>
        <v>72200</v>
      </c>
      <c r="N16" s="991">
        <f t="shared" si="5"/>
        <v>98200</v>
      </c>
      <c r="O16" s="993">
        <f t="shared" si="6"/>
        <v>106300</v>
      </c>
      <c r="P16" s="985"/>
      <c r="Q16" s="991">
        <f t="shared" si="0"/>
        <v>3200</v>
      </c>
      <c r="R16" s="991">
        <f t="shared" si="1"/>
        <v>4300</v>
      </c>
      <c r="S16" s="993">
        <f t="shared" si="2"/>
        <v>4600</v>
      </c>
      <c r="U16" s="1427"/>
      <c r="V16" s="1471" t="s">
        <v>36</v>
      </c>
      <c r="W16" s="1472"/>
      <c r="X16" s="1473"/>
      <c r="Y16" s="987"/>
      <c r="Z16" s="994">
        <v>14</v>
      </c>
      <c r="AA16" s="994">
        <v>7</v>
      </c>
      <c r="AB16" s="994">
        <v>4</v>
      </c>
      <c r="AC16" s="995">
        <f t="shared" si="3"/>
        <v>25</v>
      </c>
    </row>
    <row r="17" spans="1:29" ht="15" thickBot="1" x14ac:dyDescent="0.4">
      <c r="A17" s="1454"/>
      <c r="B17" s="1434" t="s">
        <v>37</v>
      </c>
      <c r="C17" s="1435"/>
      <c r="D17" s="1436"/>
      <c r="E17" s="999"/>
      <c r="F17" s="1000">
        <v>132200</v>
      </c>
      <c r="G17" s="1000">
        <v>179800</v>
      </c>
      <c r="H17" s="1001">
        <v>194800</v>
      </c>
      <c r="I17" s="1245">
        <v>4.4999999999999998E-2</v>
      </c>
      <c r="J17" s="1246">
        <v>4.4999999999999998E-2</v>
      </c>
      <c r="K17" s="1247">
        <v>4.4999999999999998E-2</v>
      </c>
      <c r="L17" s="1002"/>
      <c r="M17" s="1003">
        <f t="shared" si="4"/>
        <v>138200</v>
      </c>
      <c r="N17" s="1003">
        <f t="shared" si="5"/>
        <v>187900</v>
      </c>
      <c r="O17" s="1004">
        <f t="shared" si="6"/>
        <v>203600</v>
      </c>
      <c r="P17" s="1002"/>
      <c r="Q17" s="1003">
        <f t="shared" si="0"/>
        <v>6000</v>
      </c>
      <c r="R17" s="1003">
        <f t="shared" si="1"/>
        <v>8100</v>
      </c>
      <c r="S17" s="1004">
        <f t="shared" si="2"/>
        <v>8800</v>
      </c>
      <c r="U17" s="1454"/>
      <c r="V17" s="1477" t="s">
        <v>37</v>
      </c>
      <c r="W17" s="1478"/>
      <c r="X17" s="1479"/>
      <c r="Y17" s="1005"/>
      <c r="Z17" s="1006">
        <v>10</v>
      </c>
      <c r="AA17" s="1006">
        <v>5</v>
      </c>
      <c r="AB17" s="1007">
        <v>4</v>
      </c>
      <c r="AC17" s="1008">
        <f t="shared" si="3"/>
        <v>19</v>
      </c>
    </row>
    <row r="18" spans="1:29" x14ac:dyDescent="0.35">
      <c r="A18" s="1426" t="s">
        <v>38</v>
      </c>
      <c r="B18" s="1437" t="s">
        <v>39</v>
      </c>
      <c r="C18" s="1438"/>
      <c r="D18" s="1439"/>
      <c r="E18" s="1009"/>
      <c r="F18" s="1010">
        <v>6200</v>
      </c>
      <c r="G18" s="1010">
        <v>8500</v>
      </c>
      <c r="H18" s="1011">
        <v>9200</v>
      </c>
      <c r="I18" s="1233">
        <v>4.4999999999999998E-2</v>
      </c>
      <c r="J18" s="1240">
        <v>4.4999999999999998E-2</v>
      </c>
      <c r="K18" s="1241">
        <v>4.4999999999999998E-2</v>
      </c>
      <c r="L18" s="1009"/>
      <c r="M18" s="1012">
        <f t="shared" si="4"/>
        <v>6500</v>
      </c>
      <c r="N18" s="1012">
        <f t="shared" si="5"/>
        <v>8900</v>
      </c>
      <c r="O18" s="1013">
        <f t="shared" si="6"/>
        <v>9700</v>
      </c>
      <c r="P18" s="1009"/>
      <c r="Q18" s="1012">
        <f t="shared" si="0"/>
        <v>300</v>
      </c>
      <c r="R18" s="1012">
        <f t="shared" si="1"/>
        <v>400</v>
      </c>
      <c r="S18" s="1013">
        <f t="shared" si="2"/>
        <v>500</v>
      </c>
      <c r="U18" s="1426" t="s">
        <v>38</v>
      </c>
      <c r="V18" s="1480" t="s">
        <v>39</v>
      </c>
      <c r="W18" s="1481"/>
      <c r="X18" s="1482"/>
      <c r="Y18" s="1014"/>
      <c r="Z18" s="1015">
        <v>234</v>
      </c>
      <c r="AA18" s="1015">
        <v>92</v>
      </c>
      <c r="AB18" s="1016">
        <v>33</v>
      </c>
      <c r="AC18" s="1017">
        <f t="shared" si="3"/>
        <v>359</v>
      </c>
    </row>
    <row r="19" spans="1:29" ht="15" thickBot="1" x14ac:dyDescent="0.4">
      <c r="A19" s="1454"/>
      <c r="B19" s="1434" t="s">
        <v>40</v>
      </c>
      <c r="C19" s="1435"/>
      <c r="D19" s="1436"/>
      <c r="E19" s="999"/>
      <c r="F19" s="1018">
        <v>4800</v>
      </c>
      <c r="G19" s="1018">
        <v>6500</v>
      </c>
      <c r="H19" s="1019">
        <v>7000</v>
      </c>
      <c r="I19" s="1248">
        <v>4.4999999999999998E-2</v>
      </c>
      <c r="J19" s="1249">
        <v>4.4999999999999998E-2</v>
      </c>
      <c r="K19" s="1250">
        <v>4.4999999999999998E-2</v>
      </c>
      <c r="L19" s="999"/>
      <c r="M19" s="1020">
        <f t="shared" si="4"/>
        <v>5100</v>
      </c>
      <c r="N19" s="1020">
        <f t="shared" si="5"/>
        <v>6800</v>
      </c>
      <c r="O19" s="1021">
        <f t="shared" si="6"/>
        <v>7400</v>
      </c>
      <c r="P19" s="999"/>
      <c r="Q19" s="1020">
        <f t="shared" si="0"/>
        <v>300</v>
      </c>
      <c r="R19" s="1020">
        <f t="shared" si="1"/>
        <v>300</v>
      </c>
      <c r="S19" s="1021">
        <f t="shared" si="2"/>
        <v>400</v>
      </c>
      <c r="U19" s="1454"/>
      <c r="V19" s="1477" t="s">
        <v>40</v>
      </c>
      <c r="W19" s="1478"/>
      <c r="X19" s="1479"/>
      <c r="Y19" s="1022"/>
      <c r="Z19" s="1023">
        <v>252</v>
      </c>
      <c r="AA19" s="1023">
        <v>104</v>
      </c>
      <c r="AB19" s="1024">
        <v>39</v>
      </c>
      <c r="AC19" s="1025">
        <f t="shared" si="3"/>
        <v>395</v>
      </c>
    </row>
    <row r="20" spans="1:29" x14ac:dyDescent="0.35">
      <c r="A20" s="1426" t="s">
        <v>41</v>
      </c>
      <c r="B20" s="1465" t="s">
        <v>42</v>
      </c>
      <c r="C20" s="1466"/>
      <c r="D20" s="1467"/>
      <c r="E20" s="1026">
        <v>34600</v>
      </c>
      <c r="F20" s="1012">
        <v>53100</v>
      </c>
      <c r="G20" s="1012">
        <v>72200</v>
      </c>
      <c r="H20" s="1013">
        <v>78200</v>
      </c>
      <c r="I20" s="1251">
        <v>4.4999999999999998E-2</v>
      </c>
      <c r="J20" s="1252">
        <v>4.4999999999999998E-2</v>
      </c>
      <c r="K20" s="1253">
        <v>4.4999999999999998E-2</v>
      </c>
      <c r="L20" s="1027">
        <f>IF(OR(E20=0,E20=""),0,CEILING(M20*0.65,100))</f>
        <v>36100</v>
      </c>
      <c r="M20" s="1028">
        <f t="shared" si="4"/>
        <v>55500</v>
      </c>
      <c r="N20" s="1028">
        <f t="shared" si="5"/>
        <v>75500</v>
      </c>
      <c r="O20" s="1029">
        <f t="shared" si="6"/>
        <v>81800</v>
      </c>
      <c r="P20" s="1027">
        <f>L20-E20</f>
        <v>1500</v>
      </c>
      <c r="Q20" s="1028">
        <f t="shared" si="0"/>
        <v>2400</v>
      </c>
      <c r="R20" s="1028">
        <f t="shared" si="1"/>
        <v>3300</v>
      </c>
      <c r="S20" s="1029">
        <f t="shared" si="2"/>
        <v>3600</v>
      </c>
      <c r="U20" s="1426" t="s">
        <v>41</v>
      </c>
      <c r="V20" s="1486" t="s">
        <v>42</v>
      </c>
      <c r="W20" s="1487"/>
      <c r="X20" s="1488"/>
      <c r="Y20" s="1030">
        <v>51</v>
      </c>
      <c r="Z20" s="1015">
        <v>0</v>
      </c>
      <c r="AA20" s="1015">
        <v>0</v>
      </c>
      <c r="AB20" s="1016">
        <v>0</v>
      </c>
      <c r="AC20" s="1017">
        <f t="shared" si="3"/>
        <v>51</v>
      </c>
    </row>
    <row r="21" spans="1:29" x14ac:dyDescent="0.35">
      <c r="A21" s="1427"/>
      <c r="B21" s="1468" t="s">
        <v>43</v>
      </c>
      <c r="C21" s="1469"/>
      <c r="D21" s="1470"/>
      <c r="E21" s="979"/>
      <c r="F21" s="980"/>
      <c r="G21" s="980"/>
      <c r="H21" s="986"/>
      <c r="I21" s="982"/>
      <c r="J21" s="983"/>
      <c r="K21" s="984"/>
      <c r="L21" s="979"/>
      <c r="M21" s="980"/>
      <c r="N21" s="980"/>
      <c r="O21" s="986"/>
      <c r="P21" s="979"/>
      <c r="Q21" s="980"/>
      <c r="R21" s="980"/>
      <c r="S21" s="986"/>
      <c r="U21" s="1427"/>
      <c r="V21" s="1489" t="s">
        <v>43</v>
      </c>
      <c r="W21" s="1490"/>
      <c r="X21" s="1491"/>
      <c r="Y21" s="987"/>
      <c r="Z21" s="988"/>
      <c r="AA21" s="988"/>
      <c r="AB21" s="989"/>
      <c r="AC21" s="990"/>
    </row>
    <row r="22" spans="1:29" ht="15" thickBot="1" x14ac:dyDescent="0.4">
      <c r="A22" s="1454"/>
      <c r="B22" s="1455" t="s">
        <v>31</v>
      </c>
      <c r="C22" s="1456"/>
      <c r="D22" s="1457"/>
      <c r="E22" s="999"/>
      <c r="F22" s="1000">
        <v>16000</v>
      </c>
      <c r="G22" s="1000">
        <v>21700</v>
      </c>
      <c r="H22" s="1021">
        <v>23500</v>
      </c>
      <c r="I22" s="1031"/>
      <c r="J22" s="1032"/>
      <c r="K22" s="1033"/>
      <c r="L22" s="1034"/>
      <c r="M22" s="1003">
        <f>CEILING(M20*0.3,100)</f>
        <v>16700</v>
      </c>
      <c r="N22" s="1003">
        <f>CEILING(N20*0.3,100)</f>
        <v>22700</v>
      </c>
      <c r="O22" s="1004">
        <f>CEILING(O20*0.3,100)</f>
        <v>24600</v>
      </c>
      <c r="P22" s="1034"/>
      <c r="Q22" s="1003">
        <f t="shared" si="0"/>
        <v>700</v>
      </c>
      <c r="R22" s="1003">
        <f t="shared" si="1"/>
        <v>1000</v>
      </c>
      <c r="S22" s="1004">
        <f t="shared" si="2"/>
        <v>1100</v>
      </c>
      <c r="U22" s="1454"/>
      <c r="V22" s="1504" t="s">
        <v>31</v>
      </c>
      <c r="W22" s="1505"/>
      <c r="X22" s="1506"/>
      <c r="Y22" s="1022"/>
      <c r="Z22" s="1023"/>
      <c r="AA22" s="1023"/>
      <c r="AB22" s="1024"/>
      <c r="AC22" s="1025">
        <f>SUM(Y22:AB22)</f>
        <v>0</v>
      </c>
    </row>
    <row r="23" spans="1:29" x14ac:dyDescent="0.35">
      <c r="A23" s="1426" t="s">
        <v>44</v>
      </c>
      <c r="B23" s="1437" t="s">
        <v>32</v>
      </c>
      <c r="C23" s="1438"/>
      <c r="D23" s="1439"/>
      <c r="E23" s="1026">
        <v>22100</v>
      </c>
      <c r="F23" s="1012">
        <v>34000</v>
      </c>
      <c r="G23" s="1012">
        <v>46200</v>
      </c>
      <c r="H23" s="1013">
        <v>50000</v>
      </c>
      <c r="I23" s="1233">
        <v>4.4999999999999998E-2</v>
      </c>
      <c r="J23" s="1240">
        <v>4.4999999999999998E-2</v>
      </c>
      <c r="K23" s="1241">
        <v>4.4999999999999998E-2</v>
      </c>
      <c r="L23" s="1213">
        <f>IF(OR(E23=0,E23=""),0,CEILING(M23*0.65,100))</f>
        <v>23200</v>
      </c>
      <c r="M23" s="1012">
        <f>CEILING($F23*(1+$I23),100)</f>
        <v>35600</v>
      </c>
      <c r="N23" s="1012">
        <f>CEILING($G23*(1+$J23),100)</f>
        <v>48300</v>
      </c>
      <c r="O23" s="1013">
        <f>CEILING($H23*(1+$K23),100)</f>
        <v>52300</v>
      </c>
      <c r="P23" s="1035">
        <f>L23-E23</f>
        <v>1100</v>
      </c>
      <c r="Q23" s="1012">
        <f t="shared" si="0"/>
        <v>1600</v>
      </c>
      <c r="R23" s="1012">
        <f t="shared" si="1"/>
        <v>2100</v>
      </c>
      <c r="S23" s="1013">
        <f t="shared" si="2"/>
        <v>2300</v>
      </c>
      <c r="U23" s="1426" t="s">
        <v>44</v>
      </c>
      <c r="V23" s="1480" t="s">
        <v>32</v>
      </c>
      <c r="W23" s="1481"/>
      <c r="X23" s="1482"/>
      <c r="Y23" s="1036">
        <v>43</v>
      </c>
      <c r="Z23" s="1037">
        <v>86</v>
      </c>
      <c r="AA23" s="1037">
        <v>3</v>
      </c>
      <c r="AB23" s="1038">
        <v>16</v>
      </c>
      <c r="AC23" s="1039">
        <f>SUM(Y23:AB23)</f>
        <v>148</v>
      </c>
    </row>
    <row r="24" spans="1:29" x14ac:dyDescent="0.35">
      <c r="A24" s="1427"/>
      <c r="B24" s="1431" t="s">
        <v>45</v>
      </c>
      <c r="C24" s="1432"/>
      <c r="D24" s="1433"/>
      <c r="E24" s="1040">
        <v>4500</v>
      </c>
      <c r="F24" s="1041">
        <v>6900</v>
      </c>
      <c r="G24" s="1041">
        <v>9300</v>
      </c>
      <c r="H24" s="1042">
        <v>10100</v>
      </c>
      <c r="I24" s="1254">
        <v>4.4999999999999998E-2</v>
      </c>
      <c r="J24" s="1255">
        <v>4.4999999999999998E-2</v>
      </c>
      <c r="K24" s="1256">
        <v>4.4999999999999998E-2</v>
      </c>
      <c r="L24" s="1214">
        <f>IF(OR(E24=0,E24=""),0,CEILING(M24*0.65,100))</f>
        <v>4800</v>
      </c>
      <c r="M24" s="1041">
        <f t="shared" ref="M24:M43" si="7">CEILING($F24*(1+$I24),100)</f>
        <v>7300</v>
      </c>
      <c r="N24" s="1041">
        <f t="shared" ref="N24:N43" si="8">CEILING($G24*(1+$J24),100)</f>
        <v>9800</v>
      </c>
      <c r="O24" s="1042">
        <f t="shared" ref="O24:O43" si="9">CEILING($H24*(1+$K24),100)</f>
        <v>10600</v>
      </c>
      <c r="P24" s="1040">
        <f>L24-E24</f>
        <v>300</v>
      </c>
      <c r="Q24" s="1041">
        <f t="shared" si="0"/>
        <v>400</v>
      </c>
      <c r="R24" s="1041">
        <f t="shared" si="1"/>
        <v>500</v>
      </c>
      <c r="S24" s="1042">
        <f t="shared" si="2"/>
        <v>500</v>
      </c>
      <c r="U24" s="1427"/>
      <c r="V24" s="1471" t="s">
        <v>45</v>
      </c>
      <c r="W24" s="1472"/>
      <c r="X24" s="1473"/>
      <c r="Y24" s="1036">
        <v>27</v>
      </c>
      <c r="Z24" s="1037">
        <v>27</v>
      </c>
      <c r="AA24" s="1037">
        <v>27</v>
      </c>
      <c r="AB24" s="1038">
        <v>27</v>
      </c>
      <c r="AC24" s="995">
        <f t="shared" ref="AC24:AC35" si="10">SUM(Y24:AB24)</f>
        <v>108</v>
      </c>
    </row>
    <row r="25" spans="1:29" x14ac:dyDescent="0.35">
      <c r="A25" s="1427"/>
      <c r="B25" s="1458" t="s">
        <v>34</v>
      </c>
      <c r="C25" s="1459"/>
      <c r="D25" s="1460"/>
      <c r="E25" s="1040">
        <v>9700</v>
      </c>
      <c r="F25" s="1041">
        <v>14900</v>
      </c>
      <c r="G25" s="1041">
        <v>21300</v>
      </c>
      <c r="H25" s="1042">
        <v>23100</v>
      </c>
      <c r="I25" s="1254">
        <v>4.4999999999999998E-2</v>
      </c>
      <c r="J25" s="1255">
        <v>4.4999999999999998E-2</v>
      </c>
      <c r="K25" s="1256">
        <v>4.4999999999999998E-2</v>
      </c>
      <c r="L25" s="1214">
        <f>IF(OR(E25=0,E25=""),0,CEILING(M25*0.65,100))</f>
        <v>10200</v>
      </c>
      <c r="M25" s="1041">
        <f t="shared" si="7"/>
        <v>15600</v>
      </c>
      <c r="N25" s="1041">
        <f>CEILING($G25*(1+$J25),100)</f>
        <v>22300</v>
      </c>
      <c r="O25" s="1042">
        <f t="shared" si="9"/>
        <v>24200</v>
      </c>
      <c r="P25" s="1040">
        <f>L25-E25</f>
        <v>500</v>
      </c>
      <c r="Q25" s="1041">
        <f t="shared" si="0"/>
        <v>700</v>
      </c>
      <c r="R25" s="1041">
        <f t="shared" si="1"/>
        <v>1000</v>
      </c>
      <c r="S25" s="1042">
        <f t="shared" si="2"/>
        <v>1100</v>
      </c>
      <c r="U25" s="1427"/>
      <c r="V25" s="1471" t="s">
        <v>34</v>
      </c>
      <c r="W25" s="1472"/>
      <c r="X25" s="1473"/>
      <c r="Y25" s="1043">
        <v>469</v>
      </c>
      <c r="Z25" s="1044">
        <v>275</v>
      </c>
      <c r="AA25" s="1044">
        <v>52</v>
      </c>
      <c r="AB25" s="1045">
        <v>94</v>
      </c>
      <c r="AC25" s="995">
        <f t="shared" si="10"/>
        <v>890</v>
      </c>
    </row>
    <row r="26" spans="1:29" x14ac:dyDescent="0.35">
      <c r="A26" s="1427"/>
      <c r="B26" s="1431" t="s">
        <v>46</v>
      </c>
      <c r="C26" s="1432"/>
      <c r="D26" s="1433"/>
      <c r="E26" s="1040">
        <v>1200</v>
      </c>
      <c r="F26" s="1041">
        <v>1800</v>
      </c>
      <c r="G26" s="1041">
        <v>2500</v>
      </c>
      <c r="H26" s="1042">
        <v>2700</v>
      </c>
      <c r="I26" s="1254">
        <v>4.4999999999999998E-2</v>
      </c>
      <c r="J26" s="1255">
        <v>4.4999999999999998E-2</v>
      </c>
      <c r="K26" s="1256">
        <v>4.4999999999999998E-2</v>
      </c>
      <c r="L26" s="1214">
        <f>IF(OR(E26=0,E26=""),0,CEILING(M26*0.65,100))</f>
        <v>1300</v>
      </c>
      <c r="M26" s="1041">
        <f t="shared" si="7"/>
        <v>1900</v>
      </c>
      <c r="N26" s="1041">
        <f t="shared" si="8"/>
        <v>2700</v>
      </c>
      <c r="O26" s="1042">
        <f t="shared" si="9"/>
        <v>2900</v>
      </c>
      <c r="P26" s="1040">
        <f>L26-E26</f>
        <v>100</v>
      </c>
      <c r="Q26" s="1041">
        <f t="shared" si="0"/>
        <v>100</v>
      </c>
      <c r="R26" s="1041">
        <f t="shared" si="1"/>
        <v>200</v>
      </c>
      <c r="S26" s="1042">
        <f t="shared" si="2"/>
        <v>200</v>
      </c>
      <c r="U26" s="1427"/>
      <c r="V26" s="1471" t="s">
        <v>46</v>
      </c>
      <c r="W26" s="1472"/>
      <c r="X26" s="1473"/>
      <c r="Y26" s="1043">
        <v>14</v>
      </c>
      <c r="Z26" s="1044">
        <v>14</v>
      </c>
      <c r="AA26" s="1044">
        <v>14</v>
      </c>
      <c r="AB26" s="1045">
        <v>14</v>
      </c>
      <c r="AC26" s="995">
        <f t="shared" si="10"/>
        <v>56</v>
      </c>
    </row>
    <row r="27" spans="1:29" x14ac:dyDescent="0.35">
      <c r="A27" s="1427"/>
      <c r="B27" s="1431" t="s">
        <v>47</v>
      </c>
      <c r="C27" s="1432"/>
      <c r="D27" s="1433"/>
      <c r="E27" s="1163"/>
      <c r="F27" s="1041">
        <v>49700</v>
      </c>
      <c r="G27" s="1041">
        <v>67600</v>
      </c>
      <c r="H27" s="1042">
        <v>73200</v>
      </c>
      <c r="I27" s="1254">
        <v>4.4999999999999998E-2</v>
      </c>
      <c r="J27" s="1255">
        <v>4.4999999999999998E-2</v>
      </c>
      <c r="K27" s="1256">
        <v>4.4999999999999998E-2</v>
      </c>
      <c r="L27" s="1215"/>
      <c r="M27" s="1041">
        <f t="shared" si="7"/>
        <v>52000</v>
      </c>
      <c r="N27" s="1041">
        <f t="shared" si="8"/>
        <v>70700</v>
      </c>
      <c r="O27" s="1042">
        <f t="shared" si="9"/>
        <v>76500</v>
      </c>
      <c r="P27" s="1046"/>
      <c r="Q27" s="1041">
        <f t="shared" si="0"/>
        <v>2300</v>
      </c>
      <c r="R27" s="1041">
        <f t="shared" si="1"/>
        <v>3100</v>
      </c>
      <c r="S27" s="1042">
        <f t="shared" si="2"/>
        <v>3300</v>
      </c>
      <c r="U27" s="1427"/>
      <c r="V27" s="1471" t="s">
        <v>47</v>
      </c>
      <c r="W27" s="1472"/>
      <c r="X27" s="1473"/>
      <c r="Y27" s="987"/>
      <c r="Z27" s="1044">
        <v>187</v>
      </c>
      <c r="AA27" s="1044">
        <v>23</v>
      </c>
      <c r="AB27" s="1045">
        <v>77</v>
      </c>
      <c r="AC27" s="995">
        <f>SUM(Y27:AB27)</f>
        <v>287</v>
      </c>
    </row>
    <row r="28" spans="1:29" x14ac:dyDescent="0.35">
      <c r="A28" s="1427"/>
      <c r="B28" s="1431" t="s">
        <v>48</v>
      </c>
      <c r="C28" s="1432"/>
      <c r="D28" s="1433"/>
      <c r="E28" s="1046"/>
      <c r="F28" s="1041">
        <v>2300</v>
      </c>
      <c r="G28" s="1041">
        <v>30000</v>
      </c>
      <c r="H28" s="1042">
        <v>3300</v>
      </c>
      <c r="I28" s="1254">
        <v>4.4999999999999998E-2</v>
      </c>
      <c r="J28" s="1255">
        <v>4.4999999999999998E-2</v>
      </c>
      <c r="K28" s="1256">
        <v>4.4999999999999998E-2</v>
      </c>
      <c r="L28" s="1215"/>
      <c r="M28" s="1041">
        <f t="shared" si="7"/>
        <v>2500</v>
      </c>
      <c r="N28" s="1041">
        <f>CEILING($G28*(1+$J28),100)</f>
        <v>31400</v>
      </c>
      <c r="O28" s="1042">
        <f>CEILING($H28*(1+$K28),100)</f>
        <v>3500</v>
      </c>
      <c r="P28" s="1046"/>
      <c r="Q28" s="1041">
        <f t="shared" si="0"/>
        <v>200</v>
      </c>
      <c r="R28" s="1041">
        <f t="shared" si="1"/>
        <v>1400</v>
      </c>
      <c r="S28" s="1042">
        <f t="shared" si="2"/>
        <v>200</v>
      </c>
      <c r="U28" s="1427"/>
      <c r="V28" s="1471" t="s">
        <v>48</v>
      </c>
      <c r="W28" s="1472"/>
      <c r="X28" s="1473"/>
      <c r="Y28" s="987"/>
      <c r="Z28" s="1044">
        <v>78</v>
      </c>
      <c r="AA28" s="1044">
        <v>14</v>
      </c>
      <c r="AB28" s="1045">
        <v>14</v>
      </c>
      <c r="AC28" s="995">
        <f t="shared" si="10"/>
        <v>106</v>
      </c>
    </row>
    <row r="29" spans="1:29" x14ac:dyDescent="0.35">
      <c r="A29" s="1427"/>
      <c r="B29" s="1431" t="s">
        <v>49</v>
      </c>
      <c r="C29" s="1432"/>
      <c r="D29" s="1433"/>
      <c r="E29" s="1046"/>
      <c r="F29" s="1041">
        <v>96200</v>
      </c>
      <c r="G29" s="1041">
        <v>130900</v>
      </c>
      <c r="H29" s="1042">
        <v>141800</v>
      </c>
      <c r="I29" s="1254">
        <v>4.4999999999999998E-2</v>
      </c>
      <c r="J29" s="1255">
        <v>4.4999999999999998E-2</v>
      </c>
      <c r="K29" s="1256">
        <v>4.4999999999999998E-2</v>
      </c>
      <c r="L29" s="1215"/>
      <c r="M29" s="1041">
        <f t="shared" si="7"/>
        <v>100600</v>
      </c>
      <c r="N29" s="1041">
        <f t="shared" si="8"/>
        <v>136800</v>
      </c>
      <c r="O29" s="1042">
        <f t="shared" si="9"/>
        <v>148200</v>
      </c>
      <c r="P29" s="1046"/>
      <c r="Q29" s="1041">
        <f t="shared" si="0"/>
        <v>4400</v>
      </c>
      <c r="R29" s="1041">
        <f t="shared" si="1"/>
        <v>5900</v>
      </c>
      <c r="S29" s="1042">
        <f t="shared" si="2"/>
        <v>6400</v>
      </c>
      <c r="U29" s="1427"/>
      <c r="V29" s="1471" t="s">
        <v>49</v>
      </c>
      <c r="W29" s="1472"/>
      <c r="X29" s="1473"/>
      <c r="Y29" s="987"/>
      <c r="Z29" s="1044">
        <v>20</v>
      </c>
      <c r="AA29" s="1044">
        <v>20</v>
      </c>
      <c r="AB29" s="1045">
        <v>20</v>
      </c>
      <c r="AC29" s="995">
        <f>SUM(Y29:AB29)</f>
        <v>60</v>
      </c>
    </row>
    <row r="30" spans="1:29" x14ac:dyDescent="0.35">
      <c r="A30" s="1427"/>
      <c r="B30" s="1431" t="s">
        <v>50</v>
      </c>
      <c r="C30" s="1432"/>
      <c r="D30" s="1433"/>
      <c r="E30" s="1046"/>
      <c r="F30" s="1041">
        <v>3900</v>
      </c>
      <c r="G30" s="1041">
        <v>5300</v>
      </c>
      <c r="H30" s="1042">
        <v>5800</v>
      </c>
      <c r="I30" s="1254">
        <v>4.4999999999999998E-2</v>
      </c>
      <c r="J30" s="1255">
        <v>4.4999999999999998E-2</v>
      </c>
      <c r="K30" s="1256">
        <v>4.4999999999999998E-2</v>
      </c>
      <c r="L30" s="1215"/>
      <c r="M30" s="1041">
        <f t="shared" si="7"/>
        <v>4100</v>
      </c>
      <c r="N30" s="1041">
        <f t="shared" si="8"/>
        <v>5600</v>
      </c>
      <c r="O30" s="1042">
        <f t="shared" si="9"/>
        <v>6100</v>
      </c>
      <c r="P30" s="1046"/>
      <c r="Q30" s="1041">
        <f t="shared" si="0"/>
        <v>200</v>
      </c>
      <c r="R30" s="1041">
        <f t="shared" si="1"/>
        <v>300</v>
      </c>
      <c r="S30" s="1042">
        <f t="shared" si="2"/>
        <v>300</v>
      </c>
      <c r="U30" s="1427"/>
      <c r="V30" s="1471" t="s">
        <v>50</v>
      </c>
      <c r="W30" s="1472"/>
      <c r="X30" s="1473"/>
      <c r="Y30" s="987"/>
      <c r="Z30" s="1044">
        <v>27</v>
      </c>
      <c r="AA30" s="1044">
        <v>27</v>
      </c>
      <c r="AB30" s="1045">
        <v>27</v>
      </c>
      <c r="AC30" s="995">
        <f t="shared" si="10"/>
        <v>81</v>
      </c>
    </row>
    <row r="31" spans="1:29" x14ac:dyDescent="0.35">
      <c r="A31" s="1427"/>
      <c r="B31" s="1431" t="s">
        <v>36</v>
      </c>
      <c r="C31" s="1432"/>
      <c r="D31" s="1433"/>
      <c r="E31" s="1046"/>
      <c r="F31" s="1041">
        <v>128900</v>
      </c>
      <c r="G31" s="1041">
        <v>175300</v>
      </c>
      <c r="H31" s="1042">
        <v>189900</v>
      </c>
      <c r="I31" s="1254">
        <v>4.4999999999999998E-2</v>
      </c>
      <c r="J31" s="1255">
        <v>4.4999999999999998E-2</v>
      </c>
      <c r="K31" s="1256">
        <v>4.4999999999999998E-2</v>
      </c>
      <c r="L31" s="1215"/>
      <c r="M31" s="1041">
        <f t="shared" si="7"/>
        <v>134800</v>
      </c>
      <c r="N31" s="1041">
        <f t="shared" si="8"/>
        <v>183200</v>
      </c>
      <c r="O31" s="1042">
        <f t="shared" si="9"/>
        <v>198500</v>
      </c>
      <c r="P31" s="1046"/>
      <c r="Q31" s="1041">
        <f t="shared" si="0"/>
        <v>5900</v>
      </c>
      <c r="R31" s="1041">
        <f t="shared" si="1"/>
        <v>7900</v>
      </c>
      <c r="S31" s="1042">
        <f t="shared" si="2"/>
        <v>8600</v>
      </c>
      <c r="U31" s="1427"/>
      <c r="V31" s="1471" t="s">
        <v>36</v>
      </c>
      <c r="W31" s="1472"/>
      <c r="X31" s="1473"/>
      <c r="Y31" s="987"/>
      <c r="Z31" s="1044">
        <v>42</v>
      </c>
      <c r="AA31" s="1044">
        <v>2</v>
      </c>
      <c r="AB31" s="1045">
        <v>36</v>
      </c>
      <c r="AC31" s="995">
        <f t="shared" si="10"/>
        <v>80</v>
      </c>
    </row>
    <row r="32" spans="1:29" x14ac:dyDescent="0.35">
      <c r="A32" s="1427"/>
      <c r="B32" s="1431" t="s">
        <v>37</v>
      </c>
      <c r="C32" s="1432"/>
      <c r="D32" s="1433"/>
      <c r="E32" s="1046"/>
      <c r="F32" s="1041">
        <v>232900</v>
      </c>
      <c r="G32" s="1041">
        <v>316800</v>
      </c>
      <c r="H32" s="1042">
        <v>343200</v>
      </c>
      <c r="I32" s="1254">
        <v>4.4999999999999998E-2</v>
      </c>
      <c r="J32" s="1255">
        <v>4.4999999999999998E-2</v>
      </c>
      <c r="K32" s="1256">
        <v>4.4999999999999998E-2</v>
      </c>
      <c r="L32" s="1215"/>
      <c r="M32" s="1041">
        <f t="shared" si="7"/>
        <v>243400</v>
      </c>
      <c r="N32" s="1041">
        <f t="shared" si="8"/>
        <v>331100</v>
      </c>
      <c r="O32" s="1042">
        <f t="shared" si="9"/>
        <v>358700</v>
      </c>
      <c r="P32" s="1046"/>
      <c r="Q32" s="1041">
        <f t="shared" si="0"/>
        <v>10500</v>
      </c>
      <c r="R32" s="1041">
        <f t="shared" si="1"/>
        <v>14300</v>
      </c>
      <c r="S32" s="1042">
        <f t="shared" si="2"/>
        <v>15500</v>
      </c>
      <c r="U32" s="1427"/>
      <c r="V32" s="1471" t="s">
        <v>37</v>
      </c>
      <c r="W32" s="1472"/>
      <c r="X32" s="1473"/>
      <c r="Y32" s="987"/>
      <c r="Z32" s="1044">
        <v>7</v>
      </c>
      <c r="AA32" s="1044">
        <v>0</v>
      </c>
      <c r="AB32" s="1045">
        <v>14</v>
      </c>
      <c r="AC32" s="995">
        <f t="shared" si="10"/>
        <v>21</v>
      </c>
    </row>
    <row r="33" spans="1:30" x14ac:dyDescent="0.35">
      <c r="A33" s="1427"/>
      <c r="B33" s="1431" t="s">
        <v>51</v>
      </c>
      <c r="C33" s="1432"/>
      <c r="D33" s="1433"/>
      <c r="E33" s="1046"/>
      <c r="F33" s="1041">
        <v>150300</v>
      </c>
      <c r="G33" s="1041">
        <v>204400</v>
      </c>
      <c r="H33" s="1042">
        <v>221400</v>
      </c>
      <c r="I33" s="1254">
        <v>4.4999999999999998E-2</v>
      </c>
      <c r="J33" s="1255">
        <v>4.4999999999999998E-2</v>
      </c>
      <c r="K33" s="1256">
        <v>4.4999999999999998E-2</v>
      </c>
      <c r="L33" s="1215"/>
      <c r="M33" s="1041">
        <f t="shared" si="7"/>
        <v>157100</v>
      </c>
      <c r="N33" s="1041">
        <f t="shared" si="8"/>
        <v>213600</v>
      </c>
      <c r="O33" s="1042">
        <f t="shared" si="9"/>
        <v>231400</v>
      </c>
      <c r="P33" s="1046"/>
      <c r="Q33" s="1041">
        <f t="shared" si="0"/>
        <v>6800</v>
      </c>
      <c r="R33" s="1041">
        <f t="shared" si="1"/>
        <v>9200</v>
      </c>
      <c r="S33" s="1042">
        <f t="shared" si="2"/>
        <v>10000</v>
      </c>
      <c r="U33" s="1427"/>
      <c r="V33" s="1471" t="s">
        <v>51</v>
      </c>
      <c r="W33" s="1472"/>
      <c r="X33" s="1473"/>
      <c r="Y33" s="987"/>
      <c r="Z33" s="1044">
        <v>42</v>
      </c>
      <c r="AA33" s="1044">
        <v>3</v>
      </c>
      <c r="AB33" s="1045">
        <v>41</v>
      </c>
      <c r="AC33" s="995">
        <f t="shared" si="10"/>
        <v>86</v>
      </c>
    </row>
    <row r="34" spans="1:30" x14ac:dyDescent="0.35">
      <c r="A34" s="1427"/>
      <c r="B34" s="1431" t="s">
        <v>52</v>
      </c>
      <c r="C34" s="1432"/>
      <c r="D34" s="1433"/>
      <c r="E34" s="1046"/>
      <c r="F34" s="1041">
        <v>8200</v>
      </c>
      <c r="G34" s="1041">
        <v>11200</v>
      </c>
      <c r="H34" s="1042">
        <v>12100</v>
      </c>
      <c r="I34" s="1254">
        <v>4.4999999999999998E-2</v>
      </c>
      <c r="J34" s="1255">
        <v>4.4999999999999998E-2</v>
      </c>
      <c r="K34" s="1256">
        <v>4.4999999999999998E-2</v>
      </c>
      <c r="L34" s="1215"/>
      <c r="M34" s="1041">
        <f t="shared" si="7"/>
        <v>8600</v>
      </c>
      <c r="N34" s="1041">
        <f t="shared" si="8"/>
        <v>11800</v>
      </c>
      <c r="O34" s="1042">
        <f t="shared" si="9"/>
        <v>12700</v>
      </c>
      <c r="P34" s="1046"/>
      <c r="Q34" s="1041">
        <f t="shared" si="0"/>
        <v>400</v>
      </c>
      <c r="R34" s="1041">
        <f t="shared" si="1"/>
        <v>600</v>
      </c>
      <c r="S34" s="1042">
        <f t="shared" si="2"/>
        <v>600</v>
      </c>
      <c r="U34" s="1427"/>
      <c r="V34" s="1471" t="s">
        <v>52</v>
      </c>
      <c r="W34" s="1472"/>
      <c r="X34" s="1473"/>
      <c r="Y34" s="987"/>
      <c r="Z34" s="1044">
        <v>16</v>
      </c>
      <c r="AA34" s="1044">
        <v>16</v>
      </c>
      <c r="AB34" s="1045">
        <v>16</v>
      </c>
      <c r="AC34" s="995">
        <f t="shared" si="10"/>
        <v>48</v>
      </c>
    </row>
    <row r="35" spans="1:30" x14ac:dyDescent="0.35">
      <c r="A35" s="1427"/>
      <c r="B35" s="1431" t="s">
        <v>53</v>
      </c>
      <c r="C35" s="1432"/>
      <c r="D35" s="1433"/>
      <c r="E35" s="1046"/>
      <c r="F35" s="1041">
        <v>252700</v>
      </c>
      <c r="G35" s="1041">
        <v>343600</v>
      </c>
      <c r="H35" s="1042">
        <v>372300</v>
      </c>
      <c r="I35" s="1254">
        <v>4.4999999999999998E-2</v>
      </c>
      <c r="J35" s="1255">
        <v>4.4999999999999998E-2</v>
      </c>
      <c r="K35" s="1256">
        <v>4.4999999999999998E-2</v>
      </c>
      <c r="L35" s="1215"/>
      <c r="M35" s="1041">
        <f t="shared" si="7"/>
        <v>264100</v>
      </c>
      <c r="N35" s="1041">
        <f t="shared" si="8"/>
        <v>359100</v>
      </c>
      <c r="O35" s="1042">
        <f t="shared" si="9"/>
        <v>389100</v>
      </c>
      <c r="P35" s="1046"/>
      <c r="Q35" s="1041">
        <f t="shared" si="0"/>
        <v>11400</v>
      </c>
      <c r="R35" s="1041">
        <f t="shared" si="1"/>
        <v>15500</v>
      </c>
      <c r="S35" s="1042">
        <f t="shared" si="2"/>
        <v>16800</v>
      </c>
      <c r="U35" s="1427"/>
      <c r="V35" s="1471" t="s">
        <v>53</v>
      </c>
      <c r="W35" s="1472"/>
      <c r="X35" s="1473"/>
      <c r="Y35" s="987"/>
      <c r="Z35" s="1044">
        <v>8</v>
      </c>
      <c r="AA35" s="1044">
        <v>0</v>
      </c>
      <c r="AB35" s="1045">
        <v>23</v>
      </c>
      <c r="AC35" s="995">
        <f t="shared" si="10"/>
        <v>31</v>
      </c>
    </row>
    <row r="36" spans="1:30" x14ac:dyDescent="0.35">
      <c r="A36" s="1427"/>
      <c r="B36" s="1431" t="s">
        <v>54</v>
      </c>
      <c r="C36" s="1432"/>
      <c r="D36" s="1433"/>
      <c r="E36" s="1046"/>
      <c r="F36" s="1041">
        <v>9700</v>
      </c>
      <c r="G36" s="1041">
        <v>13200</v>
      </c>
      <c r="H36" s="1042">
        <v>14300</v>
      </c>
      <c r="I36" s="1254">
        <v>4.4999999999999998E-2</v>
      </c>
      <c r="J36" s="1255">
        <v>4.4999999999999998E-2</v>
      </c>
      <c r="K36" s="1256">
        <v>4.4999999999999998E-2</v>
      </c>
      <c r="L36" s="1215"/>
      <c r="M36" s="1041">
        <f t="shared" si="7"/>
        <v>10200</v>
      </c>
      <c r="N36" s="1041">
        <f t="shared" si="8"/>
        <v>13800</v>
      </c>
      <c r="O36" s="1042">
        <f t="shared" si="9"/>
        <v>15000</v>
      </c>
      <c r="P36" s="1046"/>
      <c r="Q36" s="1041">
        <f t="shared" si="0"/>
        <v>500</v>
      </c>
      <c r="R36" s="1041">
        <f t="shared" si="1"/>
        <v>600</v>
      </c>
      <c r="S36" s="1042">
        <f t="shared" si="2"/>
        <v>700</v>
      </c>
      <c r="U36" s="1427"/>
      <c r="V36" s="1471" t="s">
        <v>54</v>
      </c>
      <c r="W36" s="1472"/>
      <c r="X36" s="1473"/>
      <c r="Y36" s="987"/>
      <c r="Z36" s="1044">
        <v>16</v>
      </c>
      <c r="AA36" s="1044">
        <v>16</v>
      </c>
      <c r="AB36" s="1045">
        <v>16</v>
      </c>
      <c r="AC36" s="995">
        <f t="shared" ref="AC36:AC57" si="11">SUM(Y36:AB36)</f>
        <v>48</v>
      </c>
    </row>
    <row r="37" spans="1:30" x14ac:dyDescent="0.35">
      <c r="A37" s="1427"/>
      <c r="B37" s="1431" t="s">
        <v>55</v>
      </c>
      <c r="C37" s="1432"/>
      <c r="D37" s="1433"/>
      <c r="E37" s="1040">
        <v>23300</v>
      </c>
      <c r="F37" s="1041">
        <v>35700</v>
      </c>
      <c r="G37" s="1041">
        <v>48600</v>
      </c>
      <c r="H37" s="1042">
        <v>52600</v>
      </c>
      <c r="I37" s="1254">
        <v>4.4999999999999998E-2</v>
      </c>
      <c r="J37" s="1255">
        <v>4.4999999999999998E-2</v>
      </c>
      <c r="K37" s="1256">
        <v>4.4999999999999998E-2</v>
      </c>
      <c r="L37" s="1214">
        <f>IF(OR(E37=0,E37=""),0,CEILING(M37*0.65,100))</f>
        <v>24400</v>
      </c>
      <c r="M37" s="1041">
        <f t="shared" si="7"/>
        <v>37400</v>
      </c>
      <c r="N37" s="1041">
        <f t="shared" si="8"/>
        <v>50800</v>
      </c>
      <c r="O37" s="1042">
        <f t="shared" si="9"/>
        <v>55000</v>
      </c>
      <c r="P37" s="1040">
        <f>L37-E37</f>
        <v>1100</v>
      </c>
      <c r="Q37" s="1041">
        <f t="shared" si="0"/>
        <v>1700</v>
      </c>
      <c r="R37" s="1041">
        <f t="shared" si="1"/>
        <v>2200</v>
      </c>
      <c r="S37" s="1042">
        <f t="shared" si="2"/>
        <v>2400</v>
      </c>
      <c r="U37" s="1427"/>
      <c r="V37" s="1471" t="s">
        <v>55</v>
      </c>
      <c r="W37" s="1472"/>
      <c r="X37" s="1473"/>
      <c r="Y37" s="1047">
        <v>4</v>
      </c>
      <c r="Z37" s="1048">
        <v>4</v>
      </c>
      <c r="AA37" s="1048">
        <v>0</v>
      </c>
      <c r="AB37" s="1049">
        <v>1</v>
      </c>
      <c r="AC37" s="995">
        <f t="shared" si="11"/>
        <v>9</v>
      </c>
    </row>
    <row r="38" spans="1:30" ht="15" thickBot="1" x14ac:dyDescent="0.4">
      <c r="A38" s="1454"/>
      <c r="B38" s="1434" t="s">
        <v>56</v>
      </c>
      <c r="C38" s="1435"/>
      <c r="D38" s="1436"/>
      <c r="E38" s="1050">
        <v>30800</v>
      </c>
      <c r="F38" s="1020">
        <v>47300</v>
      </c>
      <c r="G38" s="1020">
        <v>64300</v>
      </c>
      <c r="H38" s="1021">
        <v>69700</v>
      </c>
      <c r="I38" s="1257">
        <v>4.4999999999999998E-2</v>
      </c>
      <c r="J38" s="1258">
        <v>4.4999999999999998E-2</v>
      </c>
      <c r="K38" s="1259">
        <v>4.4999999999999998E-2</v>
      </c>
      <c r="L38" s="1216">
        <f>IF(OR(E38=0,E38=""),0,CEILING(M38*0.65,100))</f>
        <v>32200</v>
      </c>
      <c r="M38" s="1020">
        <f t="shared" si="7"/>
        <v>49500</v>
      </c>
      <c r="N38" s="1020">
        <f t="shared" si="8"/>
        <v>67200</v>
      </c>
      <c r="O38" s="1021">
        <f t="shared" si="9"/>
        <v>72900</v>
      </c>
      <c r="P38" s="1050">
        <f>L38-E38</f>
        <v>1400</v>
      </c>
      <c r="Q38" s="1020">
        <f t="shared" si="0"/>
        <v>2200</v>
      </c>
      <c r="R38" s="1020">
        <f t="shared" si="1"/>
        <v>2900</v>
      </c>
      <c r="S38" s="1021">
        <f t="shared" si="2"/>
        <v>3200</v>
      </c>
      <c r="U38" s="1454"/>
      <c r="V38" s="1477" t="s">
        <v>56</v>
      </c>
      <c r="W38" s="1478"/>
      <c r="X38" s="1479"/>
      <c r="Y38" s="1047">
        <v>0</v>
      </c>
      <c r="Z38" s="1048">
        <v>0</v>
      </c>
      <c r="AA38" s="1048">
        <v>0</v>
      </c>
      <c r="AB38" s="1049">
        <v>0</v>
      </c>
      <c r="AC38" s="1008">
        <f t="shared" si="11"/>
        <v>0</v>
      </c>
    </row>
    <row r="39" spans="1:30" ht="15" thickBot="1" x14ac:dyDescent="0.4">
      <c r="A39" s="1426" t="s">
        <v>57</v>
      </c>
      <c r="B39" s="1437" t="s">
        <v>39</v>
      </c>
      <c r="C39" s="1438"/>
      <c r="D39" s="1439"/>
      <c r="E39" s="1009"/>
      <c r="F39" s="1012">
        <v>6200</v>
      </c>
      <c r="G39" s="1012">
        <v>8500</v>
      </c>
      <c r="H39" s="1051">
        <v>9200</v>
      </c>
      <c r="I39" s="1260">
        <v>4.4999999999999998E-2</v>
      </c>
      <c r="J39" s="1261">
        <v>4.4999999999999998E-2</v>
      </c>
      <c r="K39" s="1262">
        <v>4.4999999999999998E-2</v>
      </c>
      <c r="L39" s="1052"/>
      <c r="M39" s="1012">
        <f t="shared" si="7"/>
        <v>6500</v>
      </c>
      <c r="N39" s="1012">
        <f t="shared" si="8"/>
        <v>8900</v>
      </c>
      <c r="O39" s="1013">
        <f t="shared" si="9"/>
        <v>9700</v>
      </c>
      <c r="P39" s="1052"/>
      <c r="Q39" s="1012">
        <f t="shared" si="0"/>
        <v>300</v>
      </c>
      <c r="R39" s="1012">
        <f t="shared" si="1"/>
        <v>400</v>
      </c>
      <c r="S39" s="1013">
        <f t="shared" si="2"/>
        <v>500</v>
      </c>
      <c r="U39" s="1426" t="s">
        <v>57</v>
      </c>
      <c r="V39" s="1480" t="s">
        <v>39</v>
      </c>
      <c r="W39" s="1481"/>
      <c r="X39" s="1482"/>
      <c r="Y39" s="1014"/>
      <c r="Z39" s="1053">
        <v>115</v>
      </c>
      <c r="AA39" s="1053">
        <v>0</v>
      </c>
      <c r="AB39" s="1054">
        <v>62</v>
      </c>
      <c r="AC39" s="1017">
        <f>SUM(Y39:AB39)</f>
        <v>177</v>
      </c>
    </row>
    <row r="40" spans="1:30" ht="15" thickBot="1" x14ac:dyDescent="0.4">
      <c r="A40" s="1454"/>
      <c r="B40" s="1434" t="s">
        <v>58</v>
      </c>
      <c r="C40" s="1435"/>
      <c r="D40" s="1436"/>
      <c r="E40" s="999"/>
      <c r="F40" s="1020">
        <v>4800</v>
      </c>
      <c r="G40" s="1020">
        <v>6500</v>
      </c>
      <c r="H40" s="1055">
        <v>7000</v>
      </c>
      <c r="I40" s="1263">
        <v>4.4999999999999998E-2</v>
      </c>
      <c r="J40" s="1264">
        <v>4.4999999999999998E-2</v>
      </c>
      <c r="K40" s="1265">
        <v>4.4999999999999998E-2</v>
      </c>
      <c r="L40" s="1056"/>
      <c r="M40" s="1057">
        <f t="shared" si="7"/>
        <v>5100</v>
      </c>
      <c r="N40" s="1057">
        <f t="shared" si="8"/>
        <v>6800</v>
      </c>
      <c r="O40" s="1058">
        <f t="shared" si="9"/>
        <v>7400</v>
      </c>
      <c r="P40" s="1056"/>
      <c r="Q40" s="1057">
        <f t="shared" si="0"/>
        <v>300</v>
      </c>
      <c r="R40" s="1057">
        <f t="shared" si="1"/>
        <v>300</v>
      </c>
      <c r="S40" s="1058">
        <f t="shared" si="2"/>
        <v>400</v>
      </c>
      <c r="U40" s="1454"/>
      <c r="V40" s="1477" t="s">
        <v>58</v>
      </c>
      <c r="W40" s="1478"/>
      <c r="X40" s="1479"/>
      <c r="Y40" s="1022"/>
      <c r="Z40" s="1059">
        <v>284</v>
      </c>
      <c r="AA40" s="1285">
        <v>0</v>
      </c>
      <c r="AB40" s="1060">
        <v>190</v>
      </c>
      <c r="AC40" s="1025">
        <f>SUM(Y40:AB40)</f>
        <v>474</v>
      </c>
    </row>
    <row r="41" spans="1:30" x14ac:dyDescent="0.35">
      <c r="A41" s="1424" t="s">
        <v>59</v>
      </c>
      <c r="B41" s="1437" t="s">
        <v>39</v>
      </c>
      <c r="C41" s="1438"/>
      <c r="D41" s="1439"/>
      <c r="E41" s="1061"/>
      <c r="F41" s="1028">
        <v>5900</v>
      </c>
      <c r="G41" s="1028">
        <v>8000</v>
      </c>
      <c r="H41" s="1062">
        <v>8700</v>
      </c>
      <c r="I41" s="1233">
        <v>4.4999999999999998E-2</v>
      </c>
      <c r="J41" s="1240">
        <v>4.4999999999999998E-2</v>
      </c>
      <c r="K41" s="1241">
        <v>4.4999999999999998E-2</v>
      </c>
      <c r="L41" s="1217"/>
      <c r="M41" s="1012">
        <f t="shared" si="7"/>
        <v>6200</v>
      </c>
      <c r="N41" s="1012">
        <f t="shared" si="8"/>
        <v>8400</v>
      </c>
      <c r="O41" s="1013">
        <f t="shared" si="9"/>
        <v>9100</v>
      </c>
      <c r="P41" s="1052"/>
      <c r="Q41" s="1012">
        <f t="shared" si="0"/>
        <v>300</v>
      </c>
      <c r="R41" s="1012">
        <f t="shared" si="1"/>
        <v>400</v>
      </c>
      <c r="S41" s="1013">
        <f t="shared" si="2"/>
        <v>400</v>
      </c>
      <c r="U41" s="1495" t="s">
        <v>59</v>
      </c>
      <c r="V41" s="1480" t="s">
        <v>39</v>
      </c>
      <c r="W41" s="1481"/>
      <c r="X41" s="1482"/>
      <c r="Y41" s="1063"/>
      <c r="Z41" s="1053">
        <v>394</v>
      </c>
      <c r="AA41" s="1053">
        <v>0</v>
      </c>
      <c r="AB41" s="1054">
        <v>106</v>
      </c>
      <c r="AC41" s="1039">
        <f>SUM(Y41:AB41)</f>
        <v>500</v>
      </c>
    </row>
    <row r="42" spans="1:30" ht="15" thickBot="1" x14ac:dyDescent="0.4">
      <c r="A42" s="1425"/>
      <c r="B42" s="1434" t="s">
        <v>58</v>
      </c>
      <c r="C42" s="1435"/>
      <c r="D42" s="1436"/>
      <c r="E42" s="1064"/>
      <c r="F42" s="991">
        <v>4700</v>
      </c>
      <c r="G42" s="991">
        <v>6300</v>
      </c>
      <c r="H42" s="1065">
        <v>6900</v>
      </c>
      <c r="I42" s="1257">
        <v>4.4999999999999998E-2</v>
      </c>
      <c r="J42" s="1258">
        <v>4.4999999999999998E-2</v>
      </c>
      <c r="K42" s="1259">
        <v>4.4999999999999998E-2</v>
      </c>
      <c r="L42" s="1218"/>
      <c r="M42" s="1020">
        <f t="shared" si="7"/>
        <v>5000</v>
      </c>
      <c r="N42" s="1020">
        <f t="shared" si="8"/>
        <v>6600</v>
      </c>
      <c r="O42" s="1021">
        <f t="shared" si="9"/>
        <v>7300</v>
      </c>
      <c r="P42" s="999"/>
      <c r="Q42" s="1020">
        <f t="shared" si="0"/>
        <v>300</v>
      </c>
      <c r="R42" s="1020">
        <f t="shared" si="1"/>
        <v>300</v>
      </c>
      <c r="S42" s="1021">
        <f t="shared" si="2"/>
        <v>400</v>
      </c>
      <c r="U42" s="1496"/>
      <c r="V42" s="1477" t="s">
        <v>58</v>
      </c>
      <c r="W42" s="1478"/>
      <c r="X42" s="1479"/>
      <c r="Y42" s="987"/>
      <c r="Z42" s="1059">
        <v>687</v>
      </c>
      <c r="AA42" s="1059">
        <v>0</v>
      </c>
      <c r="AB42" s="1060">
        <v>283</v>
      </c>
      <c r="AC42" s="1008">
        <f>SUM(Y42:AB42)</f>
        <v>970</v>
      </c>
    </row>
    <row r="43" spans="1:30" x14ac:dyDescent="0.35">
      <c r="A43" s="1426" t="s">
        <v>60</v>
      </c>
      <c r="B43" s="1465" t="s">
        <v>61</v>
      </c>
      <c r="C43" s="1466"/>
      <c r="D43" s="1467"/>
      <c r="E43" s="1026">
        <v>41300</v>
      </c>
      <c r="F43" s="1012">
        <v>63500</v>
      </c>
      <c r="G43" s="1012">
        <v>86300</v>
      </c>
      <c r="H43" s="1051">
        <v>93500</v>
      </c>
      <c r="I43" s="1251">
        <v>4.4999999999999998E-2</v>
      </c>
      <c r="J43" s="1266">
        <v>4.4999999999999998E-2</v>
      </c>
      <c r="K43" s="1253">
        <v>4.4999999999999998E-2</v>
      </c>
      <c r="L43" s="1066">
        <f>IF(OR(E43=0,E43=""),0,CEILING(M43*0.65,100))</f>
        <v>43200</v>
      </c>
      <c r="M43" s="1028">
        <f t="shared" si="7"/>
        <v>66400</v>
      </c>
      <c r="N43" s="1028">
        <f t="shared" si="8"/>
        <v>90200</v>
      </c>
      <c r="O43" s="1029">
        <f t="shared" si="9"/>
        <v>97800</v>
      </c>
      <c r="P43" s="1066">
        <f>L43-E43</f>
        <v>1900</v>
      </c>
      <c r="Q43" s="1028">
        <f t="shared" si="0"/>
        <v>2900</v>
      </c>
      <c r="R43" s="1028">
        <f t="shared" si="1"/>
        <v>3900</v>
      </c>
      <c r="S43" s="1029">
        <f t="shared" si="2"/>
        <v>4300</v>
      </c>
      <c r="U43" s="1426" t="s">
        <v>60</v>
      </c>
      <c r="V43" s="1486" t="s">
        <v>61</v>
      </c>
      <c r="W43" s="1487"/>
      <c r="X43" s="1488"/>
      <c r="Y43" s="1030">
        <v>72</v>
      </c>
      <c r="Z43" s="1015">
        <v>43</v>
      </c>
      <c r="AA43" s="1015">
        <v>17</v>
      </c>
      <c r="AB43" s="1016">
        <v>8</v>
      </c>
      <c r="AC43" s="1017">
        <f t="shared" si="11"/>
        <v>140</v>
      </c>
    </row>
    <row r="44" spans="1:30" x14ac:dyDescent="0.35">
      <c r="A44" s="1427"/>
      <c r="B44" s="1468" t="s">
        <v>43</v>
      </c>
      <c r="C44" s="1469"/>
      <c r="D44" s="1470"/>
      <c r="E44" s="979"/>
      <c r="F44" s="980"/>
      <c r="G44" s="980"/>
      <c r="H44" s="981"/>
      <c r="I44" s="982"/>
      <c r="J44" s="983"/>
      <c r="K44" s="984"/>
      <c r="L44" s="985"/>
      <c r="M44" s="980"/>
      <c r="N44" s="980"/>
      <c r="O44" s="986"/>
      <c r="P44" s="985"/>
      <c r="Q44" s="980"/>
      <c r="R44" s="980"/>
      <c r="S44" s="986"/>
      <c r="U44" s="1427"/>
      <c r="V44" s="1489" t="s">
        <v>43</v>
      </c>
      <c r="W44" s="1490"/>
      <c r="X44" s="1491"/>
      <c r="Y44" s="987"/>
      <c r="Z44" s="988"/>
      <c r="AA44" s="988"/>
      <c r="AB44" s="989"/>
      <c r="AC44" s="990"/>
    </row>
    <row r="45" spans="1:30" ht="15" thickBot="1" x14ac:dyDescent="0.4">
      <c r="A45" s="1425"/>
      <c r="B45" s="1500" t="s">
        <v>61</v>
      </c>
      <c r="C45" s="1501"/>
      <c r="D45" s="1502"/>
      <c r="E45" s="1064"/>
      <c r="F45" s="1067">
        <v>19100</v>
      </c>
      <c r="G45" s="1067">
        <v>25900</v>
      </c>
      <c r="H45" s="1068">
        <v>28100</v>
      </c>
      <c r="I45" s="1069"/>
      <c r="J45" s="1070"/>
      <c r="K45" s="1071"/>
      <c r="L45" s="1072"/>
      <c r="M45" s="1067">
        <f>CEILING(M43*0.3,100)</f>
        <v>20000</v>
      </c>
      <c r="N45" s="1067">
        <f>CEILING(N43*0.3,100)</f>
        <v>27100</v>
      </c>
      <c r="O45" s="1073">
        <f>CEILING(O43*0.3,100)</f>
        <v>29400</v>
      </c>
      <c r="P45" s="1072"/>
      <c r="Q45" s="1067">
        <f t="shared" si="0"/>
        <v>900</v>
      </c>
      <c r="R45" s="1067">
        <f t="shared" si="1"/>
        <v>1200</v>
      </c>
      <c r="S45" s="1073">
        <f t="shared" si="2"/>
        <v>1300</v>
      </c>
      <c r="U45" s="1425"/>
      <c r="V45" s="1507" t="s">
        <v>61</v>
      </c>
      <c r="W45" s="1508"/>
      <c r="X45" s="1509"/>
      <c r="Y45" s="1022"/>
      <c r="Z45" s="1006"/>
      <c r="AA45" s="1006"/>
      <c r="AB45" s="1007"/>
      <c r="AC45" s="1008">
        <f t="shared" si="11"/>
        <v>0</v>
      </c>
    </row>
    <row r="46" spans="1:30" x14ac:dyDescent="0.35">
      <c r="A46" s="1428" t="s">
        <v>62</v>
      </c>
      <c r="B46" s="1437" t="s">
        <v>63</v>
      </c>
      <c r="C46" s="1438"/>
      <c r="D46" s="1439"/>
      <c r="E46" s="1074">
        <v>25700</v>
      </c>
      <c r="F46" s="1010">
        <v>39500</v>
      </c>
      <c r="G46" s="1010">
        <v>53700</v>
      </c>
      <c r="H46" s="1011">
        <v>58200</v>
      </c>
      <c r="I46" s="1233">
        <v>4.4999999999999998E-2</v>
      </c>
      <c r="J46" s="1240">
        <v>4.4999999999999998E-2</v>
      </c>
      <c r="K46" s="1241">
        <v>4.4999999999999998E-2</v>
      </c>
      <c r="L46" s="1108">
        <f t="shared" ref="L46:L51" si="12">IF(OR(E46=0,E46=""),0,CEILING(M46*0.65,100))</f>
        <v>26900</v>
      </c>
      <c r="M46" s="1010">
        <f t="shared" ref="M46:M51" si="13">CEILING($F46*(1+$I46),100)</f>
        <v>41300</v>
      </c>
      <c r="N46" s="1010">
        <f t="shared" ref="N46:N51" si="14">CEILING($G46*(1+$J46),100)</f>
        <v>56200</v>
      </c>
      <c r="O46" s="1076">
        <f t="shared" ref="O46:O51" si="15">CEILING($H46*(1+$K46),100)</f>
        <v>60900</v>
      </c>
      <c r="P46" s="1075">
        <f t="shared" ref="P46:P51" si="16">L46-E46</f>
        <v>1200</v>
      </c>
      <c r="Q46" s="1010">
        <f t="shared" si="0"/>
        <v>1800</v>
      </c>
      <c r="R46" s="1010">
        <f t="shared" si="1"/>
        <v>2500</v>
      </c>
      <c r="S46" s="1076">
        <f t="shared" si="2"/>
        <v>2700</v>
      </c>
      <c r="U46" s="1428" t="s">
        <v>62</v>
      </c>
      <c r="V46" s="1480" t="s">
        <v>63</v>
      </c>
      <c r="W46" s="1481"/>
      <c r="X46" s="1482"/>
      <c r="Y46" s="1077">
        <v>198</v>
      </c>
      <c r="Z46" s="1078">
        <v>21</v>
      </c>
      <c r="AA46" s="1078">
        <v>1</v>
      </c>
      <c r="AB46" s="1079"/>
      <c r="AC46" s="1017">
        <f t="shared" si="11"/>
        <v>220</v>
      </c>
    </row>
    <row r="47" spans="1:30" x14ac:dyDescent="0.35">
      <c r="A47" s="1429"/>
      <c r="B47" s="1431" t="s">
        <v>64</v>
      </c>
      <c r="C47" s="1432"/>
      <c r="D47" s="1433"/>
      <c r="E47" s="1080">
        <v>32800</v>
      </c>
      <c r="F47" s="1081">
        <v>50400</v>
      </c>
      <c r="G47" s="1081">
        <v>68600</v>
      </c>
      <c r="H47" s="1082">
        <v>74300</v>
      </c>
      <c r="I47" s="1254">
        <v>4.4999999999999998E-2</v>
      </c>
      <c r="J47" s="1255">
        <v>4.4999999999999998E-2</v>
      </c>
      <c r="K47" s="1256">
        <v>4.4999999999999998E-2</v>
      </c>
      <c r="L47" s="1219">
        <f t="shared" si="12"/>
        <v>34300</v>
      </c>
      <c r="M47" s="1084">
        <f t="shared" si="13"/>
        <v>52700</v>
      </c>
      <c r="N47" s="1084">
        <f t="shared" si="14"/>
        <v>71700</v>
      </c>
      <c r="O47" s="1085">
        <f t="shared" si="15"/>
        <v>77700</v>
      </c>
      <c r="P47" s="1083">
        <f t="shared" si="16"/>
        <v>1500</v>
      </c>
      <c r="Q47" s="1084">
        <f t="shared" si="0"/>
        <v>2300</v>
      </c>
      <c r="R47" s="1084">
        <f t="shared" si="1"/>
        <v>3100</v>
      </c>
      <c r="S47" s="1085">
        <f t="shared" si="2"/>
        <v>3400</v>
      </c>
      <c r="U47" s="1429"/>
      <c r="V47" s="1471" t="s">
        <v>64</v>
      </c>
      <c r="W47" s="1472"/>
      <c r="X47" s="1473"/>
      <c r="Y47" s="1086">
        <v>461</v>
      </c>
      <c r="Z47" s="1087">
        <v>47</v>
      </c>
      <c r="AA47" s="1087"/>
      <c r="AB47" s="1088"/>
      <c r="AC47" s="995">
        <f t="shared" si="11"/>
        <v>508</v>
      </c>
      <c r="AD47">
        <f>AC47*2</f>
        <v>1016</v>
      </c>
    </row>
    <row r="48" spans="1:30" x14ac:dyDescent="0.35">
      <c r="A48" s="1429"/>
      <c r="B48" s="1431" t="s">
        <v>65</v>
      </c>
      <c r="C48" s="1432"/>
      <c r="D48" s="1433"/>
      <c r="E48" s="1080">
        <v>32800</v>
      </c>
      <c r="F48" s="1081">
        <v>50400</v>
      </c>
      <c r="G48" s="1081">
        <v>68600</v>
      </c>
      <c r="H48" s="1082">
        <v>74300</v>
      </c>
      <c r="I48" s="1254">
        <v>4.4999999999999998E-2</v>
      </c>
      <c r="J48" s="1255">
        <v>4.4999999999999998E-2</v>
      </c>
      <c r="K48" s="1256">
        <v>4.4999999999999998E-2</v>
      </c>
      <c r="L48" s="1219">
        <f t="shared" si="12"/>
        <v>34300</v>
      </c>
      <c r="M48" s="1084">
        <f t="shared" si="13"/>
        <v>52700</v>
      </c>
      <c r="N48" s="1084">
        <f t="shared" si="14"/>
        <v>71700</v>
      </c>
      <c r="O48" s="1085">
        <f t="shared" si="15"/>
        <v>77700</v>
      </c>
      <c r="P48" s="1083">
        <f t="shared" si="16"/>
        <v>1500</v>
      </c>
      <c r="Q48" s="1084">
        <f t="shared" si="0"/>
        <v>2300</v>
      </c>
      <c r="R48" s="1084">
        <f t="shared" si="1"/>
        <v>3100</v>
      </c>
      <c r="S48" s="1085">
        <f t="shared" si="2"/>
        <v>3400</v>
      </c>
      <c r="U48" s="1429"/>
      <c r="V48" s="1471" t="s">
        <v>65</v>
      </c>
      <c r="W48" s="1472"/>
      <c r="X48" s="1473"/>
      <c r="Y48" s="1086">
        <v>278</v>
      </c>
      <c r="Z48" s="1087">
        <v>32</v>
      </c>
      <c r="AA48" s="1087">
        <v>1</v>
      </c>
      <c r="AB48" s="1088"/>
      <c r="AC48" s="995">
        <f t="shared" si="11"/>
        <v>311</v>
      </c>
      <c r="AD48">
        <f>AC48*2</f>
        <v>622</v>
      </c>
    </row>
    <row r="49" spans="1:30" x14ac:dyDescent="0.35">
      <c r="A49" s="1429"/>
      <c r="B49" s="1431" t="s">
        <v>66</v>
      </c>
      <c r="C49" s="1432"/>
      <c r="D49" s="1433"/>
      <c r="E49" s="1080">
        <v>48900</v>
      </c>
      <c r="F49" s="1081">
        <v>75100</v>
      </c>
      <c r="G49" s="1081">
        <v>102200</v>
      </c>
      <c r="H49" s="1082">
        <v>110700</v>
      </c>
      <c r="I49" s="1254">
        <v>4.4999999999999998E-2</v>
      </c>
      <c r="J49" s="1255">
        <v>4.4999999999999998E-2</v>
      </c>
      <c r="K49" s="1256">
        <v>4.4999999999999998E-2</v>
      </c>
      <c r="L49" s="1219">
        <f t="shared" si="12"/>
        <v>51100</v>
      </c>
      <c r="M49" s="1084">
        <f t="shared" si="13"/>
        <v>78500</v>
      </c>
      <c r="N49" s="1084">
        <f t="shared" si="14"/>
        <v>106800</v>
      </c>
      <c r="O49" s="1085">
        <f t="shared" si="15"/>
        <v>115700</v>
      </c>
      <c r="P49" s="1083">
        <f t="shared" si="16"/>
        <v>2200</v>
      </c>
      <c r="Q49" s="1084">
        <f t="shared" si="0"/>
        <v>3400</v>
      </c>
      <c r="R49" s="1084">
        <f t="shared" si="1"/>
        <v>4600</v>
      </c>
      <c r="S49" s="1085">
        <f t="shared" si="2"/>
        <v>5000</v>
      </c>
      <c r="U49" s="1429"/>
      <c r="V49" s="1471" t="s">
        <v>66</v>
      </c>
      <c r="W49" s="1472"/>
      <c r="X49" s="1473"/>
      <c r="Y49" s="1086">
        <v>186</v>
      </c>
      <c r="Z49" s="1087">
        <v>25</v>
      </c>
      <c r="AA49" s="1087"/>
      <c r="AB49" s="1088"/>
      <c r="AC49" s="995">
        <f t="shared" si="11"/>
        <v>211</v>
      </c>
      <c r="AD49">
        <f>AC49*4</f>
        <v>844</v>
      </c>
    </row>
    <row r="50" spans="1:30" x14ac:dyDescent="0.35">
      <c r="A50" s="1429"/>
      <c r="B50" s="1431" t="s">
        <v>67</v>
      </c>
      <c r="C50" s="1432"/>
      <c r="D50" s="1433"/>
      <c r="E50" s="1080">
        <v>38300</v>
      </c>
      <c r="F50" s="1081">
        <v>58800</v>
      </c>
      <c r="G50" s="1081">
        <v>80000</v>
      </c>
      <c r="H50" s="1082">
        <v>86700</v>
      </c>
      <c r="I50" s="1254">
        <v>4.4999999999999998E-2</v>
      </c>
      <c r="J50" s="1255">
        <v>4.4999999999999998E-2</v>
      </c>
      <c r="K50" s="1256">
        <v>4.4999999999999998E-2</v>
      </c>
      <c r="L50" s="1219">
        <f t="shared" si="12"/>
        <v>40000</v>
      </c>
      <c r="M50" s="1084">
        <f t="shared" si="13"/>
        <v>61500</v>
      </c>
      <c r="N50" s="1084">
        <f t="shared" si="14"/>
        <v>83600</v>
      </c>
      <c r="O50" s="1085">
        <f t="shared" si="15"/>
        <v>90700</v>
      </c>
      <c r="P50" s="1083">
        <f t="shared" si="16"/>
        <v>1700</v>
      </c>
      <c r="Q50" s="1084">
        <f t="shared" si="0"/>
        <v>2700</v>
      </c>
      <c r="R50" s="1084">
        <f t="shared" si="1"/>
        <v>3600</v>
      </c>
      <c r="S50" s="1085">
        <f t="shared" si="2"/>
        <v>4000</v>
      </c>
      <c r="U50" s="1429"/>
      <c r="V50" s="1471" t="s">
        <v>67</v>
      </c>
      <c r="W50" s="1472"/>
      <c r="X50" s="1473"/>
      <c r="Y50" s="1086">
        <v>89</v>
      </c>
      <c r="Z50" s="1087">
        <v>12</v>
      </c>
      <c r="AA50" s="1087"/>
      <c r="AB50" s="1088"/>
      <c r="AC50" s="995">
        <f t="shared" si="11"/>
        <v>101</v>
      </c>
      <c r="AD50">
        <f>AC50*2</f>
        <v>202</v>
      </c>
    </row>
    <row r="51" spans="1:30" x14ac:dyDescent="0.35">
      <c r="A51" s="1429"/>
      <c r="B51" s="1431" t="s">
        <v>68</v>
      </c>
      <c r="C51" s="1432"/>
      <c r="D51" s="1433"/>
      <c r="E51" s="1080">
        <v>10400</v>
      </c>
      <c r="F51" s="1081">
        <v>16000</v>
      </c>
      <c r="G51" s="1081">
        <v>21800</v>
      </c>
      <c r="H51" s="1082">
        <v>23600</v>
      </c>
      <c r="I51" s="1254">
        <v>4.4999999999999998E-2</v>
      </c>
      <c r="J51" s="1255">
        <v>4.4999999999999998E-2</v>
      </c>
      <c r="K51" s="1256">
        <v>4.4999999999999998E-2</v>
      </c>
      <c r="L51" s="1219">
        <f t="shared" si="12"/>
        <v>11000</v>
      </c>
      <c r="M51" s="1084">
        <f t="shared" si="13"/>
        <v>16800</v>
      </c>
      <c r="N51" s="1084">
        <f t="shared" si="14"/>
        <v>22800</v>
      </c>
      <c r="O51" s="1085">
        <f t="shared" si="15"/>
        <v>24700</v>
      </c>
      <c r="P51" s="1083">
        <f t="shared" si="16"/>
        <v>600</v>
      </c>
      <c r="Q51" s="1084">
        <f t="shared" si="0"/>
        <v>800</v>
      </c>
      <c r="R51" s="1084">
        <f t="shared" si="1"/>
        <v>1000</v>
      </c>
      <c r="S51" s="1085">
        <f t="shared" si="2"/>
        <v>1100</v>
      </c>
      <c r="U51" s="1429"/>
      <c r="V51" s="1471" t="s">
        <v>68</v>
      </c>
      <c r="W51" s="1472"/>
      <c r="X51" s="1473"/>
      <c r="Y51" s="1089">
        <v>8</v>
      </c>
      <c r="Z51" s="994"/>
      <c r="AA51" s="994"/>
      <c r="AB51" s="1090"/>
      <c r="AC51" s="995">
        <f t="shared" si="11"/>
        <v>8</v>
      </c>
    </row>
    <row r="52" spans="1:30" x14ac:dyDescent="0.35">
      <c r="A52" s="1429"/>
      <c r="B52" s="1499" t="s">
        <v>30</v>
      </c>
      <c r="C52" s="1432"/>
      <c r="D52" s="1433"/>
      <c r="E52" s="1091"/>
      <c r="F52" s="1092"/>
      <c r="G52" s="1092"/>
      <c r="H52" s="1093"/>
      <c r="I52" s="1119"/>
      <c r="J52" s="1220"/>
      <c r="K52" s="1221"/>
      <c r="L52" s="1094"/>
      <c r="M52" s="1095"/>
      <c r="N52" s="1095"/>
      <c r="O52" s="1096"/>
      <c r="P52" s="1094"/>
      <c r="Q52" s="1095"/>
      <c r="R52" s="1095"/>
      <c r="S52" s="1096"/>
      <c r="U52" s="1429"/>
      <c r="V52" s="1503" t="s">
        <v>30</v>
      </c>
      <c r="W52" s="1472"/>
      <c r="X52" s="1473"/>
      <c r="Y52" s="1097"/>
      <c r="Z52" s="988"/>
      <c r="AA52" s="988"/>
      <c r="AB52" s="989"/>
      <c r="AC52" s="990"/>
      <c r="AD52" s="1306">
        <f>AC46+AD47+AD48+AD49+AD50+AC51</f>
        <v>2912</v>
      </c>
    </row>
    <row r="53" spans="1:30" x14ac:dyDescent="0.35">
      <c r="A53" s="1429"/>
      <c r="B53" s="1431" t="s">
        <v>63</v>
      </c>
      <c r="C53" s="1432"/>
      <c r="D53" s="1433"/>
      <c r="E53" s="1091"/>
      <c r="F53" s="1081">
        <v>11900</v>
      </c>
      <c r="G53" s="1081">
        <v>16200</v>
      </c>
      <c r="H53" s="1082">
        <v>17500</v>
      </c>
      <c r="I53" s="1098"/>
      <c r="J53" s="1099"/>
      <c r="K53" s="1100"/>
      <c r="L53" s="1094"/>
      <c r="M53" s="1084">
        <f>CEILING(M46*0.3,100)</f>
        <v>12400</v>
      </c>
      <c r="N53" s="1084">
        <f>CEILING(N46*0.3,100)</f>
        <v>16900</v>
      </c>
      <c r="O53" s="1085">
        <f>CEILING(O46*0.3,100)</f>
        <v>18300</v>
      </c>
      <c r="P53" s="1094"/>
      <c r="Q53" s="1084">
        <f t="shared" si="0"/>
        <v>500</v>
      </c>
      <c r="R53" s="1084">
        <f t="shared" si="1"/>
        <v>700</v>
      </c>
      <c r="S53" s="1085">
        <f t="shared" si="2"/>
        <v>800</v>
      </c>
      <c r="U53" s="1429"/>
      <c r="V53" s="1471" t="s">
        <v>63</v>
      </c>
      <c r="W53" s="1472"/>
      <c r="X53" s="1473"/>
      <c r="Y53" s="1097"/>
      <c r="Z53" s="994"/>
      <c r="AA53" s="994"/>
      <c r="AB53" s="1090"/>
      <c r="AC53" s="995">
        <f t="shared" si="11"/>
        <v>0</v>
      </c>
    </row>
    <row r="54" spans="1:30" x14ac:dyDescent="0.35">
      <c r="A54" s="1429"/>
      <c r="B54" s="1431" t="s">
        <v>69</v>
      </c>
      <c r="C54" s="1432"/>
      <c r="D54" s="1433"/>
      <c r="E54" s="1091"/>
      <c r="F54" s="1081">
        <v>15200</v>
      </c>
      <c r="G54" s="1081">
        <v>20600</v>
      </c>
      <c r="H54" s="1082">
        <v>22300</v>
      </c>
      <c r="I54" s="1098"/>
      <c r="J54" s="1099"/>
      <c r="K54" s="1100"/>
      <c r="L54" s="1094"/>
      <c r="M54" s="1084">
        <f t="shared" ref="M54:O57" si="17">CEILING(M47*0.3,100)</f>
        <v>15900</v>
      </c>
      <c r="N54" s="1084">
        <f t="shared" si="17"/>
        <v>21600</v>
      </c>
      <c r="O54" s="1085">
        <f t="shared" si="17"/>
        <v>23400</v>
      </c>
      <c r="P54" s="1094"/>
      <c r="Q54" s="1084">
        <f t="shared" si="0"/>
        <v>700</v>
      </c>
      <c r="R54" s="1084">
        <f t="shared" si="1"/>
        <v>1000</v>
      </c>
      <c r="S54" s="1085">
        <f t="shared" si="2"/>
        <v>1100</v>
      </c>
      <c r="U54" s="1429"/>
      <c r="V54" s="1471" t="s">
        <v>69</v>
      </c>
      <c r="W54" s="1472"/>
      <c r="X54" s="1473"/>
      <c r="Y54" s="1097"/>
      <c r="Z54" s="994"/>
      <c r="AA54" s="994"/>
      <c r="AB54" s="1090"/>
      <c r="AC54" s="995">
        <f t="shared" si="11"/>
        <v>0</v>
      </c>
    </row>
    <row r="55" spans="1:30" x14ac:dyDescent="0.35">
      <c r="A55" s="1429"/>
      <c r="B55" s="1431" t="s">
        <v>65</v>
      </c>
      <c r="C55" s="1432"/>
      <c r="D55" s="1433"/>
      <c r="E55" s="1091"/>
      <c r="F55" s="1081">
        <v>15200</v>
      </c>
      <c r="G55" s="1081">
        <v>20600</v>
      </c>
      <c r="H55" s="1082">
        <v>22300</v>
      </c>
      <c r="I55" s="1098"/>
      <c r="J55" s="1099"/>
      <c r="K55" s="1100"/>
      <c r="L55" s="1094"/>
      <c r="M55" s="1084">
        <f t="shared" si="17"/>
        <v>15900</v>
      </c>
      <c r="N55" s="1084">
        <f t="shared" si="17"/>
        <v>21600</v>
      </c>
      <c r="O55" s="1085">
        <f t="shared" si="17"/>
        <v>23400</v>
      </c>
      <c r="P55" s="1094"/>
      <c r="Q55" s="1084">
        <f t="shared" si="0"/>
        <v>700</v>
      </c>
      <c r="R55" s="1084">
        <f t="shared" si="1"/>
        <v>1000</v>
      </c>
      <c r="S55" s="1085">
        <f t="shared" si="2"/>
        <v>1100</v>
      </c>
      <c r="U55" s="1429"/>
      <c r="V55" s="1471" t="s">
        <v>65</v>
      </c>
      <c r="W55" s="1472"/>
      <c r="X55" s="1473"/>
      <c r="Y55" s="1097"/>
      <c r="Z55" s="994"/>
      <c r="AA55" s="994"/>
      <c r="AB55" s="1090"/>
      <c r="AC55" s="995">
        <f t="shared" si="11"/>
        <v>0</v>
      </c>
    </row>
    <row r="56" spans="1:30" x14ac:dyDescent="0.35">
      <c r="A56" s="1429"/>
      <c r="B56" s="1431" t="s">
        <v>70</v>
      </c>
      <c r="C56" s="1432"/>
      <c r="D56" s="1433"/>
      <c r="E56" s="1091"/>
      <c r="F56" s="1081">
        <v>22600</v>
      </c>
      <c r="G56" s="1081">
        <v>30700</v>
      </c>
      <c r="H56" s="1082">
        <v>33300</v>
      </c>
      <c r="I56" s="1098"/>
      <c r="J56" s="1099"/>
      <c r="K56" s="1100"/>
      <c r="L56" s="1094"/>
      <c r="M56" s="1084">
        <f t="shared" si="17"/>
        <v>23600</v>
      </c>
      <c r="N56" s="1084">
        <f t="shared" si="17"/>
        <v>32100</v>
      </c>
      <c r="O56" s="1085">
        <f t="shared" si="17"/>
        <v>34800</v>
      </c>
      <c r="P56" s="1094"/>
      <c r="Q56" s="1084">
        <f t="shared" si="0"/>
        <v>1000</v>
      </c>
      <c r="R56" s="1084">
        <f t="shared" si="1"/>
        <v>1400</v>
      </c>
      <c r="S56" s="1085">
        <f t="shared" si="2"/>
        <v>1500</v>
      </c>
      <c r="U56" s="1429"/>
      <c r="V56" s="1471" t="s">
        <v>70</v>
      </c>
      <c r="W56" s="1472"/>
      <c r="X56" s="1473"/>
      <c r="Y56" s="1097"/>
      <c r="Z56" s="994"/>
      <c r="AA56" s="994"/>
      <c r="AB56" s="1090"/>
      <c r="AC56" s="995">
        <f t="shared" si="11"/>
        <v>0</v>
      </c>
    </row>
    <row r="57" spans="1:30" ht="15" thickBot="1" x14ac:dyDescent="0.4">
      <c r="A57" s="1430"/>
      <c r="B57" s="1431" t="s">
        <v>67</v>
      </c>
      <c r="C57" s="1432"/>
      <c r="D57" s="1433"/>
      <c r="E57" s="1101"/>
      <c r="F57" s="1018">
        <v>17700</v>
      </c>
      <c r="G57" s="1018">
        <v>24000</v>
      </c>
      <c r="H57" s="1019">
        <v>26100</v>
      </c>
      <c r="I57" s="1102"/>
      <c r="J57" s="1103"/>
      <c r="K57" s="1104"/>
      <c r="L57" s="1105"/>
      <c r="M57" s="1106">
        <f t="shared" si="17"/>
        <v>18500</v>
      </c>
      <c r="N57" s="1106">
        <f t="shared" si="17"/>
        <v>25100</v>
      </c>
      <c r="O57" s="1107">
        <f>CEILING(O50*0.3,100)</f>
        <v>27300</v>
      </c>
      <c r="P57" s="1105"/>
      <c r="Q57" s="1106">
        <f t="shared" si="0"/>
        <v>800</v>
      </c>
      <c r="R57" s="1106">
        <f t="shared" si="1"/>
        <v>1100</v>
      </c>
      <c r="S57" s="1107">
        <f t="shared" si="2"/>
        <v>1200</v>
      </c>
      <c r="U57" s="1430"/>
      <c r="V57" s="1471" t="s">
        <v>67</v>
      </c>
      <c r="W57" s="1472"/>
      <c r="X57" s="1473"/>
      <c r="Y57" s="1097"/>
      <c r="Z57" s="1006"/>
      <c r="AA57" s="1006"/>
      <c r="AB57" s="1007"/>
      <c r="AC57" s="1008">
        <f t="shared" si="11"/>
        <v>0</v>
      </c>
    </row>
    <row r="58" spans="1:30" x14ac:dyDescent="0.35">
      <c r="A58" s="1440" t="s">
        <v>71</v>
      </c>
      <c r="B58" s="1497" t="s">
        <v>63</v>
      </c>
      <c r="C58" s="1438"/>
      <c r="D58" s="1498"/>
      <c r="E58" s="1108">
        <v>35100</v>
      </c>
      <c r="F58" s="1109">
        <v>54000</v>
      </c>
      <c r="G58" s="1109">
        <v>67300</v>
      </c>
      <c r="H58" s="1222">
        <v>73400</v>
      </c>
      <c r="I58" s="1233">
        <v>4.4999999999999998E-2</v>
      </c>
      <c r="J58" s="1240">
        <v>4.4999999999999998E-2</v>
      </c>
      <c r="K58" s="1241">
        <v>4.4999999999999998E-2</v>
      </c>
      <c r="L58" s="1108">
        <f>IF(OR(E58=0,E58=""),0,CEILING(M58*0.65,100))</f>
        <v>36800</v>
      </c>
      <c r="M58" s="1109">
        <f>CEILING($F58*(1+$I58),100)</f>
        <v>56500</v>
      </c>
      <c r="N58" s="1109">
        <f>CEILING($G58*(1+$J58),100)</f>
        <v>70400</v>
      </c>
      <c r="O58" s="1110">
        <f>CEILING($H58*(1+$K58),100)</f>
        <v>76800</v>
      </c>
      <c r="P58" s="1111">
        <f>L58-E58</f>
        <v>1700</v>
      </c>
      <c r="Q58" s="1109">
        <f t="shared" si="0"/>
        <v>2500</v>
      </c>
      <c r="R58" s="1109">
        <f t="shared" si="1"/>
        <v>3100</v>
      </c>
      <c r="S58" s="1110">
        <f t="shared" si="2"/>
        <v>3400</v>
      </c>
      <c r="U58" s="1512" t="s">
        <v>71</v>
      </c>
      <c r="V58" s="1510" t="s">
        <v>63</v>
      </c>
      <c r="W58" s="1481"/>
      <c r="X58" s="1511"/>
      <c r="Y58" s="1146">
        <v>480</v>
      </c>
      <c r="Z58" s="1147">
        <v>31</v>
      </c>
      <c r="AA58" s="1147">
        <v>2</v>
      </c>
      <c r="AB58" s="1148">
        <v>0</v>
      </c>
      <c r="AC58" s="1149">
        <f>SUM(Y58:AB58)</f>
        <v>513</v>
      </c>
    </row>
    <row r="59" spans="1:30" x14ac:dyDescent="0.35">
      <c r="A59" s="1441"/>
      <c r="B59" s="1431" t="s">
        <v>64</v>
      </c>
      <c r="C59" s="1432"/>
      <c r="D59" s="1433"/>
      <c r="E59" s="1112">
        <v>43100</v>
      </c>
      <c r="F59" s="1113">
        <v>66200</v>
      </c>
      <c r="G59" s="1113">
        <v>82500</v>
      </c>
      <c r="H59" s="1223">
        <v>90000</v>
      </c>
      <c r="I59" s="1254">
        <v>4.4999999999999998E-2</v>
      </c>
      <c r="J59" s="1255">
        <v>4.4999999999999998E-2</v>
      </c>
      <c r="K59" s="1256">
        <v>4.4999999999999998E-2</v>
      </c>
      <c r="L59" s="1219">
        <f>IF(OR(E59=0,E59=""),0,CEILING(M59*0.65,100))</f>
        <v>45000</v>
      </c>
      <c r="M59" s="1113">
        <f>CEILING($F59*(1+$I59),100)</f>
        <v>69200</v>
      </c>
      <c r="N59" s="1113">
        <f>CEILING($G59*(1+$J59),100)</f>
        <v>86300</v>
      </c>
      <c r="O59" s="1114">
        <f>CEILING($H59*(1+$K59),100)</f>
        <v>94100</v>
      </c>
      <c r="P59" s="1115">
        <f>L59-E59</f>
        <v>1900</v>
      </c>
      <c r="Q59" s="1113">
        <f t="shared" si="0"/>
        <v>3000</v>
      </c>
      <c r="R59" s="1113">
        <f t="shared" si="1"/>
        <v>3800</v>
      </c>
      <c r="S59" s="1114">
        <f t="shared" si="2"/>
        <v>4100</v>
      </c>
      <c r="U59" s="1441"/>
      <c r="V59" s="1471" t="s">
        <v>64</v>
      </c>
      <c r="W59" s="1472"/>
      <c r="X59" s="1473"/>
      <c r="Y59" s="1150">
        <v>97</v>
      </c>
      <c r="Z59" s="1151">
        <v>7</v>
      </c>
      <c r="AA59" s="1151">
        <v>2</v>
      </c>
      <c r="AB59" s="1152">
        <v>0</v>
      </c>
      <c r="AC59" s="1153">
        <f t="shared" ref="AC59:AC67" si="18">SUM(Y59:AB59)</f>
        <v>106</v>
      </c>
      <c r="AD59">
        <f>AC59*2</f>
        <v>212</v>
      </c>
    </row>
    <row r="60" spans="1:30" x14ac:dyDescent="0.35">
      <c r="A60" s="1441"/>
      <c r="B60" s="1431" t="s">
        <v>65</v>
      </c>
      <c r="C60" s="1432"/>
      <c r="D60" s="1433"/>
      <c r="E60" s="1112">
        <v>42500</v>
      </c>
      <c r="F60" s="1113">
        <v>65300</v>
      </c>
      <c r="G60" s="1113">
        <v>81300</v>
      </c>
      <c r="H60" s="1223">
        <v>88700</v>
      </c>
      <c r="I60" s="1254">
        <v>4.4999999999999998E-2</v>
      </c>
      <c r="J60" s="1255">
        <v>4.4999999999999998E-2</v>
      </c>
      <c r="K60" s="1256">
        <v>4.4999999999999998E-2</v>
      </c>
      <c r="L60" s="1219">
        <f>IF(OR(E60=0,E60=""),0,CEILING(M60*0.65,100))</f>
        <v>44400</v>
      </c>
      <c r="M60" s="1113">
        <f>CEILING($F60*(1+$I60),100)</f>
        <v>68300</v>
      </c>
      <c r="N60" s="1113">
        <f>CEILING($G60*(1+$J60),100)</f>
        <v>85000</v>
      </c>
      <c r="O60" s="1114">
        <f>CEILING($H60*(1+$K60),100)</f>
        <v>92700</v>
      </c>
      <c r="P60" s="1115">
        <f>L60-E60</f>
        <v>1900</v>
      </c>
      <c r="Q60" s="1113">
        <f t="shared" si="0"/>
        <v>3000</v>
      </c>
      <c r="R60" s="1113">
        <f t="shared" si="1"/>
        <v>3700</v>
      </c>
      <c r="S60" s="1114">
        <f t="shared" si="2"/>
        <v>4000</v>
      </c>
      <c r="U60" s="1441"/>
      <c r="V60" s="1471" t="s">
        <v>65</v>
      </c>
      <c r="W60" s="1472"/>
      <c r="X60" s="1473"/>
      <c r="Y60" s="1150">
        <v>287</v>
      </c>
      <c r="Z60" s="1151">
        <v>23</v>
      </c>
      <c r="AA60" s="1151">
        <v>2</v>
      </c>
      <c r="AB60" s="1152">
        <v>0</v>
      </c>
      <c r="AC60" s="1153">
        <f t="shared" si="18"/>
        <v>312</v>
      </c>
      <c r="AD60">
        <f>AC60*2</f>
        <v>624</v>
      </c>
    </row>
    <row r="61" spans="1:30" x14ac:dyDescent="0.35">
      <c r="A61" s="1441"/>
      <c r="B61" s="1431" t="s">
        <v>67</v>
      </c>
      <c r="C61" s="1432"/>
      <c r="D61" s="1433"/>
      <c r="E61" s="1112">
        <v>56400</v>
      </c>
      <c r="F61" s="1113">
        <v>86700</v>
      </c>
      <c r="G61" s="1113">
        <v>108000</v>
      </c>
      <c r="H61" s="1223">
        <v>117900</v>
      </c>
      <c r="I61" s="1254">
        <v>4.4999999999999998E-2</v>
      </c>
      <c r="J61" s="1255">
        <v>4.4999999999999998E-2</v>
      </c>
      <c r="K61" s="1256">
        <v>4.4999999999999998E-2</v>
      </c>
      <c r="L61" s="1219">
        <f>IF(OR(E61=0,E61=""),0,CEILING(M61*0.65,100))</f>
        <v>59000</v>
      </c>
      <c r="M61" s="1113">
        <f>CEILING($F61*(1+$I61),100)</f>
        <v>90700</v>
      </c>
      <c r="N61" s="1113">
        <f>CEILING($G61*(1+$J61),100)</f>
        <v>112900</v>
      </c>
      <c r="O61" s="1114">
        <f>CEILING($H61*(1+$K61),100)</f>
        <v>123300</v>
      </c>
      <c r="P61" s="1115">
        <f>L61-E61</f>
        <v>2600</v>
      </c>
      <c r="Q61" s="1113">
        <f t="shared" si="0"/>
        <v>4000</v>
      </c>
      <c r="R61" s="1113">
        <f t="shared" si="1"/>
        <v>4900</v>
      </c>
      <c r="S61" s="1114">
        <f t="shared" si="2"/>
        <v>5400</v>
      </c>
      <c r="U61" s="1441"/>
      <c r="V61" s="1471" t="s">
        <v>67</v>
      </c>
      <c r="W61" s="1472"/>
      <c r="X61" s="1473"/>
      <c r="Y61" s="1150">
        <v>43</v>
      </c>
      <c r="Z61" s="1151">
        <v>6</v>
      </c>
      <c r="AA61" s="1151">
        <v>1</v>
      </c>
      <c r="AB61" s="1152">
        <v>0</v>
      </c>
      <c r="AC61" s="1153">
        <f t="shared" si="18"/>
        <v>50</v>
      </c>
      <c r="AD61">
        <f>AC61*2</f>
        <v>100</v>
      </c>
    </row>
    <row r="62" spans="1:30" x14ac:dyDescent="0.35">
      <c r="A62" s="1441"/>
      <c r="B62" s="1431" t="s">
        <v>68</v>
      </c>
      <c r="C62" s="1432"/>
      <c r="D62" s="1433"/>
      <c r="E62" s="1112">
        <v>10700</v>
      </c>
      <c r="F62" s="1113">
        <v>16400</v>
      </c>
      <c r="G62" s="1113">
        <v>20500</v>
      </c>
      <c r="H62" s="1223">
        <v>22300</v>
      </c>
      <c r="I62" s="1254">
        <v>4.4999999999999998E-2</v>
      </c>
      <c r="J62" s="1255">
        <v>4.4999999999999998E-2</v>
      </c>
      <c r="K62" s="1256">
        <v>4.4999999999999998E-2</v>
      </c>
      <c r="L62" s="1219">
        <f>IF(OR(E62=0,E62=""),0,CEILING(M62*0.65,100))</f>
        <v>11200</v>
      </c>
      <c r="M62" s="1113">
        <f>CEILING($F62*(1+$I62),100)</f>
        <v>17200</v>
      </c>
      <c r="N62" s="1113">
        <f>CEILING($G62*(1+$J62),100)</f>
        <v>21500</v>
      </c>
      <c r="O62" s="1114">
        <f>CEILING($H62*(1+$K62),100)</f>
        <v>23400</v>
      </c>
      <c r="P62" s="1115">
        <f>L62-E62</f>
        <v>500</v>
      </c>
      <c r="Q62" s="1113">
        <f t="shared" si="0"/>
        <v>800</v>
      </c>
      <c r="R62" s="1113">
        <f t="shared" si="1"/>
        <v>1000</v>
      </c>
      <c r="S62" s="1114">
        <f t="shared" si="2"/>
        <v>1100</v>
      </c>
      <c r="U62" s="1441"/>
      <c r="V62" s="1471" t="s">
        <v>68</v>
      </c>
      <c r="W62" s="1472"/>
      <c r="X62" s="1473"/>
      <c r="Y62" s="1154">
        <v>24</v>
      </c>
      <c r="Z62" s="1155">
        <v>5</v>
      </c>
      <c r="AA62" s="1155">
        <v>1</v>
      </c>
      <c r="AB62" s="1156">
        <v>0</v>
      </c>
      <c r="AC62" s="1153">
        <f t="shared" si="18"/>
        <v>30</v>
      </c>
      <c r="AD62">
        <f>AC62*2</f>
        <v>60</v>
      </c>
    </row>
    <row r="63" spans="1:30" x14ac:dyDescent="0.35">
      <c r="A63" s="1441"/>
      <c r="B63" s="1442" t="s">
        <v>30</v>
      </c>
      <c r="C63" s="1443"/>
      <c r="D63" s="1444"/>
      <c r="E63" s="1116"/>
      <c r="F63" s="1117"/>
      <c r="G63" s="1117"/>
      <c r="H63" s="1224"/>
      <c r="I63" s="1119"/>
      <c r="J63" s="1220"/>
      <c r="K63" s="1228"/>
      <c r="L63" s="1226"/>
      <c r="M63" s="1117"/>
      <c r="N63" s="1117"/>
      <c r="O63" s="1118"/>
      <c r="P63" s="1120"/>
      <c r="Q63" s="1117"/>
      <c r="R63" s="1117"/>
      <c r="S63" s="1118"/>
      <c r="U63" s="1441"/>
      <c r="V63" s="1483" t="s">
        <v>30</v>
      </c>
      <c r="W63" s="1484"/>
      <c r="X63" s="1485"/>
      <c r="Y63" s="1157"/>
      <c r="Z63" s="1158"/>
      <c r="AA63" s="1158"/>
      <c r="AB63" s="1159"/>
      <c r="AC63" s="1160"/>
      <c r="AD63">
        <f>SUM(AD59:AD62)</f>
        <v>996</v>
      </c>
    </row>
    <row r="64" spans="1:30" x14ac:dyDescent="0.35">
      <c r="A64" s="1441"/>
      <c r="B64" s="1431" t="s">
        <v>63</v>
      </c>
      <c r="C64" s="1432"/>
      <c r="D64" s="1433"/>
      <c r="E64" s="1116"/>
      <c r="F64" s="1113">
        <v>16200</v>
      </c>
      <c r="G64" s="1113">
        <v>20200</v>
      </c>
      <c r="H64" s="1223">
        <v>22100</v>
      </c>
      <c r="I64" s="1121"/>
      <c r="J64" s="1122"/>
      <c r="K64" s="1229"/>
      <c r="L64" s="1226"/>
      <c r="M64" s="1113">
        <f t="shared" ref="M64:O67" si="19">CEILING(M58*0.3,100)</f>
        <v>17000</v>
      </c>
      <c r="N64" s="1113">
        <f t="shared" si="19"/>
        <v>21200</v>
      </c>
      <c r="O64" s="1114">
        <f t="shared" si="19"/>
        <v>23100</v>
      </c>
      <c r="P64" s="1120"/>
      <c r="Q64" s="1113">
        <f t="shared" si="0"/>
        <v>800</v>
      </c>
      <c r="R64" s="1113">
        <f t="shared" si="1"/>
        <v>1000</v>
      </c>
      <c r="S64" s="1114">
        <f t="shared" si="2"/>
        <v>1000</v>
      </c>
      <c r="U64" s="1441"/>
      <c r="V64" s="1471" t="s">
        <v>63</v>
      </c>
      <c r="W64" s="1472"/>
      <c r="X64" s="1473"/>
      <c r="Y64" s="1157"/>
      <c r="Z64" s="1155"/>
      <c r="AA64" s="1155"/>
      <c r="AB64" s="1156"/>
      <c r="AC64" s="1153">
        <f t="shared" si="18"/>
        <v>0</v>
      </c>
    </row>
    <row r="65" spans="1:29" x14ac:dyDescent="0.35">
      <c r="A65" s="1441"/>
      <c r="B65" s="1431" t="s">
        <v>64</v>
      </c>
      <c r="C65" s="1432"/>
      <c r="D65" s="1433"/>
      <c r="E65" s="1116"/>
      <c r="F65" s="1113">
        <v>19900</v>
      </c>
      <c r="G65" s="1113">
        <v>24800</v>
      </c>
      <c r="H65" s="1223">
        <v>27000</v>
      </c>
      <c r="I65" s="1121"/>
      <c r="J65" s="1122"/>
      <c r="K65" s="1229"/>
      <c r="L65" s="1226"/>
      <c r="M65" s="1113">
        <f t="shared" si="19"/>
        <v>20800</v>
      </c>
      <c r="N65" s="1113">
        <f t="shared" si="19"/>
        <v>25900</v>
      </c>
      <c r="O65" s="1114">
        <f t="shared" si="19"/>
        <v>28300</v>
      </c>
      <c r="P65" s="1120"/>
      <c r="Q65" s="1113">
        <f t="shared" si="0"/>
        <v>900</v>
      </c>
      <c r="R65" s="1113">
        <f t="shared" si="1"/>
        <v>1100</v>
      </c>
      <c r="S65" s="1114">
        <f t="shared" si="2"/>
        <v>1300</v>
      </c>
      <c r="U65" s="1441"/>
      <c r="V65" s="1471" t="s">
        <v>64</v>
      </c>
      <c r="W65" s="1472"/>
      <c r="X65" s="1473"/>
      <c r="Y65" s="1157"/>
      <c r="Z65" s="1155"/>
      <c r="AA65" s="1155"/>
      <c r="AB65" s="1156"/>
      <c r="AC65" s="1153">
        <f t="shared" si="18"/>
        <v>0</v>
      </c>
    </row>
    <row r="66" spans="1:29" x14ac:dyDescent="0.35">
      <c r="A66" s="1441"/>
      <c r="B66" s="1431" t="s">
        <v>65</v>
      </c>
      <c r="C66" s="1432"/>
      <c r="D66" s="1433"/>
      <c r="E66" s="1116"/>
      <c r="F66" s="1113">
        <v>19600</v>
      </c>
      <c r="G66" s="1113">
        <v>24400</v>
      </c>
      <c r="H66" s="1223">
        <v>26700</v>
      </c>
      <c r="I66" s="1121"/>
      <c r="J66" s="1122"/>
      <c r="K66" s="1229"/>
      <c r="L66" s="1226"/>
      <c r="M66" s="1113">
        <f t="shared" si="19"/>
        <v>20500</v>
      </c>
      <c r="N66" s="1113">
        <f t="shared" si="19"/>
        <v>25500</v>
      </c>
      <c r="O66" s="1114">
        <f t="shared" si="19"/>
        <v>27900</v>
      </c>
      <c r="P66" s="1120"/>
      <c r="Q66" s="1113">
        <f t="shared" si="0"/>
        <v>900</v>
      </c>
      <c r="R66" s="1113">
        <f t="shared" si="1"/>
        <v>1100</v>
      </c>
      <c r="S66" s="1114">
        <f t="shared" si="2"/>
        <v>1200</v>
      </c>
      <c r="U66" s="1441"/>
      <c r="V66" s="1471" t="s">
        <v>65</v>
      </c>
      <c r="W66" s="1472"/>
      <c r="X66" s="1473"/>
      <c r="Y66" s="1157"/>
      <c r="Z66" s="1155"/>
      <c r="AA66" s="1155"/>
      <c r="AB66" s="1156"/>
      <c r="AC66" s="1153">
        <f t="shared" si="18"/>
        <v>0</v>
      </c>
    </row>
    <row r="67" spans="1:29" ht="15" thickBot="1" x14ac:dyDescent="0.4">
      <c r="A67" s="1430"/>
      <c r="B67" s="1434" t="s">
        <v>67</v>
      </c>
      <c r="C67" s="1435"/>
      <c r="D67" s="1436"/>
      <c r="E67" s="1101"/>
      <c r="F67" s="1123">
        <v>26100</v>
      </c>
      <c r="G67" s="1123">
        <v>32400</v>
      </c>
      <c r="H67" s="1225">
        <v>35400</v>
      </c>
      <c r="I67" s="1230"/>
      <c r="J67" s="1231"/>
      <c r="K67" s="1232"/>
      <c r="L67" s="1227"/>
      <c r="M67" s="1123">
        <f t="shared" si="19"/>
        <v>27300</v>
      </c>
      <c r="N67" s="1123">
        <f t="shared" si="19"/>
        <v>33900</v>
      </c>
      <c r="O67" s="1124">
        <f t="shared" si="19"/>
        <v>37000</v>
      </c>
      <c r="P67" s="1125"/>
      <c r="Q67" s="1123">
        <f t="shared" si="0"/>
        <v>1200</v>
      </c>
      <c r="R67" s="1123">
        <f t="shared" si="1"/>
        <v>1500</v>
      </c>
      <c r="S67" s="1124">
        <f t="shared" si="2"/>
        <v>1600</v>
      </c>
      <c r="U67" s="1430"/>
      <c r="V67" s="1477" t="s">
        <v>67</v>
      </c>
      <c r="W67" s="1478"/>
      <c r="X67" s="1479"/>
      <c r="Y67" s="1126"/>
      <c r="Z67" s="1161"/>
      <c r="AA67" s="1161"/>
      <c r="AB67" s="1024"/>
      <c r="AC67" s="1162">
        <f t="shared" si="18"/>
        <v>0</v>
      </c>
    </row>
  </sheetData>
  <sheetProtection selectLockedCells="1"/>
  <mergeCells count="150">
    <mergeCell ref="U5:Z5"/>
    <mergeCell ref="V44:X44"/>
    <mergeCell ref="V45:X45"/>
    <mergeCell ref="V46:X46"/>
    <mergeCell ref="V47:X47"/>
    <mergeCell ref="V48:X48"/>
    <mergeCell ref="V67:X67"/>
    <mergeCell ref="V61:X61"/>
    <mergeCell ref="V62:X62"/>
    <mergeCell ref="V63:X63"/>
    <mergeCell ref="V64:X64"/>
    <mergeCell ref="V65:X65"/>
    <mergeCell ref="V66:X66"/>
    <mergeCell ref="V55:X55"/>
    <mergeCell ref="V56:X56"/>
    <mergeCell ref="V57:X57"/>
    <mergeCell ref="V58:X58"/>
    <mergeCell ref="V59:X59"/>
    <mergeCell ref="V60:X60"/>
    <mergeCell ref="V29:X29"/>
    <mergeCell ref="V30:X30"/>
    <mergeCell ref="U43:U45"/>
    <mergeCell ref="U46:U57"/>
    <mergeCell ref="U58:U67"/>
    <mergeCell ref="V22:X22"/>
    <mergeCell ref="V23:X23"/>
    <mergeCell ref="V24:X24"/>
    <mergeCell ref="V37:X37"/>
    <mergeCell ref="V38:X38"/>
    <mergeCell ref="V39:X39"/>
    <mergeCell ref="V40:X40"/>
    <mergeCell ref="V41:X41"/>
    <mergeCell ref="V42:X42"/>
    <mergeCell ref="V31:X31"/>
    <mergeCell ref="V32:X32"/>
    <mergeCell ref="V33:X33"/>
    <mergeCell ref="V34:X34"/>
    <mergeCell ref="V35:X35"/>
    <mergeCell ref="V36:X36"/>
    <mergeCell ref="V25:X25"/>
    <mergeCell ref="V26:X26"/>
    <mergeCell ref="V27:X27"/>
    <mergeCell ref="V28:X28"/>
    <mergeCell ref="V49:X49"/>
    <mergeCell ref="V50:X50"/>
    <mergeCell ref="V51:X51"/>
    <mergeCell ref="V52:X52"/>
    <mergeCell ref="V53:X53"/>
    <mergeCell ref="V54:X54"/>
    <mergeCell ref="V43:X43"/>
    <mergeCell ref="B65:D65"/>
    <mergeCell ref="B66:D66"/>
    <mergeCell ref="B63:D63"/>
    <mergeCell ref="B64:D64"/>
    <mergeCell ref="B49:D49"/>
    <mergeCell ref="B50:D50"/>
    <mergeCell ref="B43:D43"/>
    <mergeCell ref="B44:D44"/>
    <mergeCell ref="B67:D67"/>
    <mergeCell ref="U18:U19"/>
    <mergeCell ref="U20:U22"/>
    <mergeCell ref="U23:U38"/>
    <mergeCell ref="U39:U40"/>
    <mergeCell ref="U41:U42"/>
    <mergeCell ref="B57:D57"/>
    <mergeCell ref="B58:D58"/>
    <mergeCell ref="B59:D59"/>
    <mergeCell ref="B60:D60"/>
    <mergeCell ref="B61:D61"/>
    <mergeCell ref="B62:D62"/>
    <mergeCell ref="B51:D51"/>
    <mergeCell ref="B52:D52"/>
    <mergeCell ref="B53:D53"/>
    <mergeCell ref="B54:D54"/>
    <mergeCell ref="B55:D55"/>
    <mergeCell ref="B56:D56"/>
    <mergeCell ref="B45:D45"/>
    <mergeCell ref="B46:D46"/>
    <mergeCell ref="B47:D47"/>
    <mergeCell ref="B48:D48"/>
    <mergeCell ref="B39:D39"/>
    <mergeCell ref="B40:D40"/>
    <mergeCell ref="Y7:AB7"/>
    <mergeCell ref="AC7:AC8"/>
    <mergeCell ref="B18:D18"/>
    <mergeCell ref="B19:D19"/>
    <mergeCell ref="B20:D20"/>
    <mergeCell ref="B21:D21"/>
    <mergeCell ref="V12:X12"/>
    <mergeCell ref="V13:X13"/>
    <mergeCell ref="V14:X14"/>
    <mergeCell ref="V15:X15"/>
    <mergeCell ref="V16:X16"/>
    <mergeCell ref="V17:X17"/>
    <mergeCell ref="U7:U8"/>
    <mergeCell ref="U9:U17"/>
    <mergeCell ref="V7:X8"/>
    <mergeCell ref="V9:X9"/>
    <mergeCell ref="V10:X10"/>
    <mergeCell ref="V11:X11"/>
    <mergeCell ref="V18:X18"/>
    <mergeCell ref="V19:X19"/>
    <mergeCell ref="V20:X20"/>
    <mergeCell ref="V21:X21"/>
    <mergeCell ref="P7:S7"/>
    <mergeCell ref="A58:A67"/>
    <mergeCell ref="B10:D10"/>
    <mergeCell ref="B7:D8"/>
    <mergeCell ref="B9:D9"/>
    <mergeCell ref="B11:D11"/>
    <mergeCell ref="B12:D12"/>
    <mergeCell ref="B13:D13"/>
    <mergeCell ref="A9:A17"/>
    <mergeCell ref="A18:A19"/>
    <mergeCell ref="A20:A22"/>
    <mergeCell ref="A23:A38"/>
    <mergeCell ref="A39:A40"/>
    <mergeCell ref="B14:D14"/>
    <mergeCell ref="B15:D15"/>
    <mergeCell ref="B16:D16"/>
    <mergeCell ref="B17:D17"/>
    <mergeCell ref="B30:D30"/>
    <mergeCell ref="B31:D31"/>
    <mergeCell ref="B32:D32"/>
    <mergeCell ref="B33:D33"/>
    <mergeCell ref="B22:D22"/>
    <mergeCell ref="B23:D23"/>
    <mergeCell ref="B24:D24"/>
    <mergeCell ref="B25:D25"/>
    <mergeCell ref="J4:K4"/>
    <mergeCell ref="L4:M4"/>
    <mergeCell ref="A7:A8"/>
    <mergeCell ref="E7:H7"/>
    <mergeCell ref="I7:K7"/>
    <mergeCell ref="L7:O7"/>
    <mergeCell ref="A41:A42"/>
    <mergeCell ref="A43:A45"/>
    <mergeCell ref="A46:A57"/>
    <mergeCell ref="B26:D26"/>
    <mergeCell ref="B27:D27"/>
    <mergeCell ref="A5:I5"/>
    <mergeCell ref="B34:D34"/>
    <mergeCell ref="B35:D35"/>
    <mergeCell ref="B36:D36"/>
    <mergeCell ref="B37:D37"/>
    <mergeCell ref="B38:D38"/>
    <mergeCell ref="B28:D28"/>
    <mergeCell ref="B29:D29"/>
    <mergeCell ref="B41:D41"/>
    <mergeCell ref="B42:D42"/>
  </mergeCells>
  <hyperlinks>
    <hyperlink ref="A5" location="'B) Comparación Mercado'!A13" display="TABLA 1. COMPARACIÓN TARIFAS CON PRECIOS DE MERCADO" xr:uid="{00000000-0004-0000-0500-000000000000}"/>
    <hyperlink ref="A5:I5" location="'B) Reajuste Tarifas y Ocupación'!A1" display="TABLA 3: REAJUSTE DE TARIFAS POR PRESTACIÓN Y SEGMENTO" xr:uid="{00000000-0004-0000-0500-000001000000}"/>
    <hyperlink ref="U5" location="'B) Reajuste Tarifas y Ocupación'!A1" display="TABLA 4: METAS DE OCUPACIÓN POR PRESTACIÓN Y SEGMENTO" xr:uid="{00000000-0004-0000-0500-000002000000}"/>
    <hyperlink ref="U5:Z5" location="'B) Reajuste Tarifas y Ocupación'!P8" display="TABLA 4: METAS DE OCUPACIÓN POR PRESTACIÓN Y SEGMENTO" xr:uid="{00000000-0004-0000-0500-000003000000}"/>
  </hyperlinks>
  <pageMargins left="0.25" right="0.25" top="0.75" bottom="0.75" header="0.3" footer="0.3"/>
  <pageSetup paperSize="145" scale="34" fitToHeight="0" orientation="landscape"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2:I656"/>
  <sheetViews>
    <sheetView topLeftCell="A322" zoomScale="98" zoomScaleNormal="98" workbookViewId="0">
      <selection activeCell="F334" sqref="F334"/>
    </sheetView>
  </sheetViews>
  <sheetFormatPr baseColWidth="10" defaultRowHeight="14.5" x14ac:dyDescent="0.35"/>
  <cols>
    <col min="1" max="1" width="27.26953125" customWidth="1"/>
    <col min="2" max="2" width="19.7265625" customWidth="1"/>
    <col min="3" max="3" width="57.453125" customWidth="1"/>
    <col min="4" max="4" width="16.54296875" customWidth="1"/>
    <col min="5" max="5" width="20.453125" customWidth="1"/>
    <col min="6" max="6" width="17.54296875" customWidth="1"/>
    <col min="7" max="7" width="23" customWidth="1"/>
    <col min="8" max="8" width="23.1796875" customWidth="1"/>
    <col min="9" max="9" width="78.453125" customWidth="1"/>
  </cols>
  <sheetData>
    <row r="2" spans="1:9" x14ac:dyDescent="0.35">
      <c r="E2" s="3"/>
      <c r="F2" s="3"/>
      <c r="G2" s="4"/>
      <c r="H2" s="3"/>
    </row>
    <row r="3" spans="1:9" x14ac:dyDescent="0.35">
      <c r="E3" s="3"/>
      <c r="F3" s="3" t="s">
        <v>172</v>
      </c>
      <c r="G3" s="4"/>
      <c r="H3" s="3"/>
    </row>
    <row r="4" spans="1:9" x14ac:dyDescent="0.35">
      <c r="E4" s="3"/>
      <c r="F4" s="4"/>
      <c r="G4" s="4"/>
      <c r="H4" s="3"/>
    </row>
    <row r="5" spans="1:9" ht="15.5" x14ac:dyDescent="0.35">
      <c r="E5" s="5" t="s">
        <v>1</v>
      </c>
      <c r="F5" s="1521" t="s">
        <v>20</v>
      </c>
      <c r="G5" s="1522"/>
      <c r="H5" s="3"/>
    </row>
    <row r="6" spans="1:9" x14ac:dyDescent="0.35">
      <c r="E6" s="3"/>
      <c r="F6" s="3"/>
      <c r="G6" s="3"/>
      <c r="H6" s="3"/>
    </row>
    <row r="7" spans="1:9" x14ac:dyDescent="0.35">
      <c r="A7" s="1313" t="s">
        <v>257</v>
      </c>
      <c r="B7" s="1313"/>
      <c r="C7" s="1313"/>
      <c r="D7" s="1313"/>
      <c r="E7" s="1313"/>
      <c r="F7" s="1313"/>
      <c r="G7" s="1313"/>
      <c r="H7" s="1313"/>
      <c r="I7" s="1313"/>
    </row>
    <row r="9" spans="1:9" x14ac:dyDescent="0.35">
      <c r="A9" s="1516" t="s">
        <v>72</v>
      </c>
      <c r="B9" s="1517" t="s">
        <v>95</v>
      </c>
      <c r="C9" s="1518" t="s">
        <v>96</v>
      </c>
      <c r="D9" s="1519" t="s">
        <v>97</v>
      </c>
      <c r="E9" s="1513" t="s">
        <v>98</v>
      </c>
      <c r="F9" s="1513"/>
      <c r="G9" s="1513"/>
      <c r="H9" s="1514" t="s">
        <v>401</v>
      </c>
      <c r="I9" s="1513" t="s">
        <v>99</v>
      </c>
    </row>
    <row r="10" spans="1:9" ht="26" x14ac:dyDescent="0.35">
      <c r="A10" s="1516"/>
      <c r="B10" s="1517"/>
      <c r="C10" s="1518"/>
      <c r="D10" s="1519"/>
      <c r="E10" s="375" t="s">
        <v>100</v>
      </c>
      <c r="F10" s="376" t="s">
        <v>101</v>
      </c>
      <c r="G10" s="377" t="s">
        <v>102</v>
      </c>
      <c r="H10" s="1514"/>
      <c r="I10" s="1513"/>
    </row>
    <row r="11" spans="1:9" x14ac:dyDescent="0.35">
      <c r="A11" s="1515" t="str">
        <f>+'B) Reajuste Tarifas y Ocupación'!A9</f>
        <v>C. R. Faro Limar</v>
      </c>
      <c r="B11" s="385"/>
      <c r="C11" s="386" t="s">
        <v>103</v>
      </c>
      <c r="D11" s="378">
        <f>SUM(D12,D17,D19)</f>
        <v>35185948.309999995</v>
      </c>
      <c r="E11" s="379"/>
      <c r="F11" s="379"/>
      <c r="G11" s="378">
        <f>SUM(G12,G17,G19)</f>
        <v>0</v>
      </c>
      <c r="H11" s="384">
        <f>SUM(H12,H17,H19)</f>
        <v>35185948.309999995</v>
      </c>
      <c r="I11" s="441"/>
    </row>
    <row r="12" spans="1:9" x14ac:dyDescent="0.35">
      <c r="A12" s="1515"/>
      <c r="B12" s="388"/>
      <c r="C12" s="389" t="s">
        <v>104</v>
      </c>
      <c r="D12" s="370">
        <f>SUM(D13:D16)</f>
        <v>24415861.309999995</v>
      </c>
      <c r="E12" s="380"/>
      <c r="F12" s="380"/>
      <c r="G12" s="370">
        <f>SUM(G13:G16)</f>
        <v>0</v>
      </c>
      <c r="H12" s="370">
        <f>SUM(H13:H16)</f>
        <v>24415861.309999995</v>
      </c>
      <c r="I12" s="441"/>
    </row>
    <row r="13" spans="1:9" x14ac:dyDescent="0.35">
      <c r="A13" s="1515"/>
      <c r="B13" s="390">
        <v>53103040100000</v>
      </c>
      <c r="C13" s="391" t="s">
        <v>105</v>
      </c>
      <c r="D13" s="381">
        <f>+'F) Remuneraciones'!M11</f>
        <v>24415861.309999995</v>
      </c>
      <c r="E13" s="382"/>
      <c r="F13" s="382"/>
      <c r="G13" s="382"/>
      <c r="H13" s="372">
        <f>D13+G13</f>
        <v>24415861.309999995</v>
      </c>
      <c r="I13" s="441"/>
    </row>
    <row r="14" spans="1:9" x14ac:dyDescent="0.35">
      <c r="A14" s="1515"/>
      <c r="B14" s="390">
        <v>53103050000000</v>
      </c>
      <c r="C14" s="391" t="s">
        <v>106</v>
      </c>
      <c r="D14" s="363"/>
      <c r="E14" s="364"/>
      <c r="F14" s="365"/>
      <c r="G14" s="369">
        <f>E14*F14</f>
        <v>0</v>
      </c>
      <c r="H14" s="372">
        <f>D14+G14</f>
        <v>0</v>
      </c>
      <c r="I14" s="441"/>
    </row>
    <row r="15" spans="1:9" x14ac:dyDescent="0.35">
      <c r="A15" s="1515"/>
      <c r="B15" s="390">
        <v>53103060000000</v>
      </c>
      <c r="C15" s="391" t="s">
        <v>107</v>
      </c>
      <c r="D15" s="363"/>
      <c r="E15" s="364"/>
      <c r="F15" s="365"/>
      <c r="G15" s="369">
        <f>E15*F15</f>
        <v>0</v>
      </c>
      <c r="H15" s="372">
        <f>D15+G15</f>
        <v>0</v>
      </c>
      <c r="I15" s="441"/>
    </row>
    <row r="16" spans="1:9" x14ac:dyDescent="0.35">
      <c r="A16" s="1515"/>
      <c r="B16" s="390">
        <v>53103080010000</v>
      </c>
      <c r="C16" s="391" t="s">
        <v>108</v>
      </c>
      <c r="D16" s="363"/>
      <c r="E16" s="364"/>
      <c r="F16" s="365"/>
      <c r="G16" s="369">
        <f>E16*F16</f>
        <v>0</v>
      </c>
      <c r="H16" s="372">
        <f>D16+G16</f>
        <v>0</v>
      </c>
      <c r="I16" s="441"/>
    </row>
    <row r="17" spans="1:9" x14ac:dyDescent="0.35">
      <c r="A17" s="1515"/>
      <c r="B17" s="388"/>
      <c r="C17" s="389" t="s">
        <v>109</v>
      </c>
      <c r="D17" s="370">
        <f>SUM(D18)</f>
        <v>0</v>
      </c>
      <c r="E17" s="371"/>
      <c r="F17" s="371"/>
      <c r="G17" s="383">
        <f>SUM(G18:G18)</f>
        <v>0</v>
      </c>
      <c r="H17" s="370">
        <f>SUM(H18:H18)</f>
        <v>0</v>
      </c>
      <c r="I17" s="441"/>
    </row>
    <row r="18" spans="1:9" x14ac:dyDescent="0.35">
      <c r="A18" s="1515"/>
      <c r="B18" s="390">
        <v>55201010100001</v>
      </c>
      <c r="C18" s="391" t="s">
        <v>110</v>
      </c>
      <c r="D18" s="363"/>
      <c r="E18" s="364"/>
      <c r="F18" s="365"/>
      <c r="G18" s="369">
        <f>E18*F18</f>
        <v>0</v>
      </c>
      <c r="H18" s="372">
        <f>D18+G18</f>
        <v>0</v>
      </c>
      <c r="I18" s="441"/>
    </row>
    <row r="19" spans="1:9" x14ac:dyDescent="0.35">
      <c r="A19" s="1515"/>
      <c r="B19" s="388"/>
      <c r="C19" s="389" t="s">
        <v>111</v>
      </c>
      <c r="D19" s="370">
        <f>SUM(D20:D38)</f>
        <v>10770087</v>
      </c>
      <c r="E19" s="371"/>
      <c r="F19" s="371"/>
      <c r="G19" s="370">
        <f>SUM(G20:G38)</f>
        <v>0</v>
      </c>
      <c r="H19" s="370">
        <f>SUM(H20:H38)</f>
        <v>10770087</v>
      </c>
      <c r="I19" s="441"/>
    </row>
    <row r="20" spans="1:9" x14ac:dyDescent="0.35">
      <c r="A20" s="1515"/>
      <c r="B20" s="390">
        <v>53201010100000</v>
      </c>
      <c r="C20" s="391" t="s">
        <v>112</v>
      </c>
      <c r="D20" s="363">
        <v>30206</v>
      </c>
      <c r="E20" s="364"/>
      <c r="F20" s="365"/>
      <c r="G20" s="369">
        <f>E20*F20</f>
        <v>0</v>
      </c>
      <c r="H20" s="372">
        <f t="shared" ref="H20:H38" si="0">D20+G20</f>
        <v>30206</v>
      </c>
      <c r="I20" s="441"/>
    </row>
    <row r="21" spans="1:9" x14ac:dyDescent="0.35">
      <c r="A21" s="1515"/>
      <c r="B21" s="390">
        <v>53202010100000</v>
      </c>
      <c r="C21" s="391" t="s">
        <v>113</v>
      </c>
      <c r="D21" s="363"/>
      <c r="E21" s="364"/>
      <c r="F21" s="365"/>
      <c r="G21" s="369">
        <f t="shared" ref="G21:G38" si="1">E21*F21</f>
        <v>0</v>
      </c>
      <c r="H21" s="372">
        <f t="shared" si="0"/>
        <v>0</v>
      </c>
      <c r="I21" s="441"/>
    </row>
    <row r="22" spans="1:9" x14ac:dyDescent="0.35">
      <c r="A22" s="1515"/>
      <c r="B22" s="390">
        <v>53203010100000</v>
      </c>
      <c r="C22" s="391" t="s">
        <v>114</v>
      </c>
      <c r="D22" s="366"/>
      <c r="E22" s="367"/>
      <c r="F22" s="368"/>
      <c r="G22" s="369">
        <f t="shared" si="1"/>
        <v>0</v>
      </c>
      <c r="H22" s="372">
        <f t="shared" si="0"/>
        <v>0</v>
      </c>
      <c r="I22" s="441"/>
    </row>
    <row r="23" spans="1:9" x14ac:dyDescent="0.35">
      <c r="A23" s="1515"/>
      <c r="B23" s="390">
        <v>53203030000000</v>
      </c>
      <c r="C23" s="391" t="s">
        <v>115</v>
      </c>
      <c r="D23" s="366"/>
      <c r="E23" s="367"/>
      <c r="F23" s="368"/>
      <c r="G23" s="369">
        <f t="shared" si="1"/>
        <v>0</v>
      </c>
      <c r="H23" s="372">
        <f t="shared" si="0"/>
        <v>0</v>
      </c>
      <c r="I23" s="441"/>
    </row>
    <row r="24" spans="1:9" x14ac:dyDescent="0.35">
      <c r="A24" s="1515"/>
      <c r="B24" s="390">
        <v>53204030000000</v>
      </c>
      <c r="C24" s="391" t="s">
        <v>116</v>
      </c>
      <c r="D24" s="366"/>
      <c r="E24" s="367"/>
      <c r="F24" s="368"/>
      <c r="G24" s="369">
        <f t="shared" si="1"/>
        <v>0</v>
      </c>
      <c r="H24" s="372">
        <f t="shared" si="0"/>
        <v>0</v>
      </c>
      <c r="I24" s="442"/>
    </row>
    <row r="25" spans="1:9" x14ac:dyDescent="0.35">
      <c r="A25" s="1515"/>
      <c r="B25" s="390">
        <v>53204100100001</v>
      </c>
      <c r="C25" s="393" t="s">
        <v>117</v>
      </c>
      <c r="D25" s="366">
        <v>1608529</v>
      </c>
      <c r="E25" s="367"/>
      <c r="F25" s="368"/>
      <c r="G25" s="369">
        <f t="shared" si="1"/>
        <v>0</v>
      </c>
      <c r="H25" s="372">
        <f t="shared" si="0"/>
        <v>1608529</v>
      </c>
      <c r="I25" s="441"/>
    </row>
    <row r="26" spans="1:9" x14ac:dyDescent="0.35">
      <c r="A26" s="1515"/>
      <c r="B26" s="390">
        <v>53204130100000</v>
      </c>
      <c r="C26" s="393" t="s">
        <v>118</v>
      </c>
      <c r="D26" s="366"/>
      <c r="E26" s="367"/>
      <c r="F26" s="368"/>
      <c r="G26" s="369">
        <f t="shared" si="1"/>
        <v>0</v>
      </c>
      <c r="H26" s="372">
        <f t="shared" si="0"/>
        <v>0</v>
      </c>
      <c r="I26" s="441"/>
    </row>
    <row r="27" spans="1:9" x14ac:dyDescent="0.35">
      <c r="A27" s="1515"/>
      <c r="B27" s="390">
        <v>53205010100000</v>
      </c>
      <c r="C27" s="393" t="s">
        <v>119</v>
      </c>
      <c r="D27" s="366">
        <v>5013353</v>
      </c>
      <c r="E27" s="367"/>
      <c r="F27" s="368"/>
      <c r="G27" s="369">
        <f t="shared" si="1"/>
        <v>0</v>
      </c>
      <c r="H27" s="372">
        <f t="shared" si="0"/>
        <v>5013353</v>
      </c>
      <c r="I27" s="443"/>
    </row>
    <row r="28" spans="1:9" x14ac:dyDescent="0.35">
      <c r="A28" s="1515"/>
      <c r="B28" s="390">
        <v>53205020100000</v>
      </c>
      <c r="C28" s="393" t="s">
        <v>120</v>
      </c>
      <c r="D28" s="366">
        <v>3337173</v>
      </c>
      <c r="E28" s="367"/>
      <c r="F28" s="368"/>
      <c r="G28" s="369">
        <f t="shared" si="1"/>
        <v>0</v>
      </c>
      <c r="H28" s="372">
        <f t="shared" si="0"/>
        <v>3337173</v>
      </c>
      <c r="I28" s="443"/>
    </row>
    <row r="29" spans="1:9" x14ac:dyDescent="0.35">
      <c r="A29" s="1515"/>
      <c r="B29" s="390">
        <v>53205030100000</v>
      </c>
      <c r="C29" s="393" t="s">
        <v>121</v>
      </c>
      <c r="D29" s="366"/>
      <c r="E29" s="367"/>
      <c r="F29" s="368"/>
      <c r="G29" s="369">
        <f t="shared" si="1"/>
        <v>0</v>
      </c>
      <c r="H29" s="372">
        <f t="shared" si="0"/>
        <v>0</v>
      </c>
      <c r="I29" s="443"/>
    </row>
    <row r="30" spans="1:9" x14ac:dyDescent="0.35">
      <c r="A30" s="1515"/>
      <c r="B30" s="390">
        <v>53205050100000</v>
      </c>
      <c r="C30" s="393" t="s">
        <v>122</v>
      </c>
      <c r="D30" s="366"/>
      <c r="E30" s="367"/>
      <c r="F30" s="368"/>
      <c r="G30" s="369">
        <f t="shared" si="1"/>
        <v>0</v>
      </c>
      <c r="H30" s="372">
        <f t="shared" si="0"/>
        <v>0</v>
      </c>
      <c r="I30" s="441"/>
    </row>
    <row r="31" spans="1:9" x14ac:dyDescent="0.35">
      <c r="A31" s="1515"/>
      <c r="B31" s="390">
        <v>53205060100000</v>
      </c>
      <c r="C31" s="393" t="s">
        <v>123</v>
      </c>
      <c r="D31" s="366"/>
      <c r="E31" s="367"/>
      <c r="F31" s="368"/>
      <c r="G31" s="369">
        <f t="shared" si="1"/>
        <v>0</v>
      </c>
      <c r="H31" s="372">
        <f t="shared" si="0"/>
        <v>0</v>
      </c>
      <c r="I31" s="441"/>
    </row>
    <row r="32" spans="1:9" x14ac:dyDescent="0.35">
      <c r="A32" s="1515"/>
      <c r="B32" s="390">
        <v>53205070100000</v>
      </c>
      <c r="C32" s="393" t="s">
        <v>124</v>
      </c>
      <c r="D32" s="366"/>
      <c r="E32" s="367"/>
      <c r="F32" s="368"/>
      <c r="G32" s="369">
        <f t="shared" si="1"/>
        <v>0</v>
      </c>
      <c r="H32" s="372">
        <f t="shared" si="0"/>
        <v>0</v>
      </c>
      <c r="I32" s="441"/>
    </row>
    <row r="33" spans="1:9" x14ac:dyDescent="0.35">
      <c r="A33" s="1515"/>
      <c r="B33" s="390">
        <v>53208010100000</v>
      </c>
      <c r="C33" s="393" t="s">
        <v>125</v>
      </c>
      <c r="D33" s="366">
        <v>426081</v>
      </c>
      <c r="E33" s="367"/>
      <c r="F33" s="368"/>
      <c r="G33" s="369">
        <f t="shared" si="1"/>
        <v>0</v>
      </c>
      <c r="H33" s="372">
        <f t="shared" si="0"/>
        <v>426081</v>
      </c>
      <c r="I33" s="442"/>
    </row>
    <row r="34" spans="1:9" x14ac:dyDescent="0.35">
      <c r="A34" s="1515"/>
      <c r="B34" s="390">
        <v>53208070100001</v>
      </c>
      <c r="C34" s="393" t="s">
        <v>126</v>
      </c>
      <c r="D34" s="366"/>
      <c r="E34" s="367"/>
      <c r="F34" s="368"/>
      <c r="G34" s="369">
        <f t="shared" si="1"/>
        <v>0</v>
      </c>
      <c r="H34" s="372">
        <f t="shared" si="0"/>
        <v>0</v>
      </c>
      <c r="I34" s="441"/>
    </row>
    <row r="35" spans="1:9" x14ac:dyDescent="0.35">
      <c r="A35" s="1515"/>
      <c r="B35" s="390">
        <v>53208100100001</v>
      </c>
      <c r="C35" s="391" t="s">
        <v>127</v>
      </c>
      <c r="D35" s="366"/>
      <c r="E35" s="367"/>
      <c r="F35" s="368"/>
      <c r="G35" s="369">
        <f t="shared" si="1"/>
        <v>0</v>
      </c>
      <c r="H35" s="372">
        <f t="shared" si="0"/>
        <v>0</v>
      </c>
      <c r="I35" s="441"/>
    </row>
    <row r="36" spans="1:9" x14ac:dyDescent="0.35">
      <c r="A36" s="1515"/>
      <c r="B36" s="390">
        <v>53211030000000</v>
      </c>
      <c r="C36" s="391" t="s">
        <v>128</v>
      </c>
      <c r="D36" s="366"/>
      <c r="E36" s="367"/>
      <c r="F36" s="368"/>
      <c r="G36" s="369">
        <f t="shared" si="1"/>
        <v>0</v>
      </c>
      <c r="H36" s="372">
        <f t="shared" si="0"/>
        <v>0</v>
      </c>
      <c r="I36" s="441"/>
    </row>
    <row r="37" spans="1:9" x14ac:dyDescent="0.35">
      <c r="A37" s="1515"/>
      <c r="B37" s="390">
        <v>53212020100000</v>
      </c>
      <c r="C37" s="391" t="s">
        <v>129</v>
      </c>
      <c r="D37" s="366">
        <v>354745</v>
      </c>
      <c r="E37" s="367"/>
      <c r="F37" s="368"/>
      <c r="G37" s="369">
        <f t="shared" si="1"/>
        <v>0</v>
      </c>
      <c r="H37" s="372">
        <f t="shared" si="0"/>
        <v>354745</v>
      </c>
      <c r="I37" s="441"/>
    </row>
    <row r="38" spans="1:9" x14ac:dyDescent="0.35">
      <c r="A38" s="1515"/>
      <c r="B38" s="390">
        <v>53214020000000</v>
      </c>
      <c r="C38" s="391" t="s">
        <v>130</v>
      </c>
      <c r="D38" s="363"/>
      <c r="E38" s="364"/>
      <c r="F38" s="365"/>
      <c r="G38" s="369">
        <f t="shared" si="1"/>
        <v>0</v>
      </c>
      <c r="H38" s="372">
        <f t="shared" si="0"/>
        <v>0</v>
      </c>
      <c r="I38" s="441"/>
    </row>
    <row r="39" spans="1:9" x14ac:dyDescent="0.35">
      <c r="A39" s="1515"/>
      <c r="B39" s="385"/>
      <c r="C39" s="386" t="s">
        <v>131</v>
      </c>
      <c r="D39" s="384">
        <f>SUM(D40,D45,D48,D59,D69,D77)</f>
        <v>1957103</v>
      </c>
      <c r="E39" s="379"/>
      <c r="F39" s="379"/>
      <c r="G39" s="384">
        <f>SUM(G40,G45,G48,G59,G69,G77)</f>
        <v>240000</v>
      </c>
      <c r="H39" s="384">
        <f>SUM(H40,H45,H48,H59,H69,H77)</f>
        <v>2197103</v>
      </c>
      <c r="I39" s="441"/>
    </row>
    <row r="40" spans="1:9" x14ac:dyDescent="0.35">
      <c r="A40" s="1515"/>
      <c r="B40" s="388"/>
      <c r="C40" s="389" t="s">
        <v>132</v>
      </c>
      <c r="D40" s="370">
        <f>SUM(D41:D44)</f>
        <v>0</v>
      </c>
      <c r="E40" s="371"/>
      <c r="F40" s="371"/>
      <c r="G40" s="383">
        <f>SUM(G41:G44)</f>
        <v>240000</v>
      </c>
      <c r="H40" s="383">
        <f>SUM(H41:H44)</f>
        <v>240000</v>
      </c>
      <c r="I40" s="441"/>
    </row>
    <row r="41" spans="1:9" x14ac:dyDescent="0.35">
      <c r="A41" s="1515"/>
      <c r="B41" s="390">
        <v>53202020100000</v>
      </c>
      <c r="C41" s="391" t="s">
        <v>133</v>
      </c>
      <c r="D41" s="366"/>
      <c r="E41" s="367">
        <v>50000</v>
      </c>
      <c r="F41" s="368">
        <v>3</v>
      </c>
      <c r="G41" s="369">
        <f>E41*F41</f>
        <v>150000</v>
      </c>
      <c r="H41" s="372">
        <f t="shared" ref="H41:H79" si="2">D41+G41</f>
        <v>150000</v>
      </c>
      <c r="I41" s="441"/>
    </row>
    <row r="42" spans="1:9" x14ac:dyDescent="0.35">
      <c r="A42" s="1515"/>
      <c r="B42" s="390">
        <v>53202030000000</v>
      </c>
      <c r="C42" s="391" t="s">
        <v>134</v>
      </c>
      <c r="D42" s="363"/>
      <c r="E42" s="364">
        <v>30000</v>
      </c>
      <c r="F42" s="365">
        <v>3</v>
      </c>
      <c r="G42" s="369">
        <f t="shared" ref="G42:G79" si="3">E42*F42</f>
        <v>90000</v>
      </c>
      <c r="H42" s="372">
        <f t="shared" si="2"/>
        <v>90000</v>
      </c>
      <c r="I42" s="441"/>
    </row>
    <row r="43" spans="1:9" x14ac:dyDescent="0.35">
      <c r="A43" s="1515"/>
      <c r="B43" s="390">
        <v>53211020000000</v>
      </c>
      <c r="C43" s="391" t="s">
        <v>135</v>
      </c>
      <c r="D43" s="366"/>
      <c r="E43" s="367"/>
      <c r="F43" s="368"/>
      <c r="G43" s="369">
        <f t="shared" si="3"/>
        <v>0</v>
      </c>
      <c r="H43" s="372">
        <f t="shared" si="2"/>
        <v>0</v>
      </c>
      <c r="I43" s="441"/>
    </row>
    <row r="44" spans="1:9" x14ac:dyDescent="0.35">
      <c r="A44" s="1515"/>
      <c r="B44" s="390">
        <v>53101004030000</v>
      </c>
      <c r="C44" s="391" t="s">
        <v>136</v>
      </c>
      <c r="D44" s="363"/>
      <c r="E44" s="364"/>
      <c r="F44" s="365"/>
      <c r="G44" s="369">
        <f t="shared" si="3"/>
        <v>0</v>
      </c>
      <c r="H44" s="372">
        <f t="shared" si="2"/>
        <v>0</v>
      </c>
      <c r="I44" s="441"/>
    </row>
    <row r="45" spans="1:9" x14ac:dyDescent="0.35">
      <c r="A45" s="1515"/>
      <c r="B45" s="388"/>
      <c r="C45" s="389" t="s">
        <v>137</v>
      </c>
      <c r="D45" s="370">
        <f>SUM(D46:D47)</f>
        <v>400133</v>
      </c>
      <c r="E45" s="371"/>
      <c r="F45" s="371"/>
      <c r="G45" s="383">
        <f>SUM(G46:G47)</f>
        <v>0</v>
      </c>
      <c r="H45" s="383">
        <f>SUM(H46:H47)</f>
        <v>400133</v>
      </c>
      <c r="I45" s="441"/>
    </row>
    <row r="46" spans="1:9" x14ac:dyDescent="0.35">
      <c r="A46" s="1515"/>
      <c r="B46" s="390">
        <v>53205080000000</v>
      </c>
      <c r="C46" s="393" t="s">
        <v>138</v>
      </c>
      <c r="D46" s="363">
        <v>400133</v>
      </c>
      <c r="E46" s="364"/>
      <c r="F46" s="365"/>
      <c r="G46" s="369">
        <f t="shared" si="3"/>
        <v>0</v>
      </c>
      <c r="H46" s="372">
        <f t="shared" si="2"/>
        <v>400133</v>
      </c>
      <c r="I46" s="442"/>
    </row>
    <row r="47" spans="1:9" x14ac:dyDescent="0.35">
      <c r="A47" s="1515"/>
      <c r="B47" s="390">
        <v>53205990000000</v>
      </c>
      <c r="C47" s="391" t="s">
        <v>139</v>
      </c>
      <c r="D47" s="366"/>
      <c r="E47" s="367"/>
      <c r="F47" s="368"/>
      <c r="G47" s="369">
        <f t="shared" si="3"/>
        <v>0</v>
      </c>
      <c r="H47" s="372">
        <f t="shared" si="2"/>
        <v>0</v>
      </c>
      <c r="I47" s="441"/>
    </row>
    <row r="48" spans="1:9" x14ac:dyDescent="0.35">
      <c r="A48" s="1515"/>
      <c r="B48" s="388"/>
      <c r="C48" s="389" t="s">
        <v>140</v>
      </c>
      <c r="D48" s="370">
        <f>SUM(D49:D58)</f>
        <v>967167</v>
      </c>
      <c r="E48" s="371"/>
      <c r="F48" s="371"/>
      <c r="G48" s="370">
        <f>SUM(G49:G58)</f>
        <v>0</v>
      </c>
      <c r="H48" s="370">
        <f>SUM(H49:H58)</f>
        <v>967167</v>
      </c>
      <c r="I48" s="441"/>
    </row>
    <row r="49" spans="1:9" x14ac:dyDescent="0.35">
      <c r="A49" s="1515"/>
      <c r="B49" s="390">
        <v>53203010200000</v>
      </c>
      <c r="C49" s="391" t="s">
        <v>141</v>
      </c>
      <c r="D49" s="363"/>
      <c r="E49" s="363"/>
      <c r="F49" s="365"/>
      <c r="G49" s="369">
        <f t="shared" si="3"/>
        <v>0</v>
      </c>
      <c r="H49" s="372">
        <f t="shared" si="2"/>
        <v>0</v>
      </c>
      <c r="I49" s="441"/>
    </row>
    <row r="50" spans="1:9" x14ac:dyDescent="0.35">
      <c r="A50" s="1515"/>
      <c r="B50" s="390">
        <v>53204010000000</v>
      </c>
      <c r="C50" s="391" t="s">
        <v>142</v>
      </c>
      <c r="D50" s="366">
        <v>30000</v>
      </c>
      <c r="E50" s="366"/>
      <c r="F50" s="368"/>
      <c r="G50" s="369">
        <f t="shared" si="3"/>
        <v>0</v>
      </c>
      <c r="H50" s="372">
        <f t="shared" si="2"/>
        <v>30000</v>
      </c>
      <c r="I50" s="441"/>
    </row>
    <row r="51" spans="1:9" x14ac:dyDescent="0.35">
      <c r="A51" s="1515"/>
      <c r="B51" s="390">
        <v>53204040200000</v>
      </c>
      <c r="C51" s="393" t="s">
        <v>143</v>
      </c>
      <c r="D51" s="366"/>
      <c r="E51" s="366"/>
      <c r="F51" s="368"/>
      <c r="G51" s="369">
        <f t="shared" si="3"/>
        <v>0</v>
      </c>
      <c r="H51" s="372">
        <f t="shared" si="2"/>
        <v>0</v>
      </c>
      <c r="I51" s="441"/>
    </row>
    <row r="52" spans="1:9" x14ac:dyDescent="0.35">
      <c r="A52" s="1515"/>
      <c r="B52" s="390">
        <v>53204060000000</v>
      </c>
      <c r="C52" s="393" t="s">
        <v>144</v>
      </c>
      <c r="D52" s="366"/>
      <c r="E52" s="366"/>
      <c r="F52" s="368"/>
      <c r="G52" s="369">
        <f t="shared" si="3"/>
        <v>0</v>
      </c>
      <c r="H52" s="372">
        <f t="shared" si="2"/>
        <v>0</v>
      </c>
      <c r="I52" s="442"/>
    </row>
    <row r="53" spans="1:9" x14ac:dyDescent="0.35">
      <c r="A53" s="1515"/>
      <c r="B53" s="390">
        <v>53204070000000</v>
      </c>
      <c r="C53" s="393" t="s">
        <v>145</v>
      </c>
      <c r="D53" s="366">
        <v>937167</v>
      </c>
      <c r="E53" s="366"/>
      <c r="F53" s="368"/>
      <c r="G53" s="369">
        <f t="shared" si="3"/>
        <v>0</v>
      </c>
      <c r="H53" s="372">
        <f t="shared" si="2"/>
        <v>937167</v>
      </c>
      <c r="I53" s="441"/>
    </row>
    <row r="54" spans="1:9" x14ac:dyDescent="0.35">
      <c r="A54" s="1515"/>
      <c r="B54" s="390">
        <v>53204080000000</v>
      </c>
      <c r="C54" s="393" t="s">
        <v>146</v>
      </c>
      <c r="D54" s="366"/>
      <c r="E54" s="366"/>
      <c r="F54" s="368"/>
      <c r="G54" s="369">
        <f t="shared" si="3"/>
        <v>0</v>
      </c>
      <c r="H54" s="372">
        <f t="shared" si="2"/>
        <v>0</v>
      </c>
      <c r="I54" s="441"/>
    </row>
    <row r="55" spans="1:9" x14ac:dyDescent="0.35">
      <c r="A55" s="1515"/>
      <c r="B55" s="390">
        <v>53214010000000</v>
      </c>
      <c r="C55" s="393" t="s">
        <v>147</v>
      </c>
      <c r="D55" s="363"/>
      <c r="E55" s="363"/>
      <c r="F55" s="365"/>
      <c r="G55" s="369">
        <f t="shared" si="3"/>
        <v>0</v>
      </c>
      <c r="H55" s="372">
        <f t="shared" si="2"/>
        <v>0</v>
      </c>
      <c r="I55" s="441"/>
    </row>
    <row r="56" spans="1:9" x14ac:dyDescent="0.35">
      <c r="A56" s="1515"/>
      <c r="B56" s="390">
        <v>53214040000000</v>
      </c>
      <c r="C56" s="391" t="s">
        <v>148</v>
      </c>
      <c r="D56" s="363"/>
      <c r="E56" s="363"/>
      <c r="F56" s="365"/>
      <c r="G56" s="369">
        <f t="shared" si="3"/>
        <v>0</v>
      </c>
      <c r="H56" s="372">
        <f t="shared" si="2"/>
        <v>0</v>
      </c>
      <c r="I56" s="441"/>
    </row>
    <row r="57" spans="1:9" x14ac:dyDescent="0.35">
      <c r="A57" s="1515"/>
      <c r="B57" s="390">
        <v>55201010100004</v>
      </c>
      <c r="C57" s="391" t="s">
        <v>149</v>
      </c>
      <c r="D57" s="363"/>
      <c r="E57" s="405"/>
      <c r="F57" s="365"/>
      <c r="G57" s="369">
        <f t="shared" si="3"/>
        <v>0</v>
      </c>
      <c r="H57" s="372">
        <f t="shared" si="2"/>
        <v>0</v>
      </c>
      <c r="I57" s="441"/>
    </row>
    <row r="58" spans="1:9" x14ac:dyDescent="0.35">
      <c r="A58" s="1515"/>
      <c r="B58" s="390">
        <v>55201010100005</v>
      </c>
      <c r="C58" s="391" t="s">
        <v>150</v>
      </c>
      <c r="D58" s="363"/>
      <c r="E58" s="363"/>
      <c r="F58" s="365"/>
      <c r="G58" s="369">
        <f t="shared" si="3"/>
        <v>0</v>
      </c>
      <c r="H58" s="372">
        <f t="shared" si="2"/>
        <v>0</v>
      </c>
      <c r="I58" s="441"/>
    </row>
    <row r="59" spans="1:9" x14ac:dyDescent="0.35">
      <c r="A59" s="1515"/>
      <c r="B59" s="388"/>
      <c r="C59" s="389" t="s">
        <v>151</v>
      </c>
      <c r="D59" s="370">
        <f>SUM(D60:D68)</f>
        <v>359800</v>
      </c>
      <c r="E59" s="371"/>
      <c r="F59" s="371"/>
      <c r="G59" s="370">
        <f>SUM(G60:G68)</f>
        <v>0</v>
      </c>
      <c r="H59" s="370">
        <f>SUM(H60:H68)</f>
        <v>359800</v>
      </c>
      <c r="I59" s="441"/>
    </row>
    <row r="60" spans="1:9" x14ac:dyDescent="0.35">
      <c r="A60" s="1515"/>
      <c r="B60" s="390">
        <v>53207010000000</v>
      </c>
      <c r="C60" s="391" t="s">
        <v>152</v>
      </c>
      <c r="D60" s="366"/>
      <c r="E60" s="366"/>
      <c r="F60" s="368"/>
      <c r="G60" s="369">
        <f t="shared" si="3"/>
        <v>0</v>
      </c>
      <c r="H60" s="372">
        <f t="shared" si="2"/>
        <v>0</v>
      </c>
      <c r="I60" s="441"/>
    </row>
    <row r="61" spans="1:9" x14ac:dyDescent="0.35">
      <c r="A61" s="1515"/>
      <c r="B61" s="390">
        <v>53207020000000</v>
      </c>
      <c r="C61" s="391" t="s">
        <v>153</v>
      </c>
      <c r="D61" s="366"/>
      <c r="E61" s="366"/>
      <c r="F61" s="368"/>
      <c r="G61" s="369">
        <f t="shared" si="3"/>
        <v>0</v>
      </c>
      <c r="H61" s="372">
        <f t="shared" si="2"/>
        <v>0</v>
      </c>
      <c r="I61" s="441"/>
    </row>
    <row r="62" spans="1:9" x14ac:dyDescent="0.35">
      <c r="A62" s="1515"/>
      <c r="B62" s="390">
        <v>53208020000000</v>
      </c>
      <c r="C62" s="391" t="s">
        <v>154</v>
      </c>
      <c r="D62" s="366"/>
      <c r="E62" s="366"/>
      <c r="F62" s="368"/>
      <c r="G62" s="369">
        <f t="shared" si="3"/>
        <v>0</v>
      </c>
      <c r="H62" s="372">
        <f t="shared" si="2"/>
        <v>0</v>
      </c>
      <c r="I62" s="441"/>
    </row>
    <row r="63" spans="1:9" x14ac:dyDescent="0.35">
      <c r="A63" s="1515"/>
      <c r="B63" s="390">
        <v>53208990000000</v>
      </c>
      <c r="C63" s="391" t="s">
        <v>155</v>
      </c>
      <c r="D63" s="366">
        <v>359800</v>
      </c>
      <c r="E63" s="366"/>
      <c r="F63" s="368"/>
      <c r="G63" s="369">
        <f t="shared" si="3"/>
        <v>0</v>
      </c>
      <c r="H63" s="372">
        <f t="shared" si="2"/>
        <v>359800</v>
      </c>
      <c r="I63" s="441"/>
    </row>
    <row r="64" spans="1:9" x14ac:dyDescent="0.35">
      <c r="A64" s="1515"/>
      <c r="B64" s="390">
        <v>53209010000000</v>
      </c>
      <c r="C64" s="391" t="s">
        <v>156</v>
      </c>
      <c r="D64" s="366"/>
      <c r="E64" s="366"/>
      <c r="F64" s="368"/>
      <c r="G64" s="369">
        <f t="shared" si="3"/>
        <v>0</v>
      </c>
      <c r="H64" s="372">
        <f t="shared" si="2"/>
        <v>0</v>
      </c>
      <c r="I64" s="441"/>
    </row>
    <row r="65" spans="1:9" x14ac:dyDescent="0.35">
      <c r="A65" s="1515"/>
      <c r="B65" s="390">
        <v>53209040000000</v>
      </c>
      <c r="C65" s="391" t="s">
        <v>157</v>
      </c>
      <c r="D65" s="366"/>
      <c r="E65" s="366"/>
      <c r="F65" s="368"/>
      <c r="G65" s="369">
        <f t="shared" si="3"/>
        <v>0</v>
      </c>
      <c r="H65" s="372">
        <f t="shared" si="2"/>
        <v>0</v>
      </c>
      <c r="I65" s="441"/>
    </row>
    <row r="66" spans="1:9" x14ac:dyDescent="0.35">
      <c r="A66" s="1515"/>
      <c r="B66" s="390">
        <v>53209050000000</v>
      </c>
      <c r="C66" s="391" t="s">
        <v>158</v>
      </c>
      <c r="D66" s="366"/>
      <c r="E66" s="366"/>
      <c r="F66" s="368"/>
      <c r="G66" s="369">
        <f t="shared" si="3"/>
        <v>0</v>
      </c>
      <c r="H66" s="372">
        <f t="shared" si="2"/>
        <v>0</v>
      </c>
      <c r="I66" s="441"/>
    </row>
    <row r="67" spans="1:9" x14ac:dyDescent="0.35">
      <c r="A67" s="1515"/>
      <c r="B67" s="390">
        <v>53209990000000</v>
      </c>
      <c r="C67" s="391" t="s">
        <v>159</v>
      </c>
      <c r="D67" s="366"/>
      <c r="E67" s="366"/>
      <c r="F67" s="368"/>
      <c r="G67" s="369">
        <f t="shared" si="3"/>
        <v>0</v>
      </c>
      <c r="H67" s="372">
        <f t="shared" si="2"/>
        <v>0</v>
      </c>
      <c r="I67" s="441"/>
    </row>
    <row r="68" spans="1:9" x14ac:dyDescent="0.35">
      <c r="A68" s="1515"/>
      <c r="B68" s="390">
        <v>53210020100000</v>
      </c>
      <c r="C68" s="391" t="s">
        <v>160</v>
      </c>
      <c r="D68" s="366"/>
      <c r="E68" s="366"/>
      <c r="F68" s="368"/>
      <c r="G68" s="369">
        <f t="shared" si="3"/>
        <v>0</v>
      </c>
      <c r="H68" s="372">
        <f t="shared" si="2"/>
        <v>0</v>
      </c>
      <c r="I68" s="441"/>
    </row>
    <row r="69" spans="1:9" x14ac:dyDescent="0.35">
      <c r="A69" s="1515"/>
      <c r="B69" s="388"/>
      <c r="C69" s="389" t="s">
        <v>161</v>
      </c>
      <c r="D69" s="370">
        <f>SUM(D70:D76)</f>
        <v>230003</v>
      </c>
      <c r="E69" s="371"/>
      <c r="F69" s="371"/>
      <c r="G69" s="370">
        <f>SUM(G70:G76)</f>
        <v>0</v>
      </c>
      <c r="H69" s="370">
        <f>SUM(H70:H76)</f>
        <v>230003</v>
      </c>
      <c r="I69" s="441"/>
    </row>
    <row r="70" spans="1:9" x14ac:dyDescent="0.35">
      <c r="A70" s="1515"/>
      <c r="B70" s="390">
        <v>53206030000000</v>
      </c>
      <c r="C70" s="391" t="s">
        <v>162</v>
      </c>
      <c r="D70" s="366"/>
      <c r="E70" s="366"/>
      <c r="F70" s="368"/>
      <c r="G70" s="369">
        <f t="shared" si="3"/>
        <v>0</v>
      </c>
      <c r="H70" s="372">
        <f t="shared" si="2"/>
        <v>0</v>
      </c>
      <c r="I70" s="442"/>
    </row>
    <row r="71" spans="1:9" x14ac:dyDescent="0.35">
      <c r="A71" s="1515"/>
      <c r="B71" s="390">
        <v>53206040000000</v>
      </c>
      <c r="C71" s="391" t="s">
        <v>163</v>
      </c>
      <c r="D71" s="366"/>
      <c r="E71" s="366"/>
      <c r="F71" s="368"/>
      <c r="G71" s="369">
        <f t="shared" si="3"/>
        <v>0</v>
      </c>
      <c r="H71" s="372">
        <f t="shared" si="2"/>
        <v>0</v>
      </c>
      <c r="I71" s="441"/>
    </row>
    <row r="72" spans="1:9" x14ac:dyDescent="0.35">
      <c r="A72" s="1515"/>
      <c r="B72" s="390">
        <v>53206060000000</v>
      </c>
      <c r="C72" s="391" t="s">
        <v>164</v>
      </c>
      <c r="D72" s="366"/>
      <c r="E72" s="366"/>
      <c r="F72" s="368"/>
      <c r="G72" s="369">
        <f t="shared" si="3"/>
        <v>0</v>
      </c>
      <c r="H72" s="372">
        <f t="shared" si="2"/>
        <v>0</v>
      </c>
      <c r="I72" s="441"/>
    </row>
    <row r="73" spans="1:9" x14ac:dyDescent="0.35">
      <c r="A73" s="1515"/>
      <c r="B73" s="390">
        <v>53206070000000</v>
      </c>
      <c r="C73" s="391" t="s">
        <v>165</v>
      </c>
      <c r="D73" s="366"/>
      <c r="E73" s="366"/>
      <c r="F73" s="368"/>
      <c r="G73" s="369">
        <f t="shared" si="3"/>
        <v>0</v>
      </c>
      <c r="H73" s="372">
        <f t="shared" si="2"/>
        <v>0</v>
      </c>
      <c r="I73" s="441"/>
    </row>
    <row r="74" spans="1:9" x14ac:dyDescent="0.35">
      <c r="A74" s="1515"/>
      <c r="B74" s="390">
        <v>53206990000000</v>
      </c>
      <c r="C74" s="391" t="s">
        <v>166</v>
      </c>
      <c r="D74" s="366"/>
      <c r="E74" s="366"/>
      <c r="F74" s="368"/>
      <c r="G74" s="369">
        <f t="shared" si="3"/>
        <v>0</v>
      </c>
      <c r="H74" s="372">
        <f t="shared" si="2"/>
        <v>0</v>
      </c>
      <c r="I74" s="441"/>
    </row>
    <row r="75" spans="1:9" x14ac:dyDescent="0.35">
      <c r="A75" s="1515"/>
      <c r="B75" s="390">
        <v>53208030000000</v>
      </c>
      <c r="C75" s="391" t="s">
        <v>167</v>
      </c>
      <c r="D75" s="366"/>
      <c r="E75" s="366"/>
      <c r="F75" s="368"/>
      <c r="G75" s="369">
        <f t="shared" si="3"/>
        <v>0</v>
      </c>
      <c r="H75" s="372">
        <f t="shared" si="2"/>
        <v>0</v>
      </c>
      <c r="I75" s="442"/>
    </row>
    <row r="76" spans="1:9" x14ac:dyDescent="0.35">
      <c r="A76" s="1515"/>
      <c r="B76" s="390">
        <v>53212060000000</v>
      </c>
      <c r="C76" s="391" t="s">
        <v>168</v>
      </c>
      <c r="D76" s="363">
        <v>230003</v>
      </c>
      <c r="E76" s="363"/>
      <c r="F76" s="365"/>
      <c r="G76" s="369">
        <f t="shared" si="3"/>
        <v>0</v>
      </c>
      <c r="H76" s="372">
        <f t="shared" si="2"/>
        <v>230003</v>
      </c>
      <c r="I76" s="441" t="s">
        <v>434</v>
      </c>
    </row>
    <row r="77" spans="1:9" x14ac:dyDescent="0.35">
      <c r="A77" s="1515"/>
      <c r="B77" s="388"/>
      <c r="C77" s="389" t="s">
        <v>169</v>
      </c>
      <c r="D77" s="370">
        <f>SUM(D78:D79)</f>
        <v>0</v>
      </c>
      <c r="E77" s="371"/>
      <c r="F77" s="371"/>
      <c r="G77" s="370">
        <f>SUM(G78:G79)</f>
        <v>0</v>
      </c>
      <c r="H77" s="370">
        <f>SUM(H78:H79)</f>
        <v>0</v>
      </c>
      <c r="I77" s="441"/>
    </row>
    <row r="78" spans="1:9" x14ac:dyDescent="0.35">
      <c r="A78" s="1515"/>
      <c r="B78" s="390">
        <v>53210020500000</v>
      </c>
      <c r="C78" s="391" t="s">
        <v>170</v>
      </c>
      <c r="D78" s="363"/>
      <c r="E78" s="363"/>
      <c r="F78" s="365"/>
      <c r="G78" s="369">
        <f t="shared" si="3"/>
        <v>0</v>
      </c>
      <c r="H78" s="372">
        <f t="shared" si="2"/>
        <v>0</v>
      </c>
      <c r="I78" s="441"/>
    </row>
    <row r="79" spans="1:9" x14ac:dyDescent="0.35">
      <c r="A79" s="1515"/>
      <c r="B79" s="390">
        <v>53204999000000</v>
      </c>
      <c r="C79" s="391" t="s">
        <v>171</v>
      </c>
      <c r="D79" s="366"/>
      <c r="E79" s="366"/>
      <c r="F79" s="368"/>
      <c r="G79" s="369">
        <f t="shared" si="3"/>
        <v>0</v>
      </c>
      <c r="H79" s="372">
        <f t="shared" si="2"/>
        <v>0</v>
      </c>
      <c r="I79" s="441"/>
    </row>
    <row r="80" spans="1:9" x14ac:dyDescent="0.35">
      <c r="A80" s="1515"/>
      <c r="B80" s="394"/>
      <c r="C80" s="395" t="s">
        <v>12</v>
      </c>
      <c r="D80" s="373">
        <f>SUM(D11,D39)</f>
        <v>37143051.309999995</v>
      </c>
      <c r="E80" s="374"/>
      <c r="F80" s="374"/>
      <c r="G80" s="373">
        <f>SUM(G11,G39)</f>
        <v>240000</v>
      </c>
      <c r="H80" s="373">
        <f>SUM(H11,H39)</f>
        <v>37383051.309999995</v>
      </c>
      <c r="I80" s="441"/>
    </row>
    <row r="81" spans="1:9" x14ac:dyDescent="0.35">
      <c r="A81" s="1516" t="s">
        <v>72</v>
      </c>
      <c r="B81" s="1517" t="s">
        <v>95</v>
      </c>
      <c r="C81" s="1518" t="s">
        <v>96</v>
      </c>
      <c r="D81" s="1519" t="s">
        <v>97</v>
      </c>
      <c r="E81" s="1513" t="s">
        <v>98</v>
      </c>
      <c r="F81" s="1513"/>
      <c r="G81" s="1513"/>
      <c r="H81" s="1514" t="str">
        <f>+H9</f>
        <v>COSTO DIRECTO ESTIMADO 2026</v>
      </c>
      <c r="I81" s="1520" t="s">
        <v>99</v>
      </c>
    </row>
    <row r="82" spans="1:9" ht="26" x14ac:dyDescent="0.35">
      <c r="A82" s="1516"/>
      <c r="B82" s="1517"/>
      <c r="C82" s="1518"/>
      <c r="D82" s="1519"/>
      <c r="E82" s="375" t="s">
        <v>100</v>
      </c>
      <c r="F82" s="376" t="s">
        <v>101</v>
      </c>
      <c r="G82" s="377" t="s">
        <v>102</v>
      </c>
      <c r="H82" s="1514"/>
      <c r="I82" s="1520"/>
    </row>
    <row r="83" spans="1:9" x14ac:dyDescent="0.35">
      <c r="A83" s="1515" t="str">
        <f>+'B) Reajuste Tarifas y Ocupación'!A18</f>
        <v>Piscina C.R. Faro Limar</v>
      </c>
      <c r="B83" s="385"/>
      <c r="C83" s="386" t="s">
        <v>103</v>
      </c>
      <c r="D83" s="378">
        <f>SUM(D84,D89,D91)</f>
        <v>6820343.9399999995</v>
      </c>
      <c r="E83" s="379"/>
      <c r="F83" s="379"/>
      <c r="G83" s="378">
        <f>SUM(G84,G89,G91)</f>
        <v>0</v>
      </c>
      <c r="H83" s="384">
        <f>SUM(H84,H89,H91)</f>
        <v>6820343.9399999995</v>
      </c>
      <c r="I83" s="441"/>
    </row>
    <row r="84" spans="1:9" x14ac:dyDescent="0.35">
      <c r="A84" s="1515"/>
      <c r="B84" s="388"/>
      <c r="C84" s="389" t="s">
        <v>104</v>
      </c>
      <c r="D84" s="370">
        <f>SUM(D85:D88)</f>
        <v>6820343.9399999995</v>
      </c>
      <c r="E84" s="380"/>
      <c r="F84" s="380"/>
      <c r="G84" s="370">
        <f>SUM(G85:G88)</f>
        <v>0</v>
      </c>
      <c r="H84" s="370">
        <f>SUM(H85:H88)</f>
        <v>6820343.9399999995</v>
      </c>
      <c r="I84" s="441"/>
    </row>
    <row r="85" spans="1:9" x14ac:dyDescent="0.35">
      <c r="A85" s="1515"/>
      <c r="B85" s="390">
        <v>53103040100000</v>
      </c>
      <c r="C85" s="391" t="s">
        <v>105</v>
      </c>
      <c r="D85" s="381">
        <f>+'F) Remuneraciones'!M33</f>
        <v>6820343.9399999995</v>
      </c>
      <c r="E85" s="382"/>
      <c r="F85" s="382"/>
      <c r="G85" s="382"/>
      <c r="H85" s="372">
        <f>D85+G85</f>
        <v>6820343.9399999995</v>
      </c>
      <c r="I85" s="441"/>
    </row>
    <row r="86" spans="1:9" x14ac:dyDescent="0.35">
      <c r="A86" s="1515"/>
      <c r="B86" s="390">
        <v>53103050000000</v>
      </c>
      <c r="C86" s="391" t="s">
        <v>106</v>
      </c>
      <c r="D86" s="363"/>
      <c r="E86" s="364"/>
      <c r="F86" s="365"/>
      <c r="G86" s="369">
        <f>E86*F86</f>
        <v>0</v>
      </c>
      <c r="H86" s="372">
        <f>D86+G86</f>
        <v>0</v>
      </c>
      <c r="I86" s="441"/>
    </row>
    <row r="87" spans="1:9" x14ac:dyDescent="0.35">
      <c r="A87" s="1515"/>
      <c r="B87" s="390">
        <v>53103060000000</v>
      </c>
      <c r="C87" s="391" t="s">
        <v>107</v>
      </c>
      <c r="D87" s="363"/>
      <c r="E87" s="364"/>
      <c r="F87" s="365"/>
      <c r="G87" s="369">
        <f>E87*F87</f>
        <v>0</v>
      </c>
      <c r="H87" s="372">
        <f>D87+G87</f>
        <v>0</v>
      </c>
      <c r="I87" s="441"/>
    </row>
    <row r="88" spans="1:9" x14ac:dyDescent="0.35">
      <c r="A88" s="1515"/>
      <c r="B88" s="390">
        <v>53103080010000</v>
      </c>
      <c r="C88" s="391" t="s">
        <v>108</v>
      </c>
      <c r="D88" s="363"/>
      <c r="E88" s="364"/>
      <c r="F88" s="365"/>
      <c r="G88" s="369">
        <f>E88*F88</f>
        <v>0</v>
      </c>
      <c r="H88" s="372">
        <f>D88+G88</f>
        <v>0</v>
      </c>
      <c r="I88" s="441"/>
    </row>
    <row r="89" spans="1:9" x14ac:dyDescent="0.35">
      <c r="A89" s="1515"/>
      <c r="B89" s="388"/>
      <c r="C89" s="389" t="s">
        <v>109</v>
      </c>
      <c r="D89" s="370">
        <f>SUM(D90)</f>
        <v>0</v>
      </c>
      <c r="E89" s="371"/>
      <c r="F89" s="371"/>
      <c r="G89" s="383">
        <f>SUM(G90:G90)</f>
        <v>0</v>
      </c>
      <c r="H89" s="370">
        <f>SUM(H90:H90)</f>
        <v>0</v>
      </c>
      <c r="I89" s="441"/>
    </row>
    <row r="90" spans="1:9" x14ac:dyDescent="0.35">
      <c r="A90" s="1515"/>
      <c r="B90" s="390">
        <v>55201010100001</v>
      </c>
      <c r="C90" s="391" t="s">
        <v>110</v>
      </c>
      <c r="D90" s="363"/>
      <c r="E90" s="364"/>
      <c r="F90" s="365"/>
      <c r="G90" s="369">
        <f>E90*F90</f>
        <v>0</v>
      </c>
      <c r="H90" s="372">
        <f>D90+G90</f>
        <v>0</v>
      </c>
      <c r="I90" s="441"/>
    </row>
    <row r="91" spans="1:9" x14ac:dyDescent="0.35">
      <c r="A91" s="1515"/>
      <c r="B91" s="388"/>
      <c r="C91" s="389" t="s">
        <v>111</v>
      </c>
      <c r="D91" s="370">
        <f>SUM(D92:D110)</f>
        <v>0</v>
      </c>
      <c r="E91" s="371"/>
      <c r="F91" s="371"/>
      <c r="G91" s="370">
        <f>SUM(G92:G110)</f>
        <v>0</v>
      </c>
      <c r="H91" s="370">
        <f>SUM(H92:H110)</f>
        <v>0</v>
      </c>
      <c r="I91" s="441"/>
    </row>
    <row r="92" spans="1:9" x14ac:dyDescent="0.35">
      <c r="A92" s="1515"/>
      <c r="B92" s="390">
        <v>53201010100000</v>
      </c>
      <c r="C92" s="391" t="s">
        <v>112</v>
      </c>
      <c r="D92" s="363"/>
      <c r="E92" s="364"/>
      <c r="F92" s="365"/>
      <c r="G92" s="369">
        <f t="shared" ref="G92:G110" si="4">E92*F92</f>
        <v>0</v>
      </c>
      <c r="H92" s="372">
        <f t="shared" ref="H92:H110" si="5">D92+G92</f>
        <v>0</v>
      </c>
      <c r="I92" s="441"/>
    </row>
    <row r="93" spans="1:9" x14ac:dyDescent="0.35">
      <c r="A93" s="1515"/>
      <c r="B93" s="390">
        <v>53202010100000</v>
      </c>
      <c r="C93" s="391" t="s">
        <v>113</v>
      </c>
      <c r="D93" s="363"/>
      <c r="E93" s="364"/>
      <c r="F93" s="365"/>
      <c r="G93" s="369">
        <f t="shared" si="4"/>
        <v>0</v>
      </c>
      <c r="H93" s="372">
        <f t="shared" si="5"/>
        <v>0</v>
      </c>
      <c r="I93" s="441"/>
    </row>
    <row r="94" spans="1:9" x14ac:dyDescent="0.35">
      <c r="A94" s="1515"/>
      <c r="B94" s="390">
        <v>53203010100000</v>
      </c>
      <c r="C94" s="391" t="s">
        <v>114</v>
      </c>
      <c r="D94" s="366"/>
      <c r="E94" s="367"/>
      <c r="F94" s="368"/>
      <c r="G94" s="369">
        <f t="shared" si="4"/>
        <v>0</v>
      </c>
      <c r="H94" s="372">
        <f t="shared" si="5"/>
        <v>0</v>
      </c>
      <c r="I94" s="441"/>
    </row>
    <row r="95" spans="1:9" x14ac:dyDescent="0.35">
      <c r="A95" s="1515"/>
      <c r="B95" s="390">
        <v>53203030000000</v>
      </c>
      <c r="C95" s="391" t="s">
        <v>115</v>
      </c>
      <c r="D95" s="366"/>
      <c r="E95" s="367"/>
      <c r="F95" s="368"/>
      <c r="G95" s="369">
        <f t="shared" si="4"/>
        <v>0</v>
      </c>
      <c r="H95" s="372">
        <f t="shared" si="5"/>
        <v>0</v>
      </c>
      <c r="I95" s="441"/>
    </row>
    <row r="96" spans="1:9" x14ac:dyDescent="0.35">
      <c r="A96" s="1515"/>
      <c r="B96" s="390">
        <v>53204030000000</v>
      </c>
      <c r="C96" s="391" t="s">
        <v>116</v>
      </c>
      <c r="D96" s="366"/>
      <c r="E96" s="367"/>
      <c r="F96" s="368"/>
      <c r="G96" s="369">
        <f t="shared" si="4"/>
        <v>0</v>
      </c>
      <c r="H96" s="372">
        <f t="shared" si="5"/>
        <v>0</v>
      </c>
      <c r="I96" s="441"/>
    </row>
    <row r="97" spans="1:9" x14ac:dyDescent="0.35">
      <c r="A97" s="1515"/>
      <c r="B97" s="390">
        <v>53204100100001</v>
      </c>
      <c r="C97" s="391" t="s">
        <v>117</v>
      </c>
      <c r="D97" s="366"/>
      <c r="E97" s="367"/>
      <c r="F97" s="368"/>
      <c r="G97" s="369">
        <f t="shared" si="4"/>
        <v>0</v>
      </c>
      <c r="H97" s="372">
        <f t="shared" si="5"/>
        <v>0</v>
      </c>
      <c r="I97" s="442"/>
    </row>
    <row r="98" spans="1:9" x14ac:dyDescent="0.35">
      <c r="A98" s="1515"/>
      <c r="B98" s="390">
        <v>53204130100000</v>
      </c>
      <c r="C98" s="393" t="s">
        <v>118</v>
      </c>
      <c r="D98" s="366"/>
      <c r="E98" s="367"/>
      <c r="F98" s="368"/>
      <c r="G98" s="369">
        <f t="shared" si="4"/>
        <v>0</v>
      </c>
      <c r="H98" s="372">
        <f t="shared" si="5"/>
        <v>0</v>
      </c>
      <c r="I98" s="441"/>
    </row>
    <row r="99" spans="1:9" x14ac:dyDescent="0.35">
      <c r="A99" s="1515"/>
      <c r="B99" s="390">
        <v>53205010100000</v>
      </c>
      <c r="C99" s="393" t="s">
        <v>119</v>
      </c>
      <c r="D99" s="366"/>
      <c r="E99" s="367"/>
      <c r="F99" s="368"/>
      <c r="G99" s="369">
        <f t="shared" si="4"/>
        <v>0</v>
      </c>
      <c r="H99" s="372">
        <f t="shared" si="5"/>
        <v>0</v>
      </c>
      <c r="I99" s="441"/>
    </row>
    <row r="100" spans="1:9" x14ac:dyDescent="0.35">
      <c r="A100" s="1515"/>
      <c r="B100" s="390">
        <v>53205020100000</v>
      </c>
      <c r="C100" s="393" t="s">
        <v>120</v>
      </c>
      <c r="D100" s="366"/>
      <c r="E100" s="367"/>
      <c r="F100" s="368"/>
      <c r="G100" s="369">
        <f t="shared" si="4"/>
        <v>0</v>
      </c>
      <c r="H100" s="372">
        <f t="shared" si="5"/>
        <v>0</v>
      </c>
      <c r="I100" s="441"/>
    </row>
    <row r="101" spans="1:9" x14ac:dyDescent="0.35">
      <c r="A101" s="1515"/>
      <c r="B101" s="390">
        <v>53205030100000</v>
      </c>
      <c r="C101" s="393" t="s">
        <v>121</v>
      </c>
      <c r="D101" s="366"/>
      <c r="E101" s="367"/>
      <c r="F101" s="368"/>
      <c r="G101" s="369">
        <f t="shared" si="4"/>
        <v>0</v>
      </c>
      <c r="H101" s="372">
        <f t="shared" si="5"/>
        <v>0</v>
      </c>
      <c r="I101" s="441"/>
    </row>
    <row r="102" spans="1:9" x14ac:dyDescent="0.35">
      <c r="A102" s="1515"/>
      <c r="B102" s="390">
        <v>53205050100000</v>
      </c>
      <c r="C102" s="391" t="s">
        <v>122</v>
      </c>
      <c r="D102" s="366"/>
      <c r="E102" s="367"/>
      <c r="F102" s="368"/>
      <c r="G102" s="369">
        <f t="shared" si="4"/>
        <v>0</v>
      </c>
      <c r="H102" s="372">
        <f t="shared" si="5"/>
        <v>0</v>
      </c>
      <c r="I102" s="441"/>
    </row>
    <row r="103" spans="1:9" x14ac:dyDescent="0.35">
      <c r="A103" s="1515"/>
      <c r="B103" s="390">
        <v>53205060100000</v>
      </c>
      <c r="C103" s="391" t="s">
        <v>123</v>
      </c>
      <c r="D103" s="366"/>
      <c r="E103" s="367"/>
      <c r="F103" s="368"/>
      <c r="G103" s="369">
        <f t="shared" si="4"/>
        <v>0</v>
      </c>
      <c r="H103" s="372">
        <f t="shared" si="5"/>
        <v>0</v>
      </c>
      <c r="I103" s="441"/>
    </row>
    <row r="104" spans="1:9" x14ac:dyDescent="0.35">
      <c r="A104" s="1515"/>
      <c r="B104" s="390">
        <v>53205070100000</v>
      </c>
      <c r="C104" s="391" t="s">
        <v>124</v>
      </c>
      <c r="D104" s="366"/>
      <c r="E104" s="367"/>
      <c r="F104" s="368"/>
      <c r="G104" s="369">
        <f t="shared" si="4"/>
        <v>0</v>
      </c>
      <c r="H104" s="372">
        <f t="shared" si="5"/>
        <v>0</v>
      </c>
      <c r="I104" s="441"/>
    </row>
    <row r="105" spans="1:9" x14ac:dyDescent="0.35">
      <c r="A105" s="1515"/>
      <c r="B105" s="390">
        <v>53208010100000</v>
      </c>
      <c r="C105" s="391" t="s">
        <v>125</v>
      </c>
      <c r="D105" s="366"/>
      <c r="E105" s="367"/>
      <c r="F105" s="368"/>
      <c r="G105" s="369">
        <f t="shared" si="4"/>
        <v>0</v>
      </c>
      <c r="H105" s="372">
        <f t="shared" si="5"/>
        <v>0</v>
      </c>
      <c r="I105" s="441"/>
    </row>
    <row r="106" spans="1:9" x14ac:dyDescent="0.35">
      <c r="A106" s="1515"/>
      <c r="B106" s="390">
        <v>53208070100001</v>
      </c>
      <c r="C106" s="391" t="s">
        <v>126</v>
      </c>
      <c r="D106" s="366"/>
      <c r="E106" s="367"/>
      <c r="F106" s="368"/>
      <c r="G106" s="369">
        <f t="shared" si="4"/>
        <v>0</v>
      </c>
      <c r="H106" s="372">
        <f t="shared" si="5"/>
        <v>0</v>
      </c>
      <c r="I106" s="441"/>
    </row>
    <row r="107" spans="1:9" x14ac:dyDescent="0.35">
      <c r="A107" s="1515"/>
      <c r="B107" s="390">
        <v>53208100100001</v>
      </c>
      <c r="C107" s="391" t="s">
        <v>127</v>
      </c>
      <c r="D107" s="366"/>
      <c r="E107" s="367"/>
      <c r="F107" s="368"/>
      <c r="G107" s="369">
        <f t="shared" si="4"/>
        <v>0</v>
      </c>
      <c r="H107" s="372">
        <f t="shared" si="5"/>
        <v>0</v>
      </c>
      <c r="I107" s="441"/>
    </row>
    <row r="108" spans="1:9" x14ac:dyDescent="0.35">
      <c r="A108" s="1515"/>
      <c r="B108" s="390">
        <v>53211030000000</v>
      </c>
      <c r="C108" s="391" t="s">
        <v>128</v>
      </c>
      <c r="D108" s="366"/>
      <c r="E108" s="367"/>
      <c r="F108" s="368"/>
      <c r="G108" s="369">
        <f t="shared" si="4"/>
        <v>0</v>
      </c>
      <c r="H108" s="372">
        <f t="shared" si="5"/>
        <v>0</v>
      </c>
      <c r="I108" s="441"/>
    </row>
    <row r="109" spans="1:9" x14ac:dyDescent="0.35">
      <c r="A109" s="1515"/>
      <c r="B109" s="390">
        <v>53212020100000</v>
      </c>
      <c r="C109" s="391" t="s">
        <v>129</v>
      </c>
      <c r="D109" s="366"/>
      <c r="E109" s="367"/>
      <c r="F109" s="368"/>
      <c r="G109" s="369">
        <f t="shared" si="4"/>
        <v>0</v>
      </c>
      <c r="H109" s="372">
        <f t="shared" si="5"/>
        <v>0</v>
      </c>
      <c r="I109" s="441"/>
    </row>
    <row r="110" spans="1:9" x14ac:dyDescent="0.35">
      <c r="A110" s="1515"/>
      <c r="B110" s="390">
        <v>53214020000000</v>
      </c>
      <c r="C110" s="391" t="s">
        <v>130</v>
      </c>
      <c r="D110" s="363"/>
      <c r="E110" s="364"/>
      <c r="F110" s="365"/>
      <c r="G110" s="369">
        <f t="shared" si="4"/>
        <v>0</v>
      </c>
      <c r="H110" s="372">
        <f t="shared" si="5"/>
        <v>0</v>
      </c>
      <c r="I110" s="441"/>
    </row>
    <row r="111" spans="1:9" x14ac:dyDescent="0.35">
      <c r="A111" s="1515"/>
      <c r="B111" s="385"/>
      <c r="C111" s="386" t="s">
        <v>131</v>
      </c>
      <c r="D111" s="384">
        <f>SUM(D112,D117,D120,D131,D141,D149)</f>
        <v>500000</v>
      </c>
      <c r="E111" s="379"/>
      <c r="F111" s="379"/>
      <c r="G111" s="384">
        <f>SUM(G112,G117,G120,G131,G141,G149)</f>
        <v>0</v>
      </c>
      <c r="H111" s="384">
        <f>SUM(H112,H117,H120,H131,H141,H149)</f>
        <v>500000</v>
      </c>
      <c r="I111" s="441"/>
    </row>
    <row r="112" spans="1:9" x14ac:dyDescent="0.35">
      <c r="A112" s="1515"/>
      <c r="B112" s="388"/>
      <c r="C112" s="389" t="s">
        <v>132</v>
      </c>
      <c r="D112" s="370">
        <f>SUM(D113:D116)</f>
        <v>0</v>
      </c>
      <c r="E112" s="371"/>
      <c r="F112" s="371"/>
      <c r="G112" s="383">
        <f>SUM(G113:G116)</f>
        <v>0</v>
      </c>
      <c r="H112" s="383">
        <f>SUM(H113:H116)</f>
        <v>0</v>
      </c>
      <c r="I112" s="441"/>
    </row>
    <row r="113" spans="1:9" x14ac:dyDescent="0.35">
      <c r="A113" s="1515"/>
      <c r="B113" s="390">
        <v>53202020100000</v>
      </c>
      <c r="C113" s="391" t="s">
        <v>133</v>
      </c>
      <c r="D113" s="366"/>
      <c r="E113" s="367"/>
      <c r="F113" s="368"/>
      <c r="G113" s="369">
        <f>E113*F113</f>
        <v>0</v>
      </c>
      <c r="H113" s="372">
        <f>D113+G113</f>
        <v>0</v>
      </c>
      <c r="I113" s="441"/>
    </row>
    <row r="114" spans="1:9" x14ac:dyDescent="0.35">
      <c r="A114" s="1515"/>
      <c r="B114" s="390">
        <v>53202030000000</v>
      </c>
      <c r="C114" s="391" t="s">
        <v>134</v>
      </c>
      <c r="D114" s="363"/>
      <c r="E114" s="364"/>
      <c r="F114" s="365"/>
      <c r="G114" s="369">
        <f>E114*F114</f>
        <v>0</v>
      </c>
      <c r="H114" s="372">
        <f>D114+G114</f>
        <v>0</v>
      </c>
      <c r="I114" s="441"/>
    </row>
    <row r="115" spans="1:9" x14ac:dyDescent="0.35">
      <c r="A115" s="1515"/>
      <c r="B115" s="390">
        <v>53211020000000</v>
      </c>
      <c r="C115" s="391" t="s">
        <v>135</v>
      </c>
      <c r="D115" s="366"/>
      <c r="E115" s="367"/>
      <c r="F115" s="368"/>
      <c r="G115" s="369">
        <f>E115*F115</f>
        <v>0</v>
      </c>
      <c r="H115" s="372">
        <f>D115+G115</f>
        <v>0</v>
      </c>
      <c r="I115" s="441"/>
    </row>
    <row r="116" spans="1:9" x14ac:dyDescent="0.35">
      <c r="A116" s="1515"/>
      <c r="B116" s="390">
        <v>53101004030000</v>
      </c>
      <c r="C116" s="391" t="s">
        <v>136</v>
      </c>
      <c r="D116" s="363"/>
      <c r="E116" s="364"/>
      <c r="F116" s="365"/>
      <c r="G116" s="369">
        <f>E116*F116</f>
        <v>0</v>
      </c>
      <c r="H116" s="372">
        <f>D116+G116</f>
        <v>0</v>
      </c>
      <c r="I116" s="441"/>
    </row>
    <row r="117" spans="1:9" x14ac:dyDescent="0.35">
      <c r="A117" s="1515"/>
      <c r="B117" s="388"/>
      <c r="C117" s="389" t="s">
        <v>137</v>
      </c>
      <c r="D117" s="370">
        <f>SUM(D118:D119)</f>
        <v>0</v>
      </c>
      <c r="E117" s="371"/>
      <c r="F117" s="371"/>
      <c r="G117" s="383">
        <f>SUM(G118:G119)</f>
        <v>0</v>
      </c>
      <c r="H117" s="383">
        <f>SUM(H118:H119)</f>
        <v>0</v>
      </c>
      <c r="I117" s="441"/>
    </row>
    <row r="118" spans="1:9" x14ac:dyDescent="0.35">
      <c r="A118" s="1515"/>
      <c r="B118" s="390">
        <v>53205080000000</v>
      </c>
      <c r="C118" s="393" t="s">
        <v>138</v>
      </c>
      <c r="D118" s="363"/>
      <c r="E118" s="364"/>
      <c r="F118" s="365"/>
      <c r="G118" s="369">
        <f>E118*F118</f>
        <v>0</v>
      </c>
      <c r="H118" s="372">
        <f>D118+G118</f>
        <v>0</v>
      </c>
      <c r="I118" s="441"/>
    </row>
    <row r="119" spans="1:9" x14ac:dyDescent="0.35">
      <c r="A119" s="1515"/>
      <c r="B119" s="390">
        <v>53205990000000</v>
      </c>
      <c r="C119" s="391" t="s">
        <v>139</v>
      </c>
      <c r="D119" s="366"/>
      <c r="E119" s="367"/>
      <c r="F119" s="368"/>
      <c r="G119" s="369">
        <f>E119*F119</f>
        <v>0</v>
      </c>
      <c r="H119" s="372">
        <f>D119+G119</f>
        <v>0</v>
      </c>
      <c r="I119" s="441"/>
    </row>
    <row r="120" spans="1:9" x14ac:dyDescent="0.35">
      <c r="A120" s="1515"/>
      <c r="B120" s="388"/>
      <c r="C120" s="389" t="s">
        <v>140</v>
      </c>
      <c r="D120" s="370">
        <f>SUM(D121:D130)</f>
        <v>0</v>
      </c>
      <c r="E120" s="371"/>
      <c r="F120" s="371"/>
      <c r="G120" s="370">
        <f>SUM(G121:G130)</f>
        <v>0</v>
      </c>
      <c r="H120" s="370">
        <f>SUM(H121:H130)</f>
        <v>0</v>
      </c>
      <c r="I120" s="441"/>
    </row>
    <row r="121" spans="1:9" x14ac:dyDescent="0.35">
      <c r="A121" s="1515"/>
      <c r="B121" s="390">
        <v>53203010200000</v>
      </c>
      <c r="C121" s="391" t="s">
        <v>141</v>
      </c>
      <c r="D121" s="363"/>
      <c r="E121" s="363"/>
      <c r="F121" s="365"/>
      <c r="G121" s="369">
        <f t="shared" ref="G121:G130" si="6">E121*F121</f>
        <v>0</v>
      </c>
      <c r="H121" s="372">
        <f t="shared" ref="H121:H130" si="7">D121+G121</f>
        <v>0</v>
      </c>
      <c r="I121" s="441"/>
    </row>
    <row r="122" spans="1:9" x14ac:dyDescent="0.35">
      <c r="A122" s="1515"/>
      <c r="B122" s="390">
        <v>53204010000000</v>
      </c>
      <c r="C122" s="391" t="s">
        <v>142</v>
      </c>
      <c r="D122" s="366"/>
      <c r="E122" s="366"/>
      <c r="F122" s="368"/>
      <c r="G122" s="369">
        <f t="shared" si="6"/>
        <v>0</v>
      </c>
      <c r="H122" s="372">
        <f t="shared" si="7"/>
        <v>0</v>
      </c>
      <c r="I122" s="441"/>
    </row>
    <row r="123" spans="1:9" x14ac:dyDescent="0.35">
      <c r="A123" s="1515"/>
      <c r="B123" s="390">
        <v>53204040200000</v>
      </c>
      <c r="C123" s="393" t="s">
        <v>143</v>
      </c>
      <c r="D123" s="366"/>
      <c r="E123" s="366"/>
      <c r="F123" s="368"/>
      <c r="G123" s="369">
        <f t="shared" si="6"/>
        <v>0</v>
      </c>
      <c r="H123" s="372">
        <f t="shared" si="7"/>
        <v>0</v>
      </c>
      <c r="I123" s="441"/>
    </row>
    <row r="124" spans="1:9" x14ac:dyDescent="0.35">
      <c r="A124" s="1515"/>
      <c r="B124" s="390">
        <v>53204060000000</v>
      </c>
      <c r="C124" s="393" t="s">
        <v>144</v>
      </c>
      <c r="D124" s="366"/>
      <c r="E124" s="366"/>
      <c r="F124" s="368"/>
      <c r="G124" s="369">
        <f t="shared" si="6"/>
        <v>0</v>
      </c>
      <c r="H124" s="372">
        <f t="shared" si="7"/>
        <v>0</v>
      </c>
      <c r="I124" s="441"/>
    </row>
    <row r="125" spans="1:9" x14ac:dyDescent="0.35">
      <c r="A125" s="1515"/>
      <c r="B125" s="390">
        <v>53204070000000</v>
      </c>
      <c r="C125" s="393" t="s">
        <v>145</v>
      </c>
      <c r="D125" s="366"/>
      <c r="E125" s="366"/>
      <c r="F125" s="368"/>
      <c r="G125" s="369">
        <f t="shared" si="6"/>
        <v>0</v>
      </c>
      <c r="H125" s="372">
        <f t="shared" si="7"/>
        <v>0</v>
      </c>
      <c r="I125" s="441"/>
    </row>
    <row r="126" spans="1:9" x14ac:dyDescent="0.35">
      <c r="A126" s="1515"/>
      <c r="B126" s="390">
        <v>53204080000000</v>
      </c>
      <c r="C126" s="393" t="s">
        <v>146</v>
      </c>
      <c r="D126" s="366"/>
      <c r="E126" s="366"/>
      <c r="F126" s="368"/>
      <c r="G126" s="369">
        <f t="shared" si="6"/>
        <v>0</v>
      </c>
      <c r="H126" s="372">
        <f t="shared" si="7"/>
        <v>0</v>
      </c>
      <c r="I126" s="441"/>
    </row>
    <row r="127" spans="1:9" x14ac:dyDescent="0.35">
      <c r="A127" s="1515"/>
      <c r="B127" s="390">
        <v>53214010000000</v>
      </c>
      <c r="C127" s="393" t="s">
        <v>147</v>
      </c>
      <c r="D127" s="363"/>
      <c r="E127" s="363"/>
      <c r="F127" s="365"/>
      <c r="G127" s="369">
        <f t="shared" si="6"/>
        <v>0</v>
      </c>
      <c r="H127" s="372">
        <f t="shared" si="7"/>
        <v>0</v>
      </c>
      <c r="I127" s="441"/>
    </row>
    <row r="128" spans="1:9" x14ac:dyDescent="0.35">
      <c r="A128" s="1515"/>
      <c r="B128" s="390">
        <v>53214040000000</v>
      </c>
      <c r="C128" s="391" t="s">
        <v>148</v>
      </c>
      <c r="D128" s="363"/>
      <c r="E128" s="363"/>
      <c r="F128" s="365"/>
      <c r="G128" s="369">
        <f t="shared" si="6"/>
        <v>0</v>
      </c>
      <c r="H128" s="372">
        <f t="shared" si="7"/>
        <v>0</v>
      </c>
      <c r="I128" s="441"/>
    </row>
    <row r="129" spans="1:9" x14ac:dyDescent="0.35">
      <c r="A129" s="1515"/>
      <c r="B129" s="390">
        <v>55201010100004</v>
      </c>
      <c r="C129" s="391" t="s">
        <v>149</v>
      </c>
      <c r="D129" s="363"/>
      <c r="E129" s="405"/>
      <c r="F129" s="365"/>
      <c r="G129" s="369">
        <f>E129*F129</f>
        <v>0</v>
      </c>
      <c r="H129" s="372">
        <f t="shared" si="7"/>
        <v>0</v>
      </c>
      <c r="I129" s="441"/>
    </row>
    <row r="130" spans="1:9" x14ac:dyDescent="0.35">
      <c r="A130" s="1515"/>
      <c r="B130" s="390">
        <v>55201010100005</v>
      </c>
      <c r="C130" s="391" t="s">
        <v>150</v>
      </c>
      <c r="D130" s="363"/>
      <c r="E130" s="363"/>
      <c r="F130" s="365"/>
      <c r="G130" s="369">
        <f t="shared" si="6"/>
        <v>0</v>
      </c>
      <c r="H130" s="372">
        <f t="shared" si="7"/>
        <v>0</v>
      </c>
      <c r="I130" s="441"/>
    </row>
    <row r="131" spans="1:9" x14ac:dyDescent="0.35">
      <c r="A131" s="1515"/>
      <c r="B131" s="388"/>
      <c r="C131" s="389" t="s">
        <v>151</v>
      </c>
      <c r="D131" s="370">
        <f>SUM(D132:D140)</f>
        <v>0</v>
      </c>
      <c r="E131" s="371"/>
      <c r="F131" s="371"/>
      <c r="G131" s="370">
        <f>SUM(G132:G140)</f>
        <v>0</v>
      </c>
      <c r="H131" s="370">
        <f>SUM(H132:H140)</f>
        <v>0</v>
      </c>
      <c r="I131" s="441"/>
    </row>
    <row r="132" spans="1:9" x14ac:dyDescent="0.35">
      <c r="A132" s="1515"/>
      <c r="B132" s="390">
        <v>53207010000000</v>
      </c>
      <c r="C132" s="391" t="s">
        <v>152</v>
      </c>
      <c r="D132" s="366"/>
      <c r="E132" s="366"/>
      <c r="F132" s="368"/>
      <c r="G132" s="369">
        <f t="shared" ref="G132:G140" si="8">E132*F132</f>
        <v>0</v>
      </c>
      <c r="H132" s="372">
        <f t="shared" ref="H132:H140" si="9">D132+G132</f>
        <v>0</v>
      </c>
      <c r="I132" s="441"/>
    </row>
    <row r="133" spans="1:9" x14ac:dyDescent="0.35">
      <c r="A133" s="1515"/>
      <c r="B133" s="390">
        <v>53207020000000</v>
      </c>
      <c r="C133" s="391" t="s">
        <v>153</v>
      </c>
      <c r="D133" s="366"/>
      <c r="E133" s="366"/>
      <c r="F133" s="368"/>
      <c r="G133" s="369">
        <f t="shared" si="8"/>
        <v>0</v>
      </c>
      <c r="H133" s="372">
        <f t="shared" si="9"/>
        <v>0</v>
      </c>
      <c r="I133" s="441"/>
    </row>
    <row r="134" spans="1:9" x14ac:dyDescent="0.35">
      <c r="A134" s="1515"/>
      <c r="B134" s="390">
        <v>53208020000000</v>
      </c>
      <c r="C134" s="391" t="s">
        <v>154</v>
      </c>
      <c r="D134" s="366"/>
      <c r="E134" s="366"/>
      <c r="F134" s="368"/>
      <c r="G134" s="369">
        <f t="shared" si="8"/>
        <v>0</v>
      </c>
      <c r="H134" s="372">
        <f t="shared" si="9"/>
        <v>0</v>
      </c>
      <c r="I134" s="441"/>
    </row>
    <row r="135" spans="1:9" x14ac:dyDescent="0.35">
      <c r="A135" s="1515"/>
      <c r="B135" s="390">
        <v>53208990000000</v>
      </c>
      <c r="C135" s="391" t="s">
        <v>155</v>
      </c>
      <c r="D135" s="366"/>
      <c r="E135" s="366"/>
      <c r="F135" s="368"/>
      <c r="G135" s="369">
        <f t="shared" si="8"/>
        <v>0</v>
      </c>
      <c r="H135" s="372">
        <f t="shared" si="9"/>
        <v>0</v>
      </c>
      <c r="I135" s="441"/>
    </row>
    <row r="136" spans="1:9" x14ac:dyDescent="0.35">
      <c r="A136" s="1515"/>
      <c r="B136" s="390">
        <v>53209010000000</v>
      </c>
      <c r="C136" s="391" t="s">
        <v>156</v>
      </c>
      <c r="D136" s="366"/>
      <c r="E136" s="366"/>
      <c r="F136" s="368"/>
      <c r="G136" s="369">
        <f t="shared" si="8"/>
        <v>0</v>
      </c>
      <c r="H136" s="372">
        <f t="shared" si="9"/>
        <v>0</v>
      </c>
      <c r="I136" s="441"/>
    </row>
    <row r="137" spans="1:9" x14ac:dyDescent="0.35">
      <c r="A137" s="1515"/>
      <c r="B137" s="390">
        <v>53209040000000</v>
      </c>
      <c r="C137" s="391" t="s">
        <v>157</v>
      </c>
      <c r="D137" s="366"/>
      <c r="E137" s="366"/>
      <c r="F137" s="368"/>
      <c r="G137" s="369">
        <f t="shared" si="8"/>
        <v>0</v>
      </c>
      <c r="H137" s="372">
        <f t="shared" si="9"/>
        <v>0</v>
      </c>
      <c r="I137" s="441"/>
    </row>
    <row r="138" spans="1:9" x14ac:dyDescent="0.35">
      <c r="A138" s="1515"/>
      <c r="B138" s="390">
        <v>53209050000000</v>
      </c>
      <c r="C138" s="391" t="s">
        <v>158</v>
      </c>
      <c r="D138" s="366"/>
      <c r="E138" s="366"/>
      <c r="F138" s="368"/>
      <c r="G138" s="369">
        <f t="shared" si="8"/>
        <v>0</v>
      </c>
      <c r="H138" s="372">
        <f t="shared" si="9"/>
        <v>0</v>
      </c>
      <c r="I138" s="441"/>
    </row>
    <row r="139" spans="1:9" x14ac:dyDescent="0.35">
      <c r="A139" s="1515"/>
      <c r="B139" s="390">
        <v>53209990000000</v>
      </c>
      <c r="C139" s="391" t="s">
        <v>159</v>
      </c>
      <c r="D139" s="366"/>
      <c r="E139" s="366"/>
      <c r="F139" s="368"/>
      <c r="G139" s="369">
        <f t="shared" si="8"/>
        <v>0</v>
      </c>
      <c r="H139" s="372">
        <f t="shared" si="9"/>
        <v>0</v>
      </c>
      <c r="I139" s="441"/>
    </row>
    <row r="140" spans="1:9" x14ac:dyDescent="0.35">
      <c r="A140" s="1515"/>
      <c r="B140" s="390">
        <v>53210020100000</v>
      </c>
      <c r="C140" s="391" t="s">
        <v>160</v>
      </c>
      <c r="D140" s="366"/>
      <c r="E140" s="366"/>
      <c r="F140" s="368"/>
      <c r="G140" s="369">
        <f t="shared" si="8"/>
        <v>0</v>
      </c>
      <c r="H140" s="372">
        <f t="shared" si="9"/>
        <v>0</v>
      </c>
      <c r="I140" s="441"/>
    </row>
    <row r="141" spans="1:9" x14ac:dyDescent="0.35">
      <c r="A141" s="1515"/>
      <c r="B141" s="388"/>
      <c r="C141" s="389" t="s">
        <v>161</v>
      </c>
      <c r="D141" s="370">
        <f>SUM(D142:D148)</f>
        <v>500000</v>
      </c>
      <c r="E141" s="371"/>
      <c r="F141" s="371"/>
      <c r="G141" s="370">
        <f>SUM(G142:G148)</f>
        <v>0</v>
      </c>
      <c r="H141" s="370">
        <f>SUM(H142:H148)</f>
        <v>500000</v>
      </c>
      <c r="I141" s="441"/>
    </row>
    <row r="142" spans="1:9" x14ac:dyDescent="0.35">
      <c r="A142" s="1515"/>
      <c r="B142" s="390">
        <v>53206030000000</v>
      </c>
      <c r="C142" s="391" t="s">
        <v>162</v>
      </c>
      <c r="D142" s="366"/>
      <c r="E142" s="366"/>
      <c r="F142" s="368"/>
      <c r="G142" s="369">
        <f t="shared" ref="G142:G148" si="10">E142*F142</f>
        <v>0</v>
      </c>
      <c r="H142" s="372">
        <f t="shared" ref="H142:H148" si="11">D142+G142</f>
        <v>0</v>
      </c>
      <c r="I142" s="441"/>
    </row>
    <row r="143" spans="1:9" x14ac:dyDescent="0.35">
      <c r="A143" s="1515"/>
      <c r="B143" s="390">
        <v>53206040000000</v>
      </c>
      <c r="C143" s="391" t="s">
        <v>163</v>
      </c>
      <c r="D143" s="366"/>
      <c r="E143" s="366"/>
      <c r="F143" s="368"/>
      <c r="G143" s="369">
        <f t="shared" si="10"/>
        <v>0</v>
      </c>
      <c r="H143" s="372">
        <f t="shared" si="11"/>
        <v>0</v>
      </c>
      <c r="I143" s="441"/>
    </row>
    <row r="144" spans="1:9" x14ac:dyDescent="0.35">
      <c r="A144" s="1515"/>
      <c r="B144" s="390">
        <v>53206060000000</v>
      </c>
      <c r="C144" s="391" t="s">
        <v>164</v>
      </c>
      <c r="D144" s="366">
        <v>500000</v>
      </c>
      <c r="E144" s="366"/>
      <c r="F144" s="368"/>
      <c r="G144" s="369">
        <f t="shared" si="10"/>
        <v>0</v>
      </c>
      <c r="H144" s="372">
        <f t="shared" si="11"/>
        <v>500000</v>
      </c>
      <c r="I144" s="441"/>
    </row>
    <row r="145" spans="1:9" x14ac:dyDescent="0.35">
      <c r="A145" s="1515"/>
      <c r="B145" s="390">
        <v>53206070000000</v>
      </c>
      <c r="C145" s="391" t="s">
        <v>165</v>
      </c>
      <c r="D145" s="366"/>
      <c r="E145" s="366"/>
      <c r="F145" s="368"/>
      <c r="G145" s="369">
        <f t="shared" si="10"/>
        <v>0</v>
      </c>
      <c r="H145" s="372">
        <f t="shared" si="11"/>
        <v>0</v>
      </c>
      <c r="I145" s="441"/>
    </row>
    <row r="146" spans="1:9" x14ac:dyDescent="0.35">
      <c r="A146" s="1515"/>
      <c r="B146" s="390">
        <v>53206990000000</v>
      </c>
      <c r="C146" s="391" t="s">
        <v>166</v>
      </c>
      <c r="D146" s="366"/>
      <c r="E146" s="366"/>
      <c r="F146" s="368"/>
      <c r="G146" s="369">
        <f t="shared" si="10"/>
        <v>0</v>
      </c>
      <c r="H146" s="372">
        <f t="shared" si="11"/>
        <v>0</v>
      </c>
      <c r="I146" s="441"/>
    </row>
    <row r="147" spans="1:9" x14ac:dyDescent="0.35">
      <c r="A147" s="1515"/>
      <c r="B147" s="390">
        <v>53208030000000</v>
      </c>
      <c r="C147" s="391" t="s">
        <v>167</v>
      </c>
      <c r="D147" s="366"/>
      <c r="E147" s="366"/>
      <c r="F147" s="368"/>
      <c r="G147" s="369">
        <f t="shared" si="10"/>
        <v>0</v>
      </c>
      <c r="H147" s="372">
        <f t="shared" si="11"/>
        <v>0</v>
      </c>
      <c r="I147" s="441"/>
    </row>
    <row r="148" spans="1:9" x14ac:dyDescent="0.35">
      <c r="A148" s="1515"/>
      <c r="B148" s="390">
        <v>53212060000000</v>
      </c>
      <c r="C148" s="391" t="s">
        <v>168</v>
      </c>
      <c r="D148" s="363"/>
      <c r="E148" s="363"/>
      <c r="F148" s="365"/>
      <c r="G148" s="369">
        <f t="shared" si="10"/>
        <v>0</v>
      </c>
      <c r="H148" s="372">
        <f t="shared" si="11"/>
        <v>0</v>
      </c>
      <c r="I148" s="441"/>
    </row>
    <row r="149" spans="1:9" x14ac:dyDescent="0.35">
      <c r="A149" s="1515"/>
      <c r="B149" s="388"/>
      <c r="C149" s="389" t="s">
        <v>169</v>
      </c>
      <c r="D149" s="370">
        <f>SUM(D150:D151)</f>
        <v>0</v>
      </c>
      <c r="E149" s="371"/>
      <c r="F149" s="371"/>
      <c r="G149" s="370">
        <f>SUM(G150:G151)</f>
        <v>0</v>
      </c>
      <c r="H149" s="370">
        <f>SUM(H150:H151)</f>
        <v>0</v>
      </c>
      <c r="I149" s="441"/>
    </row>
    <row r="150" spans="1:9" x14ac:dyDescent="0.35">
      <c r="A150" s="1515"/>
      <c r="B150" s="390">
        <v>53210020500000</v>
      </c>
      <c r="C150" s="391" t="s">
        <v>170</v>
      </c>
      <c r="D150" s="363"/>
      <c r="E150" s="363"/>
      <c r="F150" s="365"/>
      <c r="G150" s="369">
        <f>E150*F150</f>
        <v>0</v>
      </c>
      <c r="H150" s="372">
        <f>D150+G150</f>
        <v>0</v>
      </c>
      <c r="I150" s="441"/>
    </row>
    <row r="151" spans="1:9" x14ac:dyDescent="0.35">
      <c r="A151" s="1515"/>
      <c r="B151" s="390">
        <v>53204999000000</v>
      </c>
      <c r="C151" s="391" t="s">
        <v>171</v>
      </c>
      <c r="D151" s="366"/>
      <c r="E151" s="366"/>
      <c r="F151" s="368"/>
      <c r="G151" s="369">
        <f>E151*F151</f>
        <v>0</v>
      </c>
      <c r="H151" s="372">
        <f>D151+G151</f>
        <v>0</v>
      </c>
      <c r="I151" s="441"/>
    </row>
    <row r="152" spans="1:9" x14ac:dyDescent="0.35">
      <c r="A152" s="1515"/>
      <c r="B152" s="394"/>
      <c r="C152" s="395" t="s">
        <v>12</v>
      </c>
      <c r="D152" s="373">
        <f>SUM(D83,D111)</f>
        <v>7320343.9399999995</v>
      </c>
      <c r="E152" s="374"/>
      <c r="F152" s="374"/>
      <c r="G152" s="373">
        <f>SUM(G83,G111)</f>
        <v>0</v>
      </c>
      <c r="H152" s="373">
        <f>SUM(H83,H111)</f>
        <v>7320343.9399999995</v>
      </c>
      <c r="I152" s="441"/>
    </row>
    <row r="153" spans="1:9" x14ac:dyDescent="0.35">
      <c r="A153" s="1516" t="s">
        <v>72</v>
      </c>
      <c r="B153" s="1517" t="s">
        <v>95</v>
      </c>
      <c r="C153" s="1518" t="s">
        <v>96</v>
      </c>
      <c r="D153" s="1519" t="s">
        <v>97</v>
      </c>
      <c r="E153" s="1513" t="s">
        <v>98</v>
      </c>
      <c r="F153" s="1513"/>
      <c r="G153" s="1513"/>
      <c r="H153" s="1514" t="str">
        <f>+H81</f>
        <v>COSTO DIRECTO ESTIMADO 2026</v>
      </c>
      <c r="I153" s="1513" t="s">
        <v>99</v>
      </c>
    </row>
    <row r="154" spans="1:9" ht="26" x14ac:dyDescent="0.35">
      <c r="A154" s="1516"/>
      <c r="B154" s="1517"/>
      <c r="C154" s="1518"/>
      <c r="D154" s="1519"/>
      <c r="E154" s="375" t="s">
        <v>100</v>
      </c>
      <c r="F154" s="376" t="s">
        <v>101</v>
      </c>
      <c r="G154" s="377" t="s">
        <v>102</v>
      </c>
      <c r="H154" s="1514"/>
      <c r="I154" s="1513"/>
    </row>
    <row r="155" spans="1:9" x14ac:dyDescent="0.35">
      <c r="A155" s="1515" t="str">
        <f>+'B) Reajuste Tarifas y Ocupación'!A20</f>
        <v>Cabañas Mamiña</v>
      </c>
      <c r="B155" s="385"/>
      <c r="C155" s="386" t="s">
        <v>103</v>
      </c>
      <c r="D155" s="378">
        <f>SUM(D156,D161,D163)</f>
        <v>1683059</v>
      </c>
      <c r="E155" s="379"/>
      <c r="F155" s="379"/>
      <c r="G155" s="378">
        <f>SUM(G156,G161,G163)</f>
        <v>0</v>
      </c>
      <c r="H155" s="384">
        <f>SUM(H156,H161,H163)</f>
        <v>1683059</v>
      </c>
      <c r="I155" s="387"/>
    </row>
    <row r="156" spans="1:9" x14ac:dyDescent="0.35">
      <c r="A156" s="1515"/>
      <c r="B156" s="388"/>
      <c r="C156" s="389" t="s">
        <v>104</v>
      </c>
      <c r="D156" s="370">
        <f>SUM(D157:D160)</f>
        <v>0</v>
      </c>
      <c r="E156" s="380"/>
      <c r="F156" s="380"/>
      <c r="G156" s="370">
        <f>SUM(G157:G160)</f>
        <v>0</v>
      </c>
      <c r="H156" s="370">
        <f>SUM(H157:H160)</f>
        <v>0</v>
      </c>
      <c r="I156" s="387"/>
    </row>
    <row r="157" spans="1:9" x14ac:dyDescent="0.35">
      <c r="A157" s="1515"/>
      <c r="B157" s="390">
        <v>53103040100000</v>
      </c>
      <c r="C157" s="391" t="s">
        <v>105</v>
      </c>
      <c r="D157" s="381">
        <f>+'F) Remuneraciones'!M55</f>
        <v>0</v>
      </c>
      <c r="E157" s="382"/>
      <c r="F157" s="382"/>
      <c r="G157" s="382"/>
      <c r="H157" s="372">
        <f>D157+G157</f>
        <v>0</v>
      </c>
      <c r="I157" s="387"/>
    </row>
    <row r="158" spans="1:9" x14ac:dyDescent="0.35">
      <c r="A158" s="1515"/>
      <c r="B158" s="390">
        <v>53103050000000</v>
      </c>
      <c r="C158" s="391" t="s">
        <v>106</v>
      </c>
      <c r="D158" s="363"/>
      <c r="E158" s="364"/>
      <c r="F158" s="365"/>
      <c r="G158" s="369">
        <f>E158*F158</f>
        <v>0</v>
      </c>
      <c r="H158" s="372">
        <f>D158+G158</f>
        <v>0</v>
      </c>
      <c r="I158" s="387"/>
    </row>
    <row r="159" spans="1:9" x14ac:dyDescent="0.35">
      <c r="A159" s="1515"/>
      <c r="B159" s="390">
        <v>53103060000000</v>
      </c>
      <c r="C159" s="391" t="s">
        <v>107</v>
      </c>
      <c r="D159" s="363"/>
      <c r="E159" s="364"/>
      <c r="F159" s="365"/>
      <c r="G159" s="369">
        <f>E159*F159</f>
        <v>0</v>
      </c>
      <c r="H159" s="372">
        <f>D159+G159</f>
        <v>0</v>
      </c>
      <c r="I159" s="387"/>
    </row>
    <row r="160" spans="1:9" x14ac:dyDescent="0.35">
      <c r="A160" s="1515"/>
      <c r="B160" s="390">
        <v>53103080010000</v>
      </c>
      <c r="C160" s="391" t="s">
        <v>108</v>
      </c>
      <c r="D160" s="363"/>
      <c r="E160" s="364"/>
      <c r="F160" s="365"/>
      <c r="G160" s="369">
        <f>E160*F160</f>
        <v>0</v>
      </c>
      <c r="H160" s="372">
        <f>D160+G160</f>
        <v>0</v>
      </c>
      <c r="I160" s="387"/>
    </row>
    <row r="161" spans="1:9" x14ac:dyDescent="0.35">
      <c r="A161" s="1515"/>
      <c r="B161" s="388"/>
      <c r="C161" s="389" t="s">
        <v>109</v>
      </c>
      <c r="D161" s="370">
        <f>SUM(D162)</f>
        <v>0</v>
      </c>
      <c r="E161" s="371"/>
      <c r="F161" s="371"/>
      <c r="G161" s="383">
        <f>SUM(G162:G162)</f>
        <v>0</v>
      </c>
      <c r="H161" s="370">
        <f>SUM(H162:H162)</f>
        <v>0</v>
      </c>
      <c r="I161" s="387"/>
    </row>
    <row r="162" spans="1:9" x14ac:dyDescent="0.35">
      <c r="A162" s="1515"/>
      <c r="B162" s="390">
        <v>55201010100001</v>
      </c>
      <c r="C162" s="391" t="s">
        <v>110</v>
      </c>
      <c r="D162" s="363"/>
      <c r="E162" s="364"/>
      <c r="F162" s="365"/>
      <c r="G162" s="369">
        <f>E162*F162</f>
        <v>0</v>
      </c>
      <c r="H162" s="372">
        <f>D162+G162</f>
        <v>0</v>
      </c>
      <c r="I162" s="387"/>
    </row>
    <row r="163" spans="1:9" x14ac:dyDescent="0.35">
      <c r="A163" s="1515"/>
      <c r="B163" s="388"/>
      <c r="C163" s="389" t="s">
        <v>111</v>
      </c>
      <c r="D163" s="370">
        <f>SUM(D164:D182)</f>
        <v>1683059</v>
      </c>
      <c r="E163" s="371"/>
      <c r="F163" s="371"/>
      <c r="G163" s="370">
        <f>SUM(G164:G182)</f>
        <v>0</v>
      </c>
      <c r="H163" s="370">
        <f>SUM(H164:H182)</f>
        <v>1683059</v>
      </c>
      <c r="I163" s="387"/>
    </row>
    <row r="164" spans="1:9" x14ac:dyDescent="0.35">
      <c r="A164" s="1515"/>
      <c r="B164" s="390">
        <v>53201010100000</v>
      </c>
      <c r="C164" s="391" t="s">
        <v>112</v>
      </c>
      <c r="D164" s="363"/>
      <c r="E164" s="364"/>
      <c r="F164" s="365"/>
      <c r="G164" s="369">
        <f t="shared" ref="G164:G182" si="12">E164*F164</f>
        <v>0</v>
      </c>
      <c r="H164" s="372">
        <f t="shared" ref="H164:H182" si="13">D164+G164</f>
        <v>0</v>
      </c>
      <c r="I164" s="387"/>
    </row>
    <row r="165" spans="1:9" x14ac:dyDescent="0.35">
      <c r="A165" s="1515"/>
      <c r="B165" s="390">
        <v>53202010100000</v>
      </c>
      <c r="C165" s="391" t="s">
        <v>113</v>
      </c>
      <c r="D165" s="363">
        <v>200000</v>
      </c>
      <c r="E165" s="364"/>
      <c r="F165" s="365"/>
      <c r="G165" s="369">
        <f t="shared" si="12"/>
        <v>0</v>
      </c>
      <c r="H165" s="372">
        <f t="shared" si="13"/>
        <v>200000</v>
      </c>
      <c r="I165" s="387"/>
    </row>
    <row r="166" spans="1:9" x14ac:dyDescent="0.35">
      <c r="A166" s="1515"/>
      <c r="B166" s="390">
        <v>53203010100000</v>
      </c>
      <c r="C166" s="391" t="s">
        <v>114</v>
      </c>
      <c r="D166" s="366"/>
      <c r="E166" s="367"/>
      <c r="F166" s="368"/>
      <c r="G166" s="369">
        <f t="shared" si="12"/>
        <v>0</v>
      </c>
      <c r="H166" s="372">
        <f t="shared" si="13"/>
        <v>0</v>
      </c>
      <c r="I166" s="387"/>
    </row>
    <row r="167" spans="1:9" x14ac:dyDescent="0.35">
      <c r="A167" s="1515"/>
      <c r="B167" s="390">
        <v>53203030000000</v>
      </c>
      <c r="C167" s="391" t="s">
        <v>115</v>
      </c>
      <c r="D167" s="366"/>
      <c r="E167" s="367"/>
      <c r="F167" s="368"/>
      <c r="G167" s="369">
        <f t="shared" si="12"/>
        <v>0</v>
      </c>
      <c r="H167" s="372">
        <f t="shared" si="13"/>
        <v>0</v>
      </c>
      <c r="I167" s="387"/>
    </row>
    <row r="168" spans="1:9" x14ac:dyDescent="0.35">
      <c r="A168" s="1515"/>
      <c r="B168" s="390">
        <v>53204030000000</v>
      </c>
      <c r="C168" s="391" t="s">
        <v>116</v>
      </c>
      <c r="D168" s="366"/>
      <c r="E168" s="367"/>
      <c r="F168" s="368"/>
      <c r="G168" s="369">
        <f t="shared" si="12"/>
        <v>0</v>
      </c>
      <c r="H168" s="372">
        <f t="shared" si="13"/>
        <v>0</v>
      </c>
      <c r="I168" s="387"/>
    </row>
    <row r="169" spans="1:9" x14ac:dyDescent="0.35">
      <c r="A169" s="1515"/>
      <c r="B169" s="390">
        <v>53204100100001</v>
      </c>
      <c r="C169" s="391" t="s">
        <v>117</v>
      </c>
      <c r="D169" s="366">
        <v>877346</v>
      </c>
      <c r="E169" s="367"/>
      <c r="F169" s="368"/>
      <c r="G169" s="369">
        <f t="shared" si="12"/>
        <v>0</v>
      </c>
      <c r="H169" s="372">
        <f t="shared" si="13"/>
        <v>877346</v>
      </c>
      <c r="I169" s="387"/>
    </row>
    <row r="170" spans="1:9" x14ac:dyDescent="0.35">
      <c r="A170" s="1515"/>
      <c r="B170" s="390">
        <v>53204130100000</v>
      </c>
      <c r="C170" s="393" t="s">
        <v>118</v>
      </c>
      <c r="D170" s="366"/>
      <c r="E170" s="367"/>
      <c r="F170" s="368"/>
      <c r="G170" s="369">
        <f t="shared" si="12"/>
        <v>0</v>
      </c>
      <c r="H170" s="372">
        <f t="shared" si="13"/>
        <v>0</v>
      </c>
      <c r="I170" s="387"/>
    </row>
    <row r="171" spans="1:9" x14ac:dyDescent="0.35">
      <c r="A171" s="1515"/>
      <c r="B171" s="390">
        <v>53205010100000</v>
      </c>
      <c r="C171" s="393" t="s">
        <v>119</v>
      </c>
      <c r="D171" s="366">
        <v>150000</v>
      </c>
      <c r="E171" s="367"/>
      <c r="F171" s="368"/>
      <c r="G171" s="369">
        <f t="shared" si="12"/>
        <v>0</v>
      </c>
      <c r="H171" s="372">
        <f t="shared" si="13"/>
        <v>150000</v>
      </c>
      <c r="I171" s="387"/>
    </row>
    <row r="172" spans="1:9" x14ac:dyDescent="0.35">
      <c r="A172" s="1515"/>
      <c r="B172" s="390">
        <v>53205020100000</v>
      </c>
      <c r="C172" s="393" t="s">
        <v>120</v>
      </c>
      <c r="D172" s="366">
        <v>10000</v>
      </c>
      <c r="E172" s="367"/>
      <c r="F172" s="368"/>
      <c r="G172" s="369">
        <f t="shared" si="12"/>
        <v>0</v>
      </c>
      <c r="H172" s="372">
        <f t="shared" si="13"/>
        <v>10000</v>
      </c>
      <c r="I172" s="387"/>
    </row>
    <row r="173" spans="1:9" x14ac:dyDescent="0.35">
      <c r="A173" s="1515"/>
      <c r="B173" s="390">
        <v>53205030100000</v>
      </c>
      <c r="C173" s="393" t="s">
        <v>121</v>
      </c>
      <c r="D173" s="366"/>
      <c r="E173" s="367"/>
      <c r="F173" s="368"/>
      <c r="G173" s="369">
        <f t="shared" si="12"/>
        <v>0</v>
      </c>
      <c r="H173" s="372">
        <f t="shared" si="13"/>
        <v>0</v>
      </c>
      <c r="I173" s="387"/>
    </row>
    <row r="174" spans="1:9" x14ac:dyDescent="0.35">
      <c r="A174" s="1515"/>
      <c r="B174" s="390">
        <v>53205050100000</v>
      </c>
      <c r="C174" s="393" t="s">
        <v>122</v>
      </c>
      <c r="D174" s="366"/>
      <c r="E174" s="367"/>
      <c r="F174" s="368"/>
      <c r="G174" s="369">
        <f t="shared" si="12"/>
        <v>0</v>
      </c>
      <c r="H174" s="372">
        <f t="shared" si="13"/>
        <v>0</v>
      </c>
      <c r="I174" s="387"/>
    </row>
    <row r="175" spans="1:9" x14ac:dyDescent="0.35">
      <c r="A175" s="1515"/>
      <c r="B175" s="390">
        <v>53205060100000</v>
      </c>
      <c r="C175" s="391" t="s">
        <v>123</v>
      </c>
      <c r="D175" s="366"/>
      <c r="E175" s="367"/>
      <c r="F175" s="368"/>
      <c r="G175" s="369">
        <f t="shared" si="12"/>
        <v>0</v>
      </c>
      <c r="H175" s="372">
        <f>D175+G175</f>
        <v>0</v>
      </c>
      <c r="I175" s="387"/>
    </row>
    <row r="176" spans="1:9" x14ac:dyDescent="0.35">
      <c r="A176" s="1515"/>
      <c r="B176" s="390">
        <v>53205070100000</v>
      </c>
      <c r="C176" s="391" t="s">
        <v>124</v>
      </c>
      <c r="D176" s="366"/>
      <c r="E176" s="367"/>
      <c r="F176" s="368"/>
      <c r="G176" s="369">
        <f t="shared" si="12"/>
        <v>0</v>
      </c>
      <c r="H176" s="372">
        <f t="shared" si="13"/>
        <v>0</v>
      </c>
      <c r="I176" s="387"/>
    </row>
    <row r="177" spans="1:9" x14ac:dyDescent="0.35">
      <c r="A177" s="1515"/>
      <c r="B177" s="390">
        <v>53208010100000</v>
      </c>
      <c r="C177" s="391" t="s">
        <v>125</v>
      </c>
      <c r="D177" s="366"/>
      <c r="E177" s="367"/>
      <c r="F177" s="368"/>
      <c r="G177" s="369">
        <f t="shared" si="12"/>
        <v>0</v>
      </c>
      <c r="H177" s="372">
        <f t="shared" si="13"/>
        <v>0</v>
      </c>
      <c r="I177" s="387"/>
    </row>
    <row r="178" spans="1:9" x14ac:dyDescent="0.35">
      <c r="A178" s="1515"/>
      <c r="B178" s="390">
        <v>53208070100001</v>
      </c>
      <c r="C178" s="391" t="s">
        <v>126</v>
      </c>
      <c r="D178" s="366"/>
      <c r="E178" s="367"/>
      <c r="F178" s="368"/>
      <c r="G178" s="369">
        <f t="shared" si="12"/>
        <v>0</v>
      </c>
      <c r="H178" s="372">
        <f t="shared" si="13"/>
        <v>0</v>
      </c>
      <c r="I178" s="387"/>
    </row>
    <row r="179" spans="1:9" x14ac:dyDescent="0.35">
      <c r="A179" s="1515"/>
      <c r="B179" s="390">
        <v>53208100100001</v>
      </c>
      <c r="C179" s="391" t="s">
        <v>127</v>
      </c>
      <c r="D179" s="366"/>
      <c r="E179" s="367"/>
      <c r="F179" s="368"/>
      <c r="G179" s="369">
        <f t="shared" si="12"/>
        <v>0</v>
      </c>
      <c r="H179" s="372">
        <f t="shared" si="13"/>
        <v>0</v>
      </c>
      <c r="I179" s="387"/>
    </row>
    <row r="180" spans="1:9" x14ac:dyDescent="0.35">
      <c r="A180" s="1515"/>
      <c r="B180" s="390">
        <v>53211030000000</v>
      </c>
      <c r="C180" s="391" t="s">
        <v>128</v>
      </c>
      <c r="D180" s="366"/>
      <c r="E180" s="367"/>
      <c r="F180" s="368"/>
      <c r="G180" s="369">
        <f t="shared" si="12"/>
        <v>0</v>
      </c>
      <c r="H180" s="372">
        <f t="shared" si="13"/>
        <v>0</v>
      </c>
      <c r="I180" s="387"/>
    </row>
    <row r="181" spans="1:9" x14ac:dyDescent="0.35">
      <c r="A181" s="1515"/>
      <c r="B181" s="390">
        <v>53212020100000</v>
      </c>
      <c r="C181" s="391" t="s">
        <v>129</v>
      </c>
      <c r="D181" s="366">
        <v>445713</v>
      </c>
      <c r="E181" s="367"/>
      <c r="F181" s="368"/>
      <c r="G181" s="369">
        <f t="shared" si="12"/>
        <v>0</v>
      </c>
      <c r="H181" s="372">
        <f t="shared" si="13"/>
        <v>445713</v>
      </c>
      <c r="I181" s="396"/>
    </row>
    <row r="182" spans="1:9" x14ac:dyDescent="0.35">
      <c r="A182" s="1515"/>
      <c r="B182" s="390">
        <v>53214020000000</v>
      </c>
      <c r="C182" s="391" t="s">
        <v>130</v>
      </c>
      <c r="D182" s="363"/>
      <c r="E182" s="364"/>
      <c r="F182" s="365"/>
      <c r="G182" s="369">
        <f t="shared" si="12"/>
        <v>0</v>
      </c>
      <c r="H182" s="372">
        <f t="shared" si="13"/>
        <v>0</v>
      </c>
      <c r="I182" s="387"/>
    </row>
    <row r="183" spans="1:9" x14ac:dyDescent="0.35">
      <c r="A183" s="1515"/>
      <c r="B183" s="385"/>
      <c r="C183" s="386" t="s">
        <v>131</v>
      </c>
      <c r="D183" s="384">
        <f>SUM(D184,D189,D192,D203,D213,D221)</f>
        <v>648761</v>
      </c>
      <c r="E183" s="379"/>
      <c r="F183" s="379"/>
      <c r="G183" s="384">
        <f>SUM(G184,G189,G192,G203,G213,G221)</f>
        <v>0</v>
      </c>
      <c r="H183" s="384">
        <f>SUM(H184,H189,H192,H203,H213,H221)</f>
        <v>648761</v>
      </c>
      <c r="I183" s="387"/>
    </row>
    <row r="184" spans="1:9" x14ac:dyDescent="0.35">
      <c r="A184" s="1515"/>
      <c r="B184" s="388"/>
      <c r="C184" s="389" t="s">
        <v>132</v>
      </c>
      <c r="D184" s="370">
        <f>SUM(D185:D188)</f>
        <v>177814</v>
      </c>
      <c r="E184" s="371"/>
      <c r="F184" s="371"/>
      <c r="G184" s="383">
        <f>SUM(G185:G188)</f>
        <v>0</v>
      </c>
      <c r="H184" s="383">
        <f>SUM(H185:H188)</f>
        <v>177814</v>
      </c>
      <c r="I184" s="387"/>
    </row>
    <row r="185" spans="1:9" x14ac:dyDescent="0.35">
      <c r="A185" s="1515"/>
      <c r="B185" s="390">
        <v>53202020100000</v>
      </c>
      <c r="C185" s="391" t="s">
        <v>133</v>
      </c>
      <c r="D185" s="366"/>
      <c r="E185" s="367"/>
      <c r="F185" s="368"/>
      <c r="G185" s="369">
        <f>E185*F185</f>
        <v>0</v>
      </c>
      <c r="H185" s="372">
        <f>D185+G185</f>
        <v>0</v>
      </c>
      <c r="I185" s="387"/>
    </row>
    <row r="186" spans="1:9" x14ac:dyDescent="0.35">
      <c r="A186" s="1515"/>
      <c r="B186" s="390">
        <v>53202030000000</v>
      </c>
      <c r="C186" s="391" t="s">
        <v>134</v>
      </c>
      <c r="D186" s="363"/>
      <c r="E186" s="364"/>
      <c r="F186" s="365"/>
      <c r="G186" s="369">
        <f>E186*F186</f>
        <v>0</v>
      </c>
      <c r="H186" s="372">
        <f>D186+G186</f>
        <v>0</v>
      </c>
      <c r="I186" s="387"/>
    </row>
    <row r="187" spans="1:9" x14ac:dyDescent="0.35">
      <c r="A187" s="1515"/>
      <c r="B187" s="390">
        <v>53211020000000</v>
      </c>
      <c r="C187" s="391" t="s">
        <v>135</v>
      </c>
      <c r="D187" s="366"/>
      <c r="E187" s="367"/>
      <c r="F187" s="368"/>
      <c r="G187" s="369">
        <f>E187*F187</f>
        <v>0</v>
      </c>
      <c r="H187" s="372">
        <f>D187+G187</f>
        <v>0</v>
      </c>
      <c r="I187" s="387"/>
    </row>
    <row r="188" spans="1:9" x14ac:dyDescent="0.35">
      <c r="A188" s="1515"/>
      <c r="B188" s="390">
        <v>53101004030000</v>
      </c>
      <c r="C188" s="391" t="s">
        <v>136</v>
      </c>
      <c r="D188" s="363">
        <v>177814</v>
      </c>
      <c r="E188" s="364"/>
      <c r="F188" s="365"/>
      <c r="G188" s="369">
        <f>E188*F188</f>
        <v>0</v>
      </c>
      <c r="H188" s="372">
        <f>D188+G188</f>
        <v>177814</v>
      </c>
      <c r="I188" s="387"/>
    </row>
    <row r="189" spans="1:9" x14ac:dyDescent="0.35">
      <c r="A189" s="1515"/>
      <c r="B189" s="388"/>
      <c r="C189" s="389" t="s">
        <v>137</v>
      </c>
      <c r="D189" s="370">
        <f>SUM(D190:D191)</f>
        <v>470947</v>
      </c>
      <c r="E189" s="371"/>
      <c r="F189" s="371"/>
      <c r="G189" s="383">
        <f>SUM(G190:G191)</f>
        <v>0</v>
      </c>
      <c r="H189" s="383">
        <f>SUM(H190:H191)</f>
        <v>470947</v>
      </c>
      <c r="I189" s="387"/>
    </row>
    <row r="190" spans="1:9" x14ac:dyDescent="0.35">
      <c r="A190" s="1515"/>
      <c r="B190" s="390">
        <v>53205080000000</v>
      </c>
      <c r="C190" s="393" t="s">
        <v>138</v>
      </c>
      <c r="D190" s="363">
        <v>470947</v>
      </c>
      <c r="E190" s="364"/>
      <c r="F190" s="365"/>
      <c r="G190" s="369">
        <f>E190*F190</f>
        <v>0</v>
      </c>
      <c r="H190" s="372">
        <f>D190+G190</f>
        <v>470947</v>
      </c>
      <c r="I190" s="387"/>
    </row>
    <row r="191" spans="1:9" x14ac:dyDescent="0.35">
      <c r="A191" s="1515"/>
      <c r="B191" s="390">
        <v>53205990000000</v>
      </c>
      <c r="C191" s="391" t="s">
        <v>139</v>
      </c>
      <c r="D191" s="366"/>
      <c r="E191" s="367"/>
      <c r="F191" s="368"/>
      <c r="G191" s="369">
        <f>E191*F191</f>
        <v>0</v>
      </c>
      <c r="H191" s="372">
        <f>D191+G191</f>
        <v>0</v>
      </c>
      <c r="I191" s="387"/>
    </row>
    <row r="192" spans="1:9" x14ac:dyDescent="0.35">
      <c r="A192" s="1515"/>
      <c r="B192" s="388"/>
      <c r="C192" s="389" t="s">
        <v>140</v>
      </c>
      <c r="D192" s="370">
        <f>SUM(D193:D202)</f>
        <v>0</v>
      </c>
      <c r="E192" s="371"/>
      <c r="F192" s="371"/>
      <c r="G192" s="370">
        <f>SUM(G193:G202)</f>
        <v>0</v>
      </c>
      <c r="H192" s="370">
        <f>SUM(H193:H202)</f>
        <v>0</v>
      </c>
      <c r="I192" s="387"/>
    </row>
    <row r="193" spans="1:9" x14ac:dyDescent="0.35">
      <c r="A193" s="1515"/>
      <c r="B193" s="390">
        <v>53203010200000</v>
      </c>
      <c r="C193" s="391" t="s">
        <v>141</v>
      </c>
      <c r="D193" s="363"/>
      <c r="E193" s="363"/>
      <c r="F193" s="365"/>
      <c r="G193" s="369">
        <f t="shared" ref="G193:G202" si="14">E193*F193</f>
        <v>0</v>
      </c>
      <c r="H193" s="372">
        <f t="shared" ref="H193:H202" si="15">D193+G193</f>
        <v>0</v>
      </c>
      <c r="I193" s="387"/>
    </row>
    <row r="194" spans="1:9" x14ac:dyDescent="0.35">
      <c r="A194" s="1515"/>
      <c r="B194" s="390">
        <v>53204010000000</v>
      </c>
      <c r="C194" s="391" t="s">
        <v>142</v>
      </c>
      <c r="D194" s="366"/>
      <c r="E194" s="366"/>
      <c r="F194" s="368"/>
      <c r="G194" s="369">
        <f t="shared" si="14"/>
        <v>0</v>
      </c>
      <c r="H194" s="372">
        <f t="shared" si="15"/>
        <v>0</v>
      </c>
      <c r="I194" s="387"/>
    </row>
    <row r="195" spans="1:9" x14ac:dyDescent="0.35">
      <c r="A195" s="1515"/>
      <c r="B195" s="390">
        <v>53204040200000</v>
      </c>
      <c r="C195" s="393" t="s">
        <v>143</v>
      </c>
      <c r="D195" s="366"/>
      <c r="E195" s="366"/>
      <c r="F195" s="368"/>
      <c r="G195" s="369">
        <f t="shared" si="14"/>
        <v>0</v>
      </c>
      <c r="H195" s="372">
        <f t="shared" si="15"/>
        <v>0</v>
      </c>
      <c r="I195" s="387"/>
    </row>
    <row r="196" spans="1:9" x14ac:dyDescent="0.35">
      <c r="A196" s="1515"/>
      <c r="B196" s="390">
        <v>53204060000000</v>
      </c>
      <c r="C196" s="393" t="s">
        <v>144</v>
      </c>
      <c r="D196" s="366"/>
      <c r="E196" s="366"/>
      <c r="F196" s="368"/>
      <c r="G196" s="369">
        <f t="shared" si="14"/>
        <v>0</v>
      </c>
      <c r="H196" s="372">
        <f t="shared" si="15"/>
        <v>0</v>
      </c>
      <c r="I196" s="387"/>
    </row>
    <row r="197" spans="1:9" x14ac:dyDescent="0.35">
      <c r="A197" s="1515"/>
      <c r="B197" s="390">
        <v>53204070000000</v>
      </c>
      <c r="C197" s="393" t="s">
        <v>145</v>
      </c>
      <c r="D197" s="366"/>
      <c r="E197" s="366"/>
      <c r="F197" s="368"/>
      <c r="G197" s="369">
        <f t="shared" si="14"/>
        <v>0</v>
      </c>
      <c r="H197" s="372">
        <f t="shared" si="15"/>
        <v>0</v>
      </c>
      <c r="I197" s="387"/>
    </row>
    <row r="198" spans="1:9" x14ac:dyDescent="0.35">
      <c r="A198" s="1515"/>
      <c r="B198" s="390">
        <v>53204080000000</v>
      </c>
      <c r="C198" s="393" t="s">
        <v>146</v>
      </c>
      <c r="D198" s="366"/>
      <c r="E198" s="366"/>
      <c r="F198" s="368"/>
      <c r="G198" s="369">
        <f t="shared" si="14"/>
        <v>0</v>
      </c>
      <c r="H198" s="372">
        <f t="shared" si="15"/>
        <v>0</v>
      </c>
      <c r="I198" s="387"/>
    </row>
    <row r="199" spans="1:9" x14ac:dyDescent="0.35">
      <c r="A199" s="1515"/>
      <c r="B199" s="390">
        <v>53214010000000</v>
      </c>
      <c r="C199" s="393" t="s">
        <v>147</v>
      </c>
      <c r="D199" s="363"/>
      <c r="E199" s="363"/>
      <c r="F199" s="365"/>
      <c r="G199" s="369">
        <f t="shared" si="14"/>
        <v>0</v>
      </c>
      <c r="H199" s="372">
        <f t="shared" si="15"/>
        <v>0</v>
      </c>
      <c r="I199" s="387"/>
    </row>
    <row r="200" spans="1:9" x14ac:dyDescent="0.35">
      <c r="A200" s="1515"/>
      <c r="B200" s="390">
        <v>53214040000000</v>
      </c>
      <c r="C200" s="391" t="s">
        <v>148</v>
      </c>
      <c r="D200" s="363"/>
      <c r="E200" s="363"/>
      <c r="F200" s="365"/>
      <c r="G200" s="369">
        <f t="shared" si="14"/>
        <v>0</v>
      </c>
      <c r="H200" s="372">
        <f t="shared" si="15"/>
        <v>0</v>
      </c>
      <c r="I200" s="387"/>
    </row>
    <row r="201" spans="1:9" x14ac:dyDescent="0.35">
      <c r="A201" s="1515"/>
      <c r="B201" s="390">
        <v>55201010100004</v>
      </c>
      <c r="C201" s="391" t="s">
        <v>149</v>
      </c>
      <c r="D201" s="363"/>
      <c r="E201" s="405"/>
      <c r="F201" s="365"/>
      <c r="G201" s="369">
        <f>E201*F201</f>
        <v>0</v>
      </c>
      <c r="H201" s="372">
        <f t="shared" si="15"/>
        <v>0</v>
      </c>
      <c r="I201" s="387"/>
    </row>
    <row r="202" spans="1:9" x14ac:dyDescent="0.35">
      <c r="A202" s="1515"/>
      <c r="B202" s="390">
        <v>55201010100005</v>
      </c>
      <c r="C202" s="391" t="s">
        <v>150</v>
      </c>
      <c r="D202" s="363"/>
      <c r="E202" s="363"/>
      <c r="F202" s="365"/>
      <c r="G202" s="369">
        <f t="shared" si="14"/>
        <v>0</v>
      </c>
      <c r="H202" s="372">
        <f t="shared" si="15"/>
        <v>0</v>
      </c>
      <c r="I202" s="387"/>
    </row>
    <row r="203" spans="1:9" x14ac:dyDescent="0.35">
      <c r="A203" s="1515"/>
      <c r="B203" s="388"/>
      <c r="C203" s="389" t="s">
        <v>151</v>
      </c>
      <c r="D203" s="370">
        <f>SUM(D204:D212)</f>
        <v>0</v>
      </c>
      <c r="E203" s="371"/>
      <c r="F203" s="371"/>
      <c r="G203" s="370">
        <f>SUM(G204:G212)</f>
        <v>0</v>
      </c>
      <c r="H203" s="370">
        <f>SUM(H204:H212)</f>
        <v>0</v>
      </c>
      <c r="I203" s="387"/>
    </row>
    <row r="204" spans="1:9" x14ac:dyDescent="0.35">
      <c r="A204" s="1515"/>
      <c r="B204" s="390">
        <v>53207010000000</v>
      </c>
      <c r="C204" s="391" t="s">
        <v>152</v>
      </c>
      <c r="D204" s="366"/>
      <c r="E204" s="366"/>
      <c r="F204" s="368"/>
      <c r="G204" s="369">
        <f t="shared" ref="G204:G212" si="16">E204*F204</f>
        <v>0</v>
      </c>
      <c r="H204" s="372">
        <f t="shared" ref="H204:H212" si="17">D204+G204</f>
        <v>0</v>
      </c>
      <c r="I204" s="387"/>
    </row>
    <row r="205" spans="1:9" x14ac:dyDescent="0.35">
      <c r="A205" s="1515"/>
      <c r="B205" s="390">
        <v>53207020000000</v>
      </c>
      <c r="C205" s="391" t="s">
        <v>153</v>
      </c>
      <c r="D205" s="366"/>
      <c r="E205" s="366"/>
      <c r="F205" s="368"/>
      <c r="G205" s="369">
        <f t="shared" si="16"/>
        <v>0</v>
      </c>
      <c r="H205" s="372">
        <f t="shared" si="17"/>
        <v>0</v>
      </c>
      <c r="I205" s="387"/>
    </row>
    <row r="206" spans="1:9" x14ac:dyDescent="0.35">
      <c r="A206" s="1515"/>
      <c r="B206" s="390">
        <v>53208020000000</v>
      </c>
      <c r="C206" s="391" t="s">
        <v>154</v>
      </c>
      <c r="D206" s="366"/>
      <c r="E206" s="366"/>
      <c r="F206" s="368"/>
      <c r="G206" s="369">
        <f t="shared" si="16"/>
        <v>0</v>
      </c>
      <c r="H206" s="372">
        <f t="shared" si="17"/>
        <v>0</v>
      </c>
      <c r="I206" s="387"/>
    </row>
    <row r="207" spans="1:9" x14ac:dyDescent="0.35">
      <c r="A207" s="1515"/>
      <c r="B207" s="390">
        <v>53208990000000</v>
      </c>
      <c r="C207" s="391" t="s">
        <v>155</v>
      </c>
      <c r="D207" s="366"/>
      <c r="E207" s="366"/>
      <c r="F207" s="368"/>
      <c r="G207" s="369">
        <f t="shared" si="16"/>
        <v>0</v>
      </c>
      <c r="H207" s="372">
        <f t="shared" si="17"/>
        <v>0</v>
      </c>
      <c r="I207" s="387"/>
    </row>
    <row r="208" spans="1:9" x14ac:dyDescent="0.35">
      <c r="A208" s="1515"/>
      <c r="B208" s="390">
        <v>53209010000000</v>
      </c>
      <c r="C208" s="391" t="s">
        <v>156</v>
      </c>
      <c r="D208" s="366"/>
      <c r="E208" s="366"/>
      <c r="F208" s="368"/>
      <c r="G208" s="369">
        <f t="shared" si="16"/>
        <v>0</v>
      </c>
      <c r="H208" s="372">
        <f t="shared" si="17"/>
        <v>0</v>
      </c>
      <c r="I208" s="387"/>
    </row>
    <row r="209" spans="1:9" x14ac:dyDescent="0.35">
      <c r="A209" s="1515"/>
      <c r="B209" s="390">
        <v>53209040000000</v>
      </c>
      <c r="C209" s="391" t="s">
        <v>157</v>
      </c>
      <c r="D209" s="366"/>
      <c r="E209" s="366"/>
      <c r="F209" s="368"/>
      <c r="G209" s="369">
        <f t="shared" si="16"/>
        <v>0</v>
      </c>
      <c r="H209" s="372">
        <f t="shared" si="17"/>
        <v>0</v>
      </c>
      <c r="I209" s="387"/>
    </row>
    <row r="210" spans="1:9" x14ac:dyDescent="0.35">
      <c r="A210" s="1515"/>
      <c r="B210" s="390">
        <v>53209050000000</v>
      </c>
      <c r="C210" s="391" t="s">
        <v>158</v>
      </c>
      <c r="D210" s="366"/>
      <c r="E210" s="366"/>
      <c r="F210" s="368"/>
      <c r="G210" s="369">
        <f t="shared" si="16"/>
        <v>0</v>
      </c>
      <c r="H210" s="372">
        <f t="shared" si="17"/>
        <v>0</v>
      </c>
      <c r="I210" s="387"/>
    </row>
    <row r="211" spans="1:9" x14ac:dyDescent="0.35">
      <c r="A211" s="1515"/>
      <c r="B211" s="390">
        <v>53209990000000</v>
      </c>
      <c r="C211" s="391" t="s">
        <v>159</v>
      </c>
      <c r="D211" s="366"/>
      <c r="E211" s="366"/>
      <c r="F211" s="368"/>
      <c r="G211" s="369">
        <f t="shared" si="16"/>
        <v>0</v>
      </c>
      <c r="H211" s="372">
        <f t="shared" si="17"/>
        <v>0</v>
      </c>
      <c r="I211" s="387"/>
    </row>
    <row r="212" spans="1:9" x14ac:dyDescent="0.35">
      <c r="A212" s="1515"/>
      <c r="B212" s="390">
        <v>53210020100000</v>
      </c>
      <c r="C212" s="391" t="s">
        <v>160</v>
      </c>
      <c r="D212" s="366"/>
      <c r="E212" s="366"/>
      <c r="F212" s="368"/>
      <c r="G212" s="369">
        <f t="shared" si="16"/>
        <v>0</v>
      </c>
      <c r="H212" s="372">
        <f t="shared" si="17"/>
        <v>0</v>
      </c>
      <c r="I212" s="387"/>
    </row>
    <row r="213" spans="1:9" x14ac:dyDescent="0.35">
      <c r="A213" s="1515"/>
      <c r="B213" s="388"/>
      <c r="C213" s="389" t="s">
        <v>161</v>
      </c>
      <c r="D213" s="370">
        <f>SUM(D214:D220)</f>
        <v>0</v>
      </c>
      <c r="E213" s="371"/>
      <c r="F213" s="371"/>
      <c r="G213" s="370">
        <f>SUM(G214:G220)</f>
        <v>0</v>
      </c>
      <c r="H213" s="370">
        <f>SUM(H214:H220)</f>
        <v>0</v>
      </c>
      <c r="I213" s="387"/>
    </row>
    <row r="214" spans="1:9" x14ac:dyDescent="0.35">
      <c r="A214" s="1515"/>
      <c r="B214" s="390">
        <v>53206030000000</v>
      </c>
      <c r="C214" s="391" t="s">
        <v>162</v>
      </c>
      <c r="D214" s="366"/>
      <c r="E214" s="366"/>
      <c r="F214" s="368"/>
      <c r="G214" s="369">
        <f t="shared" ref="G214:G220" si="18">E214*F214</f>
        <v>0</v>
      </c>
      <c r="H214" s="372">
        <f t="shared" ref="H214:H220" si="19">D214+G214</f>
        <v>0</v>
      </c>
      <c r="I214" s="387"/>
    </row>
    <row r="215" spans="1:9" x14ac:dyDescent="0.35">
      <c r="A215" s="1515"/>
      <c r="B215" s="390">
        <v>53206040000000</v>
      </c>
      <c r="C215" s="391" t="s">
        <v>163</v>
      </c>
      <c r="D215" s="366"/>
      <c r="E215" s="366"/>
      <c r="F215" s="368"/>
      <c r="G215" s="369">
        <f t="shared" si="18"/>
        <v>0</v>
      </c>
      <c r="H215" s="372">
        <f t="shared" si="19"/>
        <v>0</v>
      </c>
      <c r="I215" s="387"/>
    </row>
    <row r="216" spans="1:9" x14ac:dyDescent="0.35">
      <c r="A216" s="1515"/>
      <c r="B216" s="390">
        <v>53206060000000</v>
      </c>
      <c r="C216" s="391" t="s">
        <v>164</v>
      </c>
      <c r="D216" s="366"/>
      <c r="E216" s="366"/>
      <c r="F216" s="368"/>
      <c r="G216" s="369">
        <f t="shared" si="18"/>
        <v>0</v>
      </c>
      <c r="H216" s="372">
        <f t="shared" si="19"/>
        <v>0</v>
      </c>
      <c r="I216" s="387"/>
    </row>
    <row r="217" spans="1:9" x14ac:dyDescent="0.35">
      <c r="A217" s="1515"/>
      <c r="B217" s="390">
        <v>53206070000000</v>
      </c>
      <c r="C217" s="391" t="s">
        <v>165</v>
      </c>
      <c r="D217" s="366"/>
      <c r="E217" s="366"/>
      <c r="F217" s="368"/>
      <c r="G217" s="369">
        <f t="shared" si="18"/>
        <v>0</v>
      </c>
      <c r="H217" s="372">
        <f t="shared" si="19"/>
        <v>0</v>
      </c>
      <c r="I217" s="387"/>
    </row>
    <row r="218" spans="1:9" x14ac:dyDescent="0.35">
      <c r="A218" s="1515"/>
      <c r="B218" s="390">
        <v>53206990000000</v>
      </c>
      <c r="C218" s="391" t="s">
        <v>166</v>
      </c>
      <c r="D218" s="366"/>
      <c r="E218" s="366"/>
      <c r="F218" s="368"/>
      <c r="G218" s="369">
        <f t="shared" si="18"/>
        <v>0</v>
      </c>
      <c r="H218" s="372">
        <f t="shared" si="19"/>
        <v>0</v>
      </c>
      <c r="I218" s="387"/>
    </row>
    <row r="219" spans="1:9" x14ac:dyDescent="0.35">
      <c r="A219" s="1515"/>
      <c r="B219" s="390">
        <v>53208030000000</v>
      </c>
      <c r="C219" s="391" t="s">
        <v>167</v>
      </c>
      <c r="D219" s="366"/>
      <c r="E219" s="366"/>
      <c r="F219" s="368"/>
      <c r="G219" s="369">
        <f t="shared" si="18"/>
        <v>0</v>
      </c>
      <c r="H219" s="372">
        <f t="shared" si="19"/>
        <v>0</v>
      </c>
      <c r="I219" s="387"/>
    </row>
    <row r="220" spans="1:9" x14ac:dyDescent="0.35">
      <c r="A220" s="1515"/>
      <c r="B220" s="390">
        <v>53212060000000</v>
      </c>
      <c r="C220" s="391" t="s">
        <v>168</v>
      </c>
      <c r="D220" s="363"/>
      <c r="E220" s="363"/>
      <c r="F220" s="365"/>
      <c r="G220" s="369">
        <f t="shared" si="18"/>
        <v>0</v>
      </c>
      <c r="H220" s="372">
        <f t="shared" si="19"/>
        <v>0</v>
      </c>
      <c r="I220" s="387"/>
    </row>
    <row r="221" spans="1:9" x14ac:dyDescent="0.35">
      <c r="A221" s="1515"/>
      <c r="B221" s="388"/>
      <c r="C221" s="389" t="s">
        <v>169</v>
      </c>
      <c r="D221" s="370">
        <f>SUM(D222:D223)</f>
        <v>0</v>
      </c>
      <c r="E221" s="371"/>
      <c r="F221" s="371"/>
      <c r="G221" s="370">
        <f>SUM(G222:G223)</f>
        <v>0</v>
      </c>
      <c r="H221" s="370">
        <f>SUM(H222:H223)</f>
        <v>0</v>
      </c>
      <c r="I221" s="387"/>
    </row>
    <row r="222" spans="1:9" x14ac:dyDescent="0.35">
      <c r="A222" s="1515"/>
      <c r="B222" s="390">
        <v>53210020500000</v>
      </c>
      <c r="C222" s="391" t="s">
        <v>170</v>
      </c>
      <c r="D222" s="363"/>
      <c r="E222" s="363"/>
      <c r="F222" s="365"/>
      <c r="G222" s="369">
        <f>E222*F222</f>
        <v>0</v>
      </c>
      <c r="H222" s="372">
        <f>D222+G222</f>
        <v>0</v>
      </c>
      <c r="I222" s="387"/>
    </row>
    <row r="223" spans="1:9" x14ac:dyDescent="0.35">
      <c r="A223" s="1515"/>
      <c r="B223" s="390">
        <v>53204999000000</v>
      </c>
      <c r="C223" s="391" t="s">
        <v>171</v>
      </c>
      <c r="D223" s="366"/>
      <c r="E223" s="366"/>
      <c r="F223" s="368"/>
      <c r="G223" s="369">
        <f>E223*F223</f>
        <v>0</v>
      </c>
      <c r="H223" s="372">
        <f>D223+G223</f>
        <v>0</v>
      </c>
      <c r="I223" s="387"/>
    </row>
    <row r="224" spans="1:9" x14ac:dyDescent="0.35">
      <c r="A224" s="1515"/>
      <c r="B224" s="394"/>
      <c r="C224" s="395" t="s">
        <v>12</v>
      </c>
      <c r="D224" s="373">
        <f>SUM(D155,D183)</f>
        <v>2331820</v>
      </c>
      <c r="E224" s="374"/>
      <c r="F224" s="374"/>
      <c r="G224" s="373">
        <f>SUM(G155,G183)</f>
        <v>0</v>
      </c>
      <c r="H224" s="373">
        <f>SUM(H155,H183)</f>
        <v>2331820</v>
      </c>
      <c r="I224" s="387"/>
    </row>
    <row r="225" spans="1:9" x14ac:dyDescent="0.35">
      <c r="A225" s="1516" t="s">
        <v>72</v>
      </c>
      <c r="B225" s="1517" t="s">
        <v>95</v>
      </c>
      <c r="C225" s="1518" t="s">
        <v>96</v>
      </c>
      <c r="D225" s="1519" t="s">
        <v>97</v>
      </c>
      <c r="E225" s="1513" t="s">
        <v>98</v>
      </c>
      <c r="F225" s="1513"/>
      <c r="G225" s="1513"/>
      <c r="H225" s="1514" t="str">
        <f>+H153</f>
        <v>COSTO DIRECTO ESTIMADO 2026</v>
      </c>
      <c r="I225" s="1513" t="s">
        <v>99</v>
      </c>
    </row>
    <row r="226" spans="1:9" ht="26" x14ac:dyDescent="0.35">
      <c r="A226" s="1516"/>
      <c r="B226" s="1517"/>
      <c r="C226" s="1518"/>
      <c r="D226" s="1519"/>
      <c r="E226" s="375" t="s">
        <v>100</v>
      </c>
      <c r="F226" s="376" t="s">
        <v>101</v>
      </c>
      <c r="G226" s="377" t="s">
        <v>102</v>
      </c>
      <c r="H226" s="1514"/>
      <c r="I226" s="1513"/>
    </row>
    <row r="227" spans="1:9" x14ac:dyDescent="0.35">
      <c r="A227" s="1515" t="str">
        <f>+'B) Reajuste Tarifas y Ocupación'!A23</f>
        <v>C.R. Huayquique</v>
      </c>
      <c r="B227" s="385"/>
      <c r="C227" s="386" t="s">
        <v>103</v>
      </c>
      <c r="D227" s="378">
        <f>SUM(D228,D233,D235)</f>
        <v>101668076.72</v>
      </c>
      <c r="E227" s="379"/>
      <c r="F227" s="379"/>
      <c r="G227" s="378">
        <f>SUM(G228,G233,G235)</f>
        <v>0</v>
      </c>
      <c r="H227" s="384">
        <f>SUM(H228,H233,H235)</f>
        <v>101668076.72</v>
      </c>
      <c r="I227" s="387"/>
    </row>
    <row r="228" spans="1:9" x14ac:dyDescent="0.35">
      <c r="A228" s="1515"/>
      <c r="B228" s="388"/>
      <c r="C228" s="389" t="s">
        <v>104</v>
      </c>
      <c r="D228" s="370">
        <f>SUM(D229:D232)</f>
        <v>63792336.719999999</v>
      </c>
      <c r="E228" s="380"/>
      <c r="F228" s="380"/>
      <c r="G228" s="370">
        <f>SUM(G229:G232)</f>
        <v>0</v>
      </c>
      <c r="H228" s="370">
        <f>SUM(H229:H232)</f>
        <v>63792336.719999999</v>
      </c>
      <c r="I228" s="387"/>
    </row>
    <row r="229" spans="1:9" x14ac:dyDescent="0.35">
      <c r="A229" s="1515"/>
      <c r="B229" s="390">
        <v>53103040100000</v>
      </c>
      <c r="C229" s="391" t="s">
        <v>105</v>
      </c>
      <c r="D229" s="381">
        <f>+'F) Remuneraciones'!M66</f>
        <v>63792336.719999999</v>
      </c>
      <c r="E229" s="382"/>
      <c r="F229" s="382"/>
      <c r="G229" s="382"/>
      <c r="H229" s="372">
        <f>D229+G229</f>
        <v>63792336.719999999</v>
      </c>
      <c r="I229" s="387"/>
    </row>
    <row r="230" spans="1:9" x14ac:dyDescent="0.35">
      <c r="A230" s="1515"/>
      <c r="B230" s="390">
        <v>53103050000000</v>
      </c>
      <c r="C230" s="391" t="s">
        <v>106</v>
      </c>
      <c r="D230" s="363"/>
      <c r="E230" s="364"/>
      <c r="F230" s="365"/>
      <c r="G230" s="369">
        <f>E230*F230</f>
        <v>0</v>
      </c>
      <c r="H230" s="372">
        <f>D230+G230</f>
        <v>0</v>
      </c>
      <c r="I230" s="387"/>
    </row>
    <row r="231" spans="1:9" x14ac:dyDescent="0.35">
      <c r="A231" s="1515"/>
      <c r="B231" s="390">
        <v>53103060000000</v>
      </c>
      <c r="C231" s="391" t="s">
        <v>107</v>
      </c>
      <c r="D231" s="363"/>
      <c r="E231" s="364"/>
      <c r="F231" s="365"/>
      <c r="G231" s="369">
        <f>E231*F231</f>
        <v>0</v>
      </c>
      <c r="H231" s="372">
        <f>D231+G231</f>
        <v>0</v>
      </c>
      <c r="I231" s="387"/>
    </row>
    <row r="232" spans="1:9" x14ac:dyDescent="0.35">
      <c r="A232" s="1515"/>
      <c r="B232" s="390">
        <v>53103080010000</v>
      </c>
      <c r="C232" s="391" t="s">
        <v>108</v>
      </c>
      <c r="D232" s="363">
        <v>0</v>
      </c>
      <c r="E232" s="364"/>
      <c r="F232" s="365"/>
      <c r="G232" s="369">
        <f>E232*F232</f>
        <v>0</v>
      </c>
      <c r="H232" s="372">
        <f>D232+G232</f>
        <v>0</v>
      </c>
      <c r="I232" s="387"/>
    </row>
    <row r="233" spans="1:9" x14ac:dyDescent="0.35">
      <c r="A233" s="1515"/>
      <c r="B233" s="388"/>
      <c r="C233" s="389" t="s">
        <v>109</v>
      </c>
      <c r="D233" s="370">
        <f>SUM(D234)</f>
        <v>0</v>
      </c>
      <c r="E233" s="371"/>
      <c r="F233" s="371"/>
      <c r="G233" s="383">
        <f>SUM(G234:G234)</f>
        <v>0</v>
      </c>
      <c r="H233" s="370">
        <f>SUM(H234:H234)</f>
        <v>0</v>
      </c>
      <c r="I233" s="387"/>
    </row>
    <row r="234" spans="1:9" x14ac:dyDescent="0.35">
      <c r="A234" s="1515"/>
      <c r="B234" s="390">
        <v>55201010100001</v>
      </c>
      <c r="C234" s="391" t="s">
        <v>110</v>
      </c>
      <c r="D234" s="363"/>
      <c r="E234" s="364"/>
      <c r="F234" s="365"/>
      <c r="G234" s="369">
        <f>E234*F234</f>
        <v>0</v>
      </c>
      <c r="H234" s="372">
        <f>D234+G234</f>
        <v>0</v>
      </c>
      <c r="I234" s="387"/>
    </row>
    <row r="235" spans="1:9" x14ac:dyDescent="0.35">
      <c r="A235" s="1515"/>
      <c r="B235" s="388"/>
      <c r="C235" s="389" t="s">
        <v>111</v>
      </c>
      <c r="D235" s="370">
        <f>SUM(D236:D254)</f>
        <v>37875740</v>
      </c>
      <c r="E235" s="371"/>
      <c r="F235" s="371"/>
      <c r="G235" s="370">
        <f>SUM(G236:G254)</f>
        <v>0</v>
      </c>
      <c r="H235" s="370">
        <f>SUM(H236:H254)</f>
        <v>37875740</v>
      </c>
      <c r="I235" s="387"/>
    </row>
    <row r="236" spans="1:9" x14ac:dyDescent="0.35">
      <c r="A236" s="1515"/>
      <c r="B236" s="390">
        <v>53201010100000</v>
      </c>
      <c r="C236" s="391" t="s">
        <v>112</v>
      </c>
      <c r="D236" s="363">
        <v>1592211</v>
      </c>
      <c r="E236" s="364"/>
      <c r="F236" s="365"/>
      <c r="G236" s="369">
        <f t="shared" ref="G236:G254" si="20">E236*F236</f>
        <v>0</v>
      </c>
      <c r="H236" s="372">
        <f t="shared" ref="H236:H254" si="21">D236+G236</f>
        <v>1592211</v>
      </c>
      <c r="I236" s="387"/>
    </row>
    <row r="237" spans="1:9" x14ac:dyDescent="0.35">
      <c r="A237" s="1515"/>
      <c r="B237" s="390">
        <v>53202010100000</v>
      </c>
      <c r="C237" s="391" t="s">
        <v>113</v>
      </c>
      <c r="D237" s="363"/>
      <c r="E237" s="364"/>
      <c r="F237" s="365"/>
      <c r="G237" s="369">
        <f t="shared" si="20"/>
        <v>0</v>
      </c>
      <c r="H237" s="372">
        <f t="shared" si="21"/>
        <v>0</v>
      </c>
      <c r="I237" s="387"/>
    </row>
    <row r="238" spans="1:9" x14ac:dyDescent="0.35">
      <c r="A238" s="1515"/>
      <c r="B238" s="390">
        <v>53203010100000</v>
      </c>
      <c r="C238" s="391" t="s">
        <v>114</v>
      </c>
      <c r="D238" s="366">
        <v>200000</v>
      </c>
      <c r="E238" s="367"/>
      <c r="F238" s="368"/>
      <c r="G238" s="369">
        <f t="shared" si="20"/>
        <v>0</v>
      </c>
      <c r="H238" s="372">
        <f t="shared" si="21"/>
        <v>200000</v>
      </c>
      <c r="I238" s="387"/>
    </row>
    <row r="239" spans="1:9" x14ac:dyDescent="0.35">
      <c r="A239" s="1515"/>
      <c r="B239" s="390">
        <v>53203030000000</v>
      </c>
      <c r="C239" s="391" t="s">
        <v>115</v>
      </c>
      <c r="D239" s="366"/>
      <c r="E239" s="367"/>
      <c r="F239" s="368"/>
      <c r="G239" s="369">
        <f t="shared" si="20"/>
        <v>0</v>
      </c>
      <c r="H239" s="372">
        <f t="shared" si="21"/>
        <v>0</v>
      </c>
      <c r="I239" s="387"/>
    </row>
    <row r="240" spans="1:9" x14ac:dyDescent="0.35">
      <c r="A240" s="1515"/>
      <c r="B240" s="390">
        <v>53204030000000</v>
      </c>
      <c r="C240" s="391" t="s">
        <v>116</v>
      </c>
      <c r="D240" s="366">
        <v>123310</v>
      </c>
      <c r="E240" s="367"/>
      <c r="F240" s="368"/>
      <c r="G240" s="369">
        <f t="shared" si="20"/>
        <v>0</v>
      </c>
      <c r="H240" s="372">
        <f t="shared" si="21"/>
        <v>123310</v>
      </c>
      <c r="I240" s="392"/>
    </row>
    <row r="241" spans="1:9" x14ac:dyDescent="0.35">
      <c r="A241" s="1515"/>
      <c r="B241" s="390">
        <v>53204100100001</v>
      </c>
      <c r="C241" s="391" t="s">
        <v>117</v>
      </c>
      <c r="D241" s="366">
        <v>1500000</v>
      </c>
      <c r="E241" s="367"/>
      <c r="F241" s="368"/>
      <c r="G241" s="369">
        <f t="shared" si="20"/>
        <v>0</v>
      </c>
      <c r="H241" s="372">
        <f t="shared" si="21"/>
        <v>1500000</v>
      </c>
      <c r="I241" s="392"/>
    </row>
    <row r="242" spans="1:9" x14ac:dyDescent="0.35">
      <c r="A242" s="1515"/>
      <c r="B242" s="390">
        <v>53204130100000</v>
      </c>
      <c r="C242" s="393" t="s">
        <v>118</v>
      </c>
      <c r="D242" s="366"/>
      <c r="E242" s="367"/>
      <c r="F242" s="368"/>
      <c r="G242" s="369">
        <f t="shared" si="20"/>
        <v>0</v>
      </c>
      <c r="H242" s="372">
        <f t="shared" si="21"/>
        <v>0</v>
      </c>
      <c r="I242" s="387"/>
    </row>
    <row r="243" spans="1:9" x14ac:dyDescent="0.35">
      <c r="A243" s="1515"/>
      <c r="B243" s="390">
        <v>53205010100000</v>
      </c>
      <c r="C243" s="393" t="s">
        <v>119</v>
      </c>
      <c r="D243" s="366">
        <v>12466067</v>
      </c>
      <c r="E243" s="367"/>
      <c r="F243" s="368"/>
      <c r="G243" s="369">
        <f t="shared" si="20"/>
        <v>0</v>
      </c>
      <c r="H243" s="372">
        <f t="shared" si="21"/>
        <v>12466067</v>
      </c>
      <c r="I243" s="396"/>
    </row>
    <row r="244" spans="1:9" x14ac:dyDescent="0.35">
      <c r="A244" s="1515"/>
      <c r="B244" s="390">
        <v>53205020100000</v>
      </c>
      <c r="C244" s="393" t="s">
        <v>120</v>
      </c>
      <c r="D244" s="366">
        <v>11605214</v>
      </c>
      <c r="E244" s="367"/>
      <c r="F244" s="368"/>
      <c r="G244" s="369">
        <f t="shared" si="20"/>
        <v>0</v>
      </c>
      <c r="H244" s="372">
        <f t="shared" si="21"/>
        <v>11605214</v>
      </c>
      <c r="I244" s="396"/>
    </row>
    <row r="245" spans="1:9" x14ac:dyDescent="0.35">
      <c r="A245" s="1515"/>
      <c r="B245" s="390">
        <v>53205030100000</v>
      </c>
      <c r="C245" s="393" t="s">
        <v>121</v>
      </c>
      <c r="D245" s="366"/>
      <c r="E245" s="367"/>
      <c r="F245" s="368"/>
      <c r="G245" s="369">
        <f t="shared" si="20"/>
        <v>0</v>
      </c>
      <c r="H245" s="372">
        <f t="shared" si="21"/>
        <v>0</v>
      </c>
      <c r="I245" s="397"/>
    </row>
    <row r="246" spans="1:9" x14ac:dyDescent="0.35">
      <c r="A246" s="1515"/>
      <c r="B246" s="390">
        <v>53205050100000</v>
      </c>
      <c r="C246" s="391" t="s">
        <v>122</v>
      </c>
      <c r="D246" s="366"/>
      <c r="E246" s="367"/>
      <c r="F246" s="368"/>
      <c r="G246" s="369">
        <f t="shared" si="20"/>
        <v>0</v>
      </c>
      <c r="H246" s="372">
        <f t="shared" si="21"/>
        <v>0</v>
      </c>
      <c r="I246" s="397"/>
    </row>
    <row r="247" spans="1:9" x14ac:dyDescent="0.35">
      <c r="A247" s="1515"/>
      <c r="B247" s="390">
        <v>53205060100000</v>
      </c>
      <c r="C247" s="391" t="s">
        <v>123</v>
      </c>
      <c r="D247" s="366"/>
      <c r="E247" s="367"/>
      <c r="F247" s="368"/>
      <c r="G247" s="369">
        <f t="shared" si="20"/>
        <v>0</v>
      </c>
      <c r="H247" s="372">
        <f t="shared" si="21"/>
        <v>0</v>
      </c>
      <c r="I247" s="397"/>
    </row>
    <row r="248" spans="1:9" x14ac:dyDescent="0.35">
      <c r="A248" s="1515"/>
      <c r="B248" s="390">
        <v>53205070100000</v>
      </c>
      <c r="C248" s="391" t="s">
        <v>124</v>
      </c>
      <c r="D248" s="366">
        <v>480000</v>
      </c>
      <c r="E248" s="367"/>
      <c r="F248" s="368"/>
      <c r="G248" s="369">
        <f t="shared" si="20"/>
        <v>0</v>
      </c>
      <c r="H248" s="372">
        <f t="shared" si="21"/>
        <v>480000</v>
      </c>
      <c r="I248" s="397"/>
    </row>
    <row r="249" spans="1:9" x14ac:dyDescent="0.35">
      <c r="A249" s="1515"/>
      <c r="B249" s="390">
        <v>53208010100000</v>
      </c>
      <c r="C249" s="391" t="s">
        <v>125</v>
      </c>
      <c r="D249" s="366">
        <v>6679974</v>
      </c>
      <c r="E249" s="367"/>
      <c r="F249" s="368"/>
      <c r="G249" s="369">
        <f t="shared" si="20"/>
        <v>0</v>
      </c>
      <c r="H249" s="372">
        <f t="shared" si="21"/>
        <v>6679974</v>
      </c>
      <c r="I249" s="396"/>
    </row>
    <row r="250" spans="1:9" x14ac:dyDescent="0.35">
      <c r="A250" s="1515"/>
      <c r="B250" s="390">
        <v>53208070100001</v>
      </c>
      <c r="C250" s="391" t="s">
        <v>126</v>
      </c>
      <c r="D250" s="366"/>
      <c r="E250" s="367"/>
      <c r="F250" s="368"/>
      <c r="G250" s="369">
        <f t="shared" si="20"/>
        <v>0</v>
      </c>
      <c r="H250" s="372">
        <f t="shared" si="21"/>
        <v>0</v>
      </c>
      <c r="I250" s="387"/>
    </row>
    <row r="251" spans="1:9" x14ac:dyDescent="0.35">
      <c r="A251" s="1515"/>
      <c r="B251" s="390">
        <v>53208100100001</v>
      </c>
      <c r="C251" s="391" t="s">
        <v>127</v>
      </c>
      <c r="D251" s="366"/>
      <c r="E251" s="367"/>
      <c r="F251" s="368"/>
      <c r="G251" s="369">
        <f t="shared" si="20"/>
        <v>0</v>
      </c>
      <c r="H251" s="372">
        <f t="shared" si="21"/>
        <v>0</v>
      </c>
      <c r="I251" s="387"/>
    </row>
    <row r="252" spans="1:9" x14ac:dyDescent="0.35">
      <c r="A252" s="1515"/>
      <c r="B252" s="390">
        <v>53211030000000</v>
      </c>
      <c r="C252" s="391" t="s">
        <v>128</v>
      </c>
      <c r="D252" s="366"/>
      <c r="E252" s="367"/>
      <c r="F252" s="368"/>
      <c r="G252" s="369">
        <f t="shared" si="20"/>
        <v>0</v>
      </c>
      <c r="H252" s="372">
        <f t="shared" si="21"/>
        <v>0</v>
      </c>
      <c r="I252" s="387"/>
    </row>
    <row r="253" spans="1:9" x14ac:dyDescent="0.35">
      <c r="A253" s="1515"/>
      <c r="B253" s="390">
        <v>53212020100000</v>
      </c>
      <c r="C253" s="391" t="s">
        <v>129</v>
      </c>
      <c r="D253" s="366">
        <v>3228964</v>
      </c>
      <c r="E253" s="367"/>
      <c r="F253" s="368"/>
      <c r="G253" s="369">
        <f t="shared" si="20"/>
        <v>0</v>
      </c>
      <c r="H253" s="372">
        <f t="shared" si="21"/>
        <v>3228964</v>
      </c>
      <c r="I253" s="396"/>
    </row>
    <row r="254" spans="1:9" x14ac:dyDescent="0.35">
      <c r="A254" s="1515"/>
      <c r="B254" s="390">
        <v>53214020000000</v>
      </c>
      <c r="C254" s="391" t="s">
        <v>130</v>
      </c>
      <c r="D254" s="363"/>
      <c r="E254" s="364"/>
      <c r="F254" s="365"/>
      <c r="G254" s="369">
        <f t="shared" si="20"/>
        <v>0</v>
      </c>
      <c r="H254" s="372">
        <f t="shared" si="21"/>
        <v>0</v>
      </c>
      <c r="I254" s="387"/>
    </row>
    <row r="255" spans="1:9" x14ac:dyDescent="0.35">
      <c r="A255" s="1515"/>
      <c r="B255" s="385"/>
      <c r="C255" s="386" t="s">
        <v>131</v>
      </c>
      <c r="D255" s="384">
        <f>SUM(D256,D261,D264,D275,D285,D293)</f>
        <v>10299178</v>
      </c>
      <c r="E255" s="379"/>
      <c r="F255" s="379"/>
      <c r="G255" s="384">
        <f>SUM(G256,G261,G264,G275,G285,G293)</f>
        <v>560000</v>
      </c>
      <c r="H255" s="384">
        <f>SUM(H256,H261,H264,H275,H285,H293)</f>
        <v>10859178</v>
      </c>
      <c r="I255" s="387"/>
    </row>
    <row r="256" spans="1:9" x14ac:dyDescent="0.35">
      <c r="A256" s="1515"/>
      <c r="B256" s="388"/>
      <c r="C256" s="389" t="s">
        <v>132</v>
      </c>
      <c r="D256" s="370">
        <f>SUM(D257:D260)</f>
        <v>0</v>
      </c>
      <c r="E256" s="371"/>
      <c r="F256" s="371"/>
      <c r="G256" s="383">
        <f>SUM(G257:G260)</f>
        <v>560000</v>
      </c>
      <c r="H256" s="383">
        <f>SUM(H257:H260)</f>
        <v>560000</v>
      </c>
      <c r="I256" s="387"/>
    </row>
    <row r="257" spans="1:9" x14ac:dyDescent="0.35">
      <c r="A257" s="1515"/>
      <c r="B257" s="390">
        <v>53202020100000</v>
      </c>
      <c r="C257" s="391" t="s">
        <v>133</v>
      </c>
      <c r="D257" s="366"/>
      <c r="E257" s="367">
        <v>50000</v>
      </c>
      <c r="F257" s="368">
        <v>7</v>
      </c>
      <c r="G257" s="369">
        <f>E257*F257</f>
        <v>350000</v>
      </c>
      <c r="H257" s="372">
        <f>D257+G257</f>
        <v>350000</v>
      </c>
      <c r="I257" s="387"/>
    </row>
    <row r="258" spans="1:9" x14ac:dyDescent="0.35">
      <c r="A258" s="1515"/>
      <c r="B258" s="390">
        <v>53202030000000</v>
      </c>
      <c r="C258" s="391" t="s">
        <v>134</v>
      </c>
      <c r="D258" s="363"/>
      <c r="E258" s="364">
        <v>30000</v>
      </c>
      <c r="F258" s="365">
        <v>7</v>
      </c>
      <c r="G258" s="369">
        <f>E258*F258</f>
        <v>210000</v>
      </c>
      <c r="H258" s="372">
        <f>D258+G258</f>
        <v>210000</v>
      </c>
      <c r="I258" s="387"/>
    </row>
    <row r="259" spans="1:9" x14ac:dyDescent="0.35">
      <c r="A259" s="1515"/>
      <c r="B259" s="390">
        <v>53211020000000</v>
      </c>
      <c r="C259" s="391" t="s">
        <v>135</v>
      </c>
      <c r="D259" s="366"/>
      <c r="E259" s="367"/>
      <c r="F259" s="368"/>
      <c r="G259" s="369">
        <f>E259*F259</f>
        <v>0</v>
      </c>
      <c r="H259" s="372">
        <f>D259+G259</f>
        <v>0</v>
      </c>
      <c r="I259" s="387"/>
    </row>
    <row r="260" spans="1:9" x14ac:dyDescent="0.35">
      <c r="A260" s="1515"/>
      <c r="B260" s="390">
        <v>53101004030000</v>
      </c>
      <c r="C260" s="391" t="s">
        <v>136</v>
      </c>
      <c r="D260" s="363"/>
      <c r="E260" s="364"/>
      <c r="F260" s="365"/>
      <c r="G260" s="369">
        <f>E260*F260</f>
        <v>0</v>
      </c>
      <c r="H260" s="372">
        <f>D260+G260</f>
        <v>0</v>
      </c>
      <c r="I260" s="387"/>
    </row>
    <row r="261" spans="1:9" x14ac:dyDescent="0.35">
      <c r="A261" s="1515"/>
      <c r="B261" s="388"/>
      <c r="C261" s="389" t="s">
        <v>137</v>
      </c>
      <c r="D261" s="370">
        <f>SUM(D262:D263)</f>
        <v>0</v>
      </c>
      <c r="E261" s="371"/>
      <c r="F261" s="371"/>
      <c r="G261" s="383">
        <f>SUM(G262:G263)</f>
        <v>0</v>
      </c>
      <c r="H261" s="383">
        <f>SUM(H262:H263)</f>
        <v>0</v>
      </c>
      <c r="I261" s="387"/>
    </row>
    <row r="262" spans="1:9" x14ac:dyDescent="0.35">
      <c r="A262" s="1515"/>
      <c r="B262" s="390">
        <v>53205080000000</v>
      </c>
      <c r="C262" s="393" t="s">
        <v>138</v>
      </c>
      <c r="D262" s="363"/>
      <c r="E262" s="364"/>
      <c r="F262" s="365"/>
      <c r="G262" s="369">
        <f>E262*F262</f>
        <v>0</v>
      </c>
      <c r="H262" s="372">
        <f>D262+G262</f>
        <v>0</v>
      </c>
      <c r="I262" s="387"/>
    </row>
    <row r="263" spans="1:9" x14ac:dyDescent="0.35">
      <c r="A263" s="1515"/>
      <c r="B263" s="390">
        <v>53205990000000</v>
      </c>
      <c r="C263" s="391" t="s">
        <v>139</v>
      </c>
      <c r="D263" s="366"/>
      <c r="E263" s="367"/>
      <c r="F263" s="368"/>
      <c r="G263" s="369">
        <f>E263*F263</f>
        <v>0</v>
      </c>
      <c r="H263" s="372">
        <f>D263+G263</f>
        <v>0</v>
      </c>
      <c r="I263" s="387"/>
    </row>
    <row r="264" spans="1:9" x14ac:dyDescent="0.35">
      <c r="A264" s="1515"/>
      <c r="B264" s="388"/>
      <c r="C264" s="389" t="s">
        <v>140</v>
      </c>
      <c r="D264" s="370">
        <f>SUM(D265:D274)</f>
        <v>4669749</v>
      </c>
      <c r="E264" s="371"/>
      <c r="F264" s="371"/>
      <c r="G264" s="370">
        <f>SUM(G265:G274)</f>
        <v>0</v>
      </c>
      <c r="H264" s="370">
        <f>SUM(H265:H274)</f>
        <v>4669749</v>
      </c>
      <c r="I264" s="387"/>
    </row>
    <row r="265" spans="1:9" x14ac:dyDescent="0.35">
      <c r="A265" s="1515"/>
      <c r="B265" s="390">
        <v>53203010200000</v>
      </c>
      <c r="C265" s="391" t="s">
        <v>141</v>
      </c>
      <c r="D265" s="363"/>
      <c r="E265" s="363"/>
      <c r="F265" s="365"/>
      <c r="G265" s="369">
        <f t="shared" ref="G265:G274" si="22">E265*F265</f>
        <v>0</v>
      </c>
      <c r="H265" s="372">
        <f t="shared" ref="H265:H274" si="23">D265+G265</f>
        <v>0</v>
      </c>
      <c r="I265" s="387"/>
    </row>
    <row r="266" spans="1:9" x14ac:dyDescent="0.35">
      <c r="A266" s="1515"/>
      <c r="B266" s="390">
        <v>53204010000000</v>
      </c>
      <c r="C266" s="391" t="s">
        <v>142</v>
      </c>
      <c r="D266" s="366">
        <v>150000</v>
      </c>
      <c r="E266" s="366"/>
      <c r="F266" s="368"/>
      <c r="G266" s="369">
        <f t="shared" si="22"/>
        <v>0</v>
      </c>
      <c r="H266" s="372">
        <f t="shared" si="23"/>
        <v>150000</v>
      </c>
      <c r="I266" s="387"/>
    </row>
    <row r="267" spans="1:9" x14ac:dyDescent="0.35">
      <c r="A267" s="1515"/>
      <c r="B267" s="390">
        <v>53204040200000</v>
      </c>
      <c r="C267" s="393" t="s">
        <v>143</v>
      </c>
      <c r="D267" s="366"/>
      <c r="E267" s="366"/>
      <c r="F267" s="368"/>
      <c r="G267" s="369">
        <f t="shared" si="22"/>
        <v>0</v>
      </c>
      <c r="H267" s="372">
        <f t="shared" si="23"/>
        <v>0</v>
      </c>
      <c r="I267" s="387"/>
    </row>
    <row r="268" spans="1:9" x14ac:dyDescent="0.35">
      <c r="A268" s="1515"/>
      <c r="B268" s="390">
        <v>53204060000000</v>
      </c>
      <c r="C268" s="393" t="s">
        <v>144</v>
      </c>
      <c r="D268" s="366"/>
      <c r="E268" s="366"/>
      <c r="F268" s="368"/>
      <c r="G268" s="369">
        <f t="shared" si="22"/>
        <v>0</v>
      </c>
      <c r="H268" s="372">
        <f t="shared" si="23"/>
        <v>0</v>
      </c>
      <c r="I268" s="387"/>
    </row>
    <row r="269" spans="1:9" x14ac:dyDescent="0.35">
      <c r="A269" s="1515"/>
      <c r="B269" s="390">
        <v>53204070000000</v>
      </c>
      <c r="C269" s="393" t="s">
        <v>145</v>
      </c>
      <c r="D269" s="366">
        <v>4519749</v>
      </c>
      <c r="E269" s="366"/>
      <c r="F269" s="368"/>
      <c r="G269" s="369">
        <f t="shared" si="22"/>
        <v>0</v>
      </c>
      <c r="H269" s="372">
        <f t="shared" si="23"/>
        <v>4519749</v>
      </c>
      <c r="I269" s="387"/>
    </row>
    <row r="270" spans="1:9" x14ac:dyDescent="0.35">
      <c r="A270" s="1515"/>
      <c r="B270" s="390">
        <v>53204080000000</v>
      </c>
      <c r="C270" s="393" t="s">
        <v>146</v>
      </c>
      <c r="D270" s="366"/>
      <c r="E270" s="366"/>
      <c r="F270" s="368"/>
      <c r="G270" s="369">
        <f t="shared" si="22"/>
        <v>0</v>
      </c>
      <c r="H270" s="372">
        <f t="shared" si="23"/>
        <v>0</v>
      </c>
      <c r="I270" s="387"/>
    </row>
    <row r="271" spans="1:9" x14ac:dyDescent="0.35">
      <c r="A271" s="1515"/>
      <c r="B271" s="390">
        <v>53214010000000</v>
      </c>
      <c r="C271" s="393" t="s">
        <v>147</v>
      </c>
      <c r="D271" s="363"/>
      <c r="E271" s="363"/>
      <c r="F271" s="365"/>
      <c r="G271" s="369">
        <f t="shared" si="22"/>
        <v>0</v>
      </c>
      <c r="H271" s="372">
        <f t="shared" si="23"/>
        <v>0</v>
      </c>
      <c r="I271" s="387"/>
    </row>
    <row r="272" spans="1:9" x14ac:dyDescent="0.35">
      <c r="A272" s="1515"/>
      <c r="B272" s="390">
        <v>53214040000000</v>
      </c>
      <c r="C272" s="391" t="s">
        <v>148</v>
      </c>
      <c r="D272" s="363"/>
      <c r="E272" s="363"/>
      <c r="F272" s="365"/>
      <c r="G272" s="369">
        <f t="shared" si="22"/>
        <v>0</v>
      </c>
      <c r="H272" s="372">
        <f t="shared" si="23"/>
        <v>0</v>
      </c>
      <c r="I272" s="387"/>
    </row>
    <row r="273" spans="1:9" x14ac:dyDescent="0.35">
      <c r="A273" s="1515"/>
      <c r="B273" s="390">
        <v>55201010100004</v>
      </c>
      <c r="C273" s="391" t="s">
        <v>149</v>
      </c>
      <c r="D273" s="363"/>
      <c r="E273" s="405"/>
      <c r="F273" s="365"/>
      <c r="G273" s="369">
        <f>E273*F273</f>
        <v>0</v>
      </c>
      <c r="H273" s="372">
        <f t="shared" si="23"/>
        <v>0</v>
      </c>
      <c r="I273" s="387"/>
    </row>
    <row r="274" spans="1:9" x14ac:dyDescent="0.35">
      <c r="A274" s="1515"/>
      <c r="B274" s="390">
        <v>55201010100005</v>
      </c>
      <c r="C274" s="391" t="s">
        <v>150</v>
      </c>
      <c r="D274" s="363"/>
      <c r="E274" s="363"/>
      <c r="F274" s="365"/>
      <c r="G274" s="369">
        <f t="shared" si="22"/>
        <v>0</v>
      </c>
      <c r="H274" s="372">
        <f t="shared" si="23"/>
        <v>0</v>
      </c>
      <c r="I274" s="387"/>
    </row>
    <row r="275" spans="1:9" x14ac:dyDescent="0.35">
      <c r="A275" s="1515"/>
      <c r="B275" s="388"/>
      <c r="C275" s="389" t="s">
        <v>151</v>
      </c>
      <c r="D275" s="370">
        <f>SUM(D276:D284)</f>
        <v>3420704</v>
      </c>
      <c r="E275" s="371"/>
      <c r="F275" s="371"/>
      <c r="G275" s="370">
        <f>SUM(G276:G284)</f>
        <v>0</v>
      </c>
      <c r="H275" s="370">
        <f>SUM(H276:H284)</f>
        <v>3420704</v>
      </c>
      <c r="I275" s="387"/>
    </row>
    <row r="276" spans="1:9" x14ac:dyDescent="0.35">
      <c r="A276" s="1515"/>
      <c r="B276" s="390">
        <v>53207010000000</v>
      </c>
      <c r="C276" s="391" t="s">
        <v>152</v>
      </c>
      <c r="D276" s="366">
        <v>250000</v>
      </c>
      <c r="E276" s="366"/>
      <c r="F276" s="368"/>
      <c r="G276" s="369">
        <f t="shared" ref="G276:G284" si="24">E276*F276</f>
        <v>0</v>
      </c>
      <c r="H276" s="372">
        <f t="shared" ref="H276:H284" si="25">D276+G276</f>
        <v>250000</v>
      </c>
      <c r="I276" s="387"/>
    </row>
    <row r="277" spans="1:9" x14ac:dyDescent="0.35">
      <c r="A277" s="1515"/>
      <c r="B277" s="390">
        <v>53207020000000</v>
      </c>
      <c r="C277" s="391" t="s">
        <v>153</v>
      </c>
      <c r="D277" s="366">
        <v>162941</v>
      </c>
      <c r="E277" s="366"/>
      <c r="F277" s="368"/>
      <c r="G277" s="369">
        <f t="shared" si="24"/>
        <v>0</v>
      </c>
      <c r="H277" s="372">
        <f t="shared" si="25"/>
        <v>162941</v>
      </c>
      <c r="I277" s="392"/>
    </row>
    <row r="278" spans="1:9" x14ac:dyDescent="0.35">
      <c r="A278" s="1515"/>
      <c r="B278" s="390">
        <v>53208020000000</v>
      </c>
      <c r="C278" s="391" t="s">
        <v>154</v>
      </c>
      <c r="D278" s="366"/>
      <c r="E278" s="366"/>
      <c r="F278" s="368"/>
      <c r="G278" s="369">
        <f t="shared" si="24"/>
        <v>0</v>
      </c>
      <c r="H278" s="372">
        <f t="shared" si="25"/>
        <v>0</v>
      </c>
      <c r="I278" s="387"/>
    </row>
    <row r="279" spans="1:9" x14ac:dyDescent="0.35">
      <c r="A279" s="1515"/>
      <c r="B279" s="390">
        <v>53208990000000</v>
      </c>
      <c r="C279" s="391" t="s">
        <v>155</v>
      </c>
      <c r="D279" s="366">
        <v>619013</v>
      </c>
      <c r="E279" s="366"/>
      <c r="F279" s="368"/>
      <c r="G279" s="369">
        <f t="shared" si="24"/>
        <v>0</v>
      </c>
      <c r="H279" s="372">
        <f t="shared" si="25"/>
        <v>619013</v>
      </c>
      <c r="I279" s="387"/>
    </row>
    <row r="280" spans="1:9" x14ac:dyDescent="0.35">
      <c r="A280" s="1515"/>
      <c r="B280" s="390">
        <v>53209010000000</v>
      </c>
      <c r="C280" s="391" t="s">
        <v>156</v>
      </c>
      <c r="D280" s="366"/>
      <c r="E280" s="366"/>
      <c r="F280" s="368"/>
      <c r="G280" s="369">
        <f t="shared" si="24"/>
        <v>0</v>
      </c>
      <c r="H280" s="372">
        <f t="shared" si="25"/>
        <v>0</v>
      </c>
      <c r="I280" s="387"/>
    </row>
    <row r="281" spans="1:9" x14ac:dyDescent="0.35">
      <c r="A281" s="1515"/>
      <c r="B281" s="390">
        <v>53209040000000</v>
      </c>
      <c r="C281" s="391" t="s">
        <v>157</v>
      </c>
      <c r="D281" s="366"/>
      <c r="E281" s="366"/>
      <c r="F281" s="368"/>
      <c r="G281" s="369">
        <f t="shared" si="24"/>
        <v>0</v>
      </c>
      <c r="H281" s="372">
        <f t="shared" si="25"/>
        <v>0</v>
      </c>
      <c r="I281" s="387"/>
    </row>
    <row r="282" spans="1:9" x14ac:dyDescent="0.35">
      <c r="A282" s="1515"/>
      <c r="B282" s="390">
        <v>53209050000000</v>
      </c>
      <c r="C282" s="391" t="s">
        <v>158</v>
      </c>
      <c r="D282" s="366"/>
      <c r="E282" s="366"/>
      <c r="F282" s="368"/>
      <c r="G282" s="369">
        <f t="shared" si="24"/>
        <v>0</v>
      </c>
      <c r="H282" s="372">
        <f t="shared" si="25"/>
        <v>0</v>
      </c>
      <c r="I282" s="387"/>
    </row>
    <row r="283" spans="1:9" x14ac:dyDescent="0.35">
      <c r="A283" s="1515"/>
      <c r="B283" s="390">
        <v>53209990000000</v>
      </c>
      <c r="C283" s="391" t="s">
        <v>159</v>
      </c>
      <c r="D283" s="366">
        <v>2388750</v>
      </c>
      <c r="E283" s="366"/>
      <c r="F283" s="368"/>
      <c r="G283" s="369">
        <f t="shared" si="24"/>
        <v>0</v>
      </c>
      <c r="H283" s="372">
        <f t="shared" si="25"/>
        <v>2388750</v>
      </c>
      <c r="I283" s="387"/>
    </row>
    <row r="284" spans="1:9" x14ac:dyDescent="0.35">
      <c r="A284" s="1515"/>
      <c r="B284" s="390">
        <v>53210020100000</v>
      </c>
      <c r="C284" s="391" t="s">
        <v>160</v>
      </c>
      <c r="D284" s="366"/>
      <c r="E284" s="366"/>
      <c r="F284" s="368"/>
      <c r="G284" s="369">
        <f t="shared" si="24"/>
        <v>0</v>
      </c>
      <c r="H284" s="372">
        <f t="shared" si="25"/>
        <v>0</v>
      </c>
      <c r="I284" s="387"/>
    </row>
    <row r="285" spans="1:9" x14ac:dyDescent="0.35">
      <c r="A285" s="1515"/>
      <c r="B285" s="388"/>
      <c r="C285" s="389" t="s">
        <v>161</v>
      </c>
      <c r="D285" s="370">
        <f>SUM(D286:D292)</f>
        <v>1705787</v>
      </c>
      <c r="E285" s="371"/>
      <c r="F285" s="371"/>
      <c r="G285" s="370">
        <f>SUM(G286:G292)</f>
        <v>0</v>
      </c>
      <c r="H285" s="370">
        <f>SUM(H286:H292)</f>
        <v>1705787</v>
      </c>
      <c r="I285" s="387"/>
    </row>
    <row r="286" spans="1:9" x14ac:dyDescent="0.35">
      <c r="A286" s="1515"/>
      <c r="B286" s="390">
        <v>53206030000000</v>
      </c>
      <c r="C286" s="391" t="s">
        <v>162</v>
      </c>
      <c r="D286" s="366"/>
      <c r="E286" s="366"/>
      <c r="F286" s="368"/>
      <c r="G286" s="369">
        <f t="shared" ref="G286:G292" si="26">E286*F286</f>
        <v>0</v>
      </c>
      <c r="H286" s="372">
        <f t="shared" ref="H286:H292" si="27">D286+G286</f>
        <v>0</v>
      </c>
      <c r="I286" s="387"/>
    </row>
    <row r="287" spans="1:9" x14ac:dyDescent="0.35">
      <c r="A287" s="1515"/>
      <c r="B287" s="390">
        <v>53206040000000</v>
      </c>
      <c r="C287" s="391" t="s">
        <v>163</v>
      </c>
      <c r="D287" s="366"/>
      <c r="E287" s="366"/>
      <c r="F287" s="368"/>
      <c r="G287" s="369">
        <f t="shared" si="26"/>
        <v>0</v>
      </c>
      <c r="H287" s="372">
        <f t="shared" si="27"/>
        <v>0</v>
      </c>
      <c r="I287" s="387"/>
    </row>
    <row r="288" spans="1:9" x14ac:dyDescent="0.35">
      <c r="A288" s="1515"/>
      <c r="B288" s="390">
        <v>53206060000000</v>
      </c>
      <c r="C288" s="391" t="s">
        <v>164</v>
      </c>
      <c r="D288" s="366"/>
      <c r="E288" s="366"/>
      <c r="F288" s="368"/>
      <c r="G288" s="369">
        <f t="shared" si="26"/>
        <v>0</v>
      </c>
      <c r="H288" s="372">
        <f t="shared" si="27"/>
        <v>0</v>
      </c>
      <c r="I288" s="387"/>
    </row>
    <row r="289" spans="1:9" x14ac:dyDescent="0.35">
      <c r="A289" s="1515"/>
      <c r="B289" s="390">
        <v>53206070000000</v>
      </c>
      <c r="C289" s="391" t="s">
        <v>165</v>
      </c>
      <c r="D289" s="366"/>
      <c r="E289" s="366"/>
      <c r="F289" s="368"/>
      <c r="G289" s="369">
        <f t="shared" si="26"/>
        <v>0</v>
      </c>
      <c r="H289" s="372">
        <f t="shared" si="27"/>
        <v>0</v>
      </c>
      <c r="I289" s="387"/>
    </row>
    <row r="290" spans="1:9" x14ac:dyDescent="0.35">
      <c r="A290" s="1515"/>
      <c r="B290" s="390">
        <v>53206990000000</v>
      </c>
      <c r="C290" s="391" t="s">
        <v>166</v>
      </c>
      <c r="D290" s="366"/>
      <c r="E290" s="366"/>
      <c r="F290" s="368"/>
      <c r="G290" s="369">
        <f t="shared" si="26"/>
        <v>0</v>
      </c>
      <c r="H290" s="372">
        <f t="shared" si="27"/>
        <v>0</v>
      </c>
      <c r="I290" s="387"/>
    </row>
    <row r="291" spans="1:9" x14ac:dyDescent="0.35">
      <c r="A291" s="1515"/>
      <c r="B291" s="390">
        <v>53208030000000</v>
      </c>
      <c r="C291" s="391" t="s">
        <v>167</v>
      </c>
      <c r="D291" s="366"/>
      <c r="E291" s="366"/>
      <c r="F291" s="368"/>
      <c r="G291" s="369">
        <f t="shared" si="26"/>
        <v>0</v>
      </c>
      <c r="H291" s="372">
        <v>0</v>
      </c>
      <c r="I291" s="387"/>
    </row>
    <row r="292" spans="1:9" x14ac:dyDescent="0.35">
      <c r="A292" s="1515"/>
      <c r="B292" s="390">
        <v>53212060000000</v>
      </c>
      <c r="C292" s="391" t="s">
        <v>168</v>
      </c>
      <c r="D292" s="363">
        <v>1705787</v>
      </c>
      <c r="E292" s="363"/>
      <c r="F292" s="365"/>
      <c r="G292" s="369">
        <f t="shared" si="26"/>
        <v>0</v>
      </c>
      <c r="H292" s="372">
        <f t="shared" si="27"/>
        <v>1705787</v>
      </c>
      <c r="I292" s="387" t="s">
        <v>435</v>
      </c>
    </row>
    <row r="293" spans="1:9" x14ac:dyDescent="0.35">
      <c r="A293" s="1515"/>
      <c r="B293" s="388"/>
      <c r="C293" s="389" t="s">
        <v>169</v>
      </c>
      <c r="D293" s="370">
        <f>SUM(D294:D295)</f>
        <v>502938</v>
      </c>
      <c r="E293" s="371"/>
      <c r="F293" s="371"/>
      <c r="G293" s="370">
        <f>SUM(G294:G295)</f>
        <v>0</v>
      </c>
      <c r="H293" s="370">
        <f>SUM(H294:H295)</f>
        <v>502938</v>
      </c>
      <c r="I293" s="387"/>
    </row>
    <row r="294" spans="1:9" x14ac:dyDescent="0.35">
      <c r="A294" s="1515"/>
      <c r="B294" s="390">
        <v>53210020500000</v>
      </c>
      <c r="C294" s="391" t="s">
        <v>170</v>
      </c>
      <c r="D294" s="363"/>
      <c r="E294" s="363"/>
      <c r="F294" s="365"/>
      <c r="G294" s="369">
        <f>E294*F294</f>
        <v>0</v>
      </c>
      <c r="H294" s="372">
        <f>D294+G294</f>
        <v>0</v>
      </c>
      <c r="I294" s="387"/>
    </row>
    <row r="295" spans="1:9" x14ac:dyDescent="0.35">
      <c r="A295" s="1515"/>
      <c r="B295" s="390">
        <v>53204999000000</v>
      </c>
      <c r="C295" s="391" t="s">
        <v>171</v>
      </c>
      <c r="D295" s="366">
        <v>502938</v>
      </c>
      <c r="E295" s="366"/>
      <c r="F295" s="368"/>
      <c r="G295" s="369">
        <f>E295*F295</f>
        <v>0</v>
      </c>
      <c r="H295" s="372">
        <f>D295+G295</f>
        <v>502938</v>
      </c>
      <c r="I295" s="387"/>
    </row>
    <row r="296" spans="1:9" x14ac:dyDescent="0.35">
      <c r="A296" s="1515"/>
      <c r="B296" s="394"/>
      <c r="C296" s="395" t="s">
        <v>12</v>
      </c>
      <c r="D296" s="373">
        <f>SUM(D227,D255)</f>
        <v>111967254.72</v>
      </c>
      <c r="E296" s="374"/>
      <c r="F296" s="374"/>
      <c r="G296" s="373">
        <f>SUM(G227,G255)</f>
        <v>560000</v>
      </c>
      <c r="H296" s="373">
        <f>SUM(H227,H255)</f>
        <v>112527254.72</v>
      </c>
      <c r="I296" s="387"/>
    </row>
    <row r="297" spans="1:9" x14ac:dyDescent="0.35">
      <c r="A297" s="1516" t="s">
        <v>72</v>
      </c>
      <c r="B297" s="1517" t="s">
        <v>95</v>
      </c>
      <c r="C297" s="1518" t="s">
        <v>96</v>
      </c>
      <c r="D297" s="1519" t="s">
        <v>97</v>
      </c>
      <c r="E297" s="1513" t="s">
        <v>98</v>
      </c>
      <c r="F297" s="1513"/>
      <c r="G297" s="1513"/>
      <c r="H297" s="1514" t="str">
        <f>+H225</f>
        <v>COSTO DIRECTO ESTIMADO 2026</v>
      </c>
      <c r="I297" s="1513" t="s">
        <v>99</v>
      </c>
    </row>
    <row r="298" spans="1:9" ht="26" x14ac:dyDescent="0.35">
      <c r="A298" s="1516"/>
      <c r="B298" s="1517"/>
      <c r="C298" s="1518"/>
      <c r="D298" s="1519"/>
      <c r="E298" s="375" t="s">
        <v>100</v>
      </c>
      <c r="F298" s="376" t="s">
        <v>101</v>
      </c>
      <c r="G298" s="377" t="s">
        <v>102</v>
      </c>
      <c r="H298" s="1514"/>
      <c r="I298" s="1513"/>
    </row>
    <row r="299" spans="1:9" x14ac:dyDescent="0.35">
      <c r="A299" s="1515" t="str">
        <f>+'B) Reajuste Tarifas y Ocupación'!A39</f>
        <v>Piscina C.R. Huayquique (Oficiales)</v>
      </c>
      <c r="B299" s="385"/>
      <c r="C299" s="386" t="s">
        <v>103</v>
      </c>
      <c r="D299" s="378">
        <f>SUM(D300,D305,D307)</f>
        <v>9821006.9399999995</v>
      </c>
      <c r="E299" s="379"/>
      <c r="F299" s="379"/>
      <c r="G299" s="378">
        <f>SUM(G300,G305,G307)</f>
        <v>0</v>
      </c>
      <c r="H299" s="384">
        <f>SUM(H300,H305,H307)</f>
        <v>9821006.9399999995</v>
      </c>
      <c r="I299" s="387"/>
    </row>
    <row r="300" spans="1:9" x14ac:dyDescent="0.35">
      <c r="A300" s="1515"/>
      <c r="B300" s="388"/>
      <c r="C300" s="389" t="s">
        <v>104</v>
      </c>
      <c r="D300" s="370">
        <f>SUM(D301:D304)</f>
        <v>6820343.9399999995</v>
      </c>
      <c r="E300" s="380"/>
      <c r="F300" s="380"/>
      <c r="G300" s="370">
        <f>SUM(G301:G304)</f>
        <v>0</v>
      </c>
      <c r="H300" s="370">
        <f>SUM(H301:H304)</f>
        <v>6820343.9399999995</v>
      </c>
      <c r="I300" s="387"/>
    </row>
    <row r="301" spans="1:9" x14ac:dyDescent="0.35">
      <c r="A301" s="1515"/>
      <c r="B301" s="390">
        <v>53103040100000</v>
      </c>
      <c r="C301" s="391" t="s">
        <v>105</v>
      </c>
      <c r="D301" s="381">
        <f>+'F) Remuneraciones'!M88</f>
        <v>6820343.9399999995</v>
      </c>
      <c r="E301" s="382"/>
      <c r="F301" s="382"/>
      <c r="G301" s="382"/>
      <c r="H301" s="372">
        <f>D301+G301</f>
        <v>6820343.9399999995</v>
      </c>
      <c r="I301" s="387"/>
    </row>
    <row r="302" spans="1:9" x14ac:dyDescent="0.35">
      <c r="A302" s="1515"/>
      <c r="B302" s="390">
        <v>53103050000000</v>
      </c>
      <c r="C302" s="391" t="s">
        <v>106</v>
      </c>
      <c r="D302" s="363"/>
      <c r="E302" s="364"/>
      <c r="F302" s="365"/>
      <c r="G302" s="369">
        <f>E302*F302</f>
        <v>0</v>
      </c>
      <c r="H302" s="372">
        <f>D302+G302</f>
        <v>0</v>
      </c>
      <c r="I302" s="387"/>
    </row>
    <row r="303" spans="1:9" x14ac:dyDescent="0.35">
      <c r="A303" s="1515"/>
      <c r="B303" s="390">
        <v>53103060000000</v>
      </c>
      <c r="C303" s="391" t="s">
        <v>107</v>
      </c>
      <c r="D303" s="363"/>
      <c r="E303" s="364"/>
      <c r="F303" s="365"/>
      <c r="G303" s="369">
        <f>E303*F303</f>
        <v>0</v>
      </c>
      <c r="H303" s="372">
        <f>D303+G303</f>
        <v>0</v>
      </c>
      <c r="I303" s="387"/>
    </row>
    <row r="304" spans="1:9" x14ac:dyDescent="0.35">
      <c r="A304" s="1515"/>
      <c r="B304" s="390">
        <v>53103080010000</v>
      </c>
      <c r="C304" s="391" t="s">
        <v>108</v>
      </c>
      <c r="D304" s="363"/>
      <c r="E304" s="364"/>
      <c r="F304" s="365"/>
      <c r="G304" s="369">
        <f>E304*F304</f>
        <v>0</v>
      </c>
      <c r="H304" s="372">
        <f>D304+G304</f>
        <v>0</v>
      </c>
      <c r="I304" s="387"/>
    </row>
    <row r="305" spans="1:9" x14ac:dyDescent="0.35">
      <c r="A305" s="1515"/>
      <c r="B305" s="388"/>
      <c r="C305" s="389" t="s">
        <v>109</v>
      </c>
      <c r="D305" s="370">
        <f>SUM(D306)</f>
        <v>0</v>
      </c>
      <c r="E305" s="371"/>
      <c r="F305" s="371"/>
      <c r="G305" s="383">
        <f>SUM(G306:G306)</f>
        <v>0</v>
      </c>
      <c r="H305" s="370">
        <f>SUM(H306:H306)</f>
        <v>0</v>
      </c>
      <c r="I305" s="387"/>
    </row>
    <row r="306" spans="1:9" x14ac:dyDescent="0.35">
      <c r="A306" s="1515"/>
      <c r="B306" s="390">
        <v>55201010100001</v>
      </c>
      <c r="C306" s="391" t="s">
        <v>110</v>
      </c>
      <c r="D306" s="363"/>
      <c r="E306" s="364"/>
      <c r="F306" s="365"/>
      <c r="G306" s="369">
        <f>E306*F306</f>
        <v>0</v>
      </c>
      <c r="H306" s="372">
        <f>D306+G306</f>
        <v>0</v>
      </c>
      <c r="I306" s="387"/>
    </row>
    <row r="307" spans="1:9" x14ac:dyDescent="0.35">
      <c r="A307" s="1515"/>
      <c r="B307" s="388"/>
      <c r="C307" s="389" t="s">
        <v>111</v>
      </c>
      <c r="D307" s="370">
        <f>SUM(D308:D326)</f>
        <v>3000663</v>
      </c>
      <c r="E307" s="371"/>
      <c r="F307" s="371"/>
      <c r="G307" s="370">
        <f>SUM(G308:G326)</f>
        <v>0</v>
      </c>
      <c r="H307" s="370">
        <f>SUM(H308:H326)</f>
        <v>3000663</v>
      </c>
      <c r="I307" s="387"/>
    </row>
    <row r="308" spans="1:9" x14ac:dyDescent="0.35">
      <c r="A308" s="1515"/>
      <c r="B308" s="390">
        <v>53201010100000</v>
      </c>
      <c r="C308" s="391" t="s">
        <v>112</v>
      </c>
      <c r="D308" s="363"/>
      <c r="E308" s="364"/>
      <c r="F308" s="365"/>
      <c r="G308" s="369">
        <f t="shared" ref="G308:G326" si="28">E308*F308</f>
        <v>0</v>
      </c>
      <c r="H308" s="372">
        <f t="shared" ref="H308:H326" si="29">D308+G308</f>
        <v>0</v>
      </c>
      <c r="I308" s="387"/>
    </row>
    <row r="309" spans="1:9" x14ac:dyDescent="0.35">
      <c r="A309" s="1515"/>
      <c r="B309" s="390">
        <v>53202010100000</v>
      </c>
      <c r="C309" s="391" t="s">
        <v>113</v>
      </c>
      <c r="D309" s="363"/>
      <c r="E309" s="364"/>
      <c r="F309" s="365"/>
      <c r="G309" s="369">
        <f t="shared" si="28"/>
        <v>0</v>
      </c>
      <c r="H309" s="372">
        <f t="shared" si="29"/>
        <v>0</v>
      </c>
      <c r="I309" s="387"/>
    </row>
    <row r="310" spans="1:9" x14ac:dyDescent="0.35">
      <c r="A310" s="1515"/>
      <c r="B310" s="390">
        <v>53203010100000</v>
      </c>
      <c r="C310" s="391" t="s">
        <v>114</v>
      </c>
      <c r="D310" s="366"/>
      <c r="E310" s="367"/>
      <c r="F310" s="368"/>
      <c r="G310" s="369">
        <f t="shared" si="28"/>
        <v>0</v>
      </c>
      <c r="H310" s="372">
        <f t="shared" si="29"/>
        <v>0</v>
      </c>
      <c r="I310" s="387"/>
    </row>
    <row r="311" spans="1:9" x14ac:dyDescent="0.35">
      <c r="A311" s="1515"/>
      <c r="B311" s="390">
        <v>53203030000000</v>
      </c>
      <c r="C311" s="391" t="s">
        <v>115</v>
      </c>
      <c r="D311" s="366"/>
      <c r="E311" s="367"/>
      <c r="F311" s="368"/>
      <c r="G311" s="369">
        <f t="shared" si="28"/>
        <v>0</v>
      </c>
      <c r="H311" s="372">
        <f t="shared" si="29"/>
        <v>0</v>
      </c>
      <c r="I311" s="387"/>
    </row>
    <row r="312" spans="1:9" x14ac:dyDescent="0.35">
      <c r="A312" s="1515"/>
      <c r="B312" s="390">
        <v>53204030000000</v>
      </c>
      <c r="C312" s="391" t="s">
        <v>116</v>
      </c>
      <c r="D312" s="366">
        <v>2268438</v>
      </c>
      <c r="E312" s="367"/>
      <c r="F312" s="368"/>
      <c r="G312" s="369">
        <f t="shared" si="28"/>
        <v>0</v>
      </c>
      <c r="H312" s="372">
        <f t="shared" si="29"/>
        <v>2268438</v>
      </c>
      <c r="I312" s="387"/>
    </row>
    <row r="313" spans="1:9" x14ac:dyDescent="0.35">
      <c r="A313" s="1515"/>
      <c r="B313" s="390">
        <v>53204100100001</v>
      </c>
      <c r="C313" s="391" t="s">
        <v>117</v>
      </c>
      <c r="D313" s="366"/>
      <c r="E313" s="367"/>
      <c r="F313" s="368"/>
      <c r="G313" s="369">
        <f t="shared" si="28"/>
        <v>0</v>
      </c>
      <c r="H313" s="372">
        <f t="shared" si="29"/>
        <v>0</v>
      </c>
      <c r="I313" s="392"/>
    </row>
    <row r="314" spans="1:9" x14ac:dyDescent="0.35">
      <c r="A314" s="1515"/>
      <c r="B314" s="390">
        <v>53204130100000</v>
      </c>
      <c r="C314" s="391" t="s">
        <v>118</v>
      </c>
      <c r="D314" s="366"/>
      <c r="E314" s="367"/>
      <c r="F314" s="368"/>
      <c r="G314" s="369">
        <f t="shared" si="28"/>
        <v>0</v>
      </c>
      <c r="H314" s="372">
        <f t="shared" si="29"/>
        <v>0</v>
      </c>
      <c r="I314" s="392"/>
    </row>
    <row r="315" spans="1:9" x14ac:dyDescent="0.35">
      <c r="A315" s="1515"/>
      <c r="B315" s="390">
        <v>53205010100000</v>
      </c>
      <c r="C315" s="393" t="s">
        <v>119</v>
      </c>
      <c r="D315" s="366"/>
      <c r="E315" s="367"/>
      <c r="F315" s="368"/>
      <c r="G315" s="369">
        <f t="shared" si="28"/>
        <v>0</v>
      </c>
      <c r="H315" s="372">
        <f t="shared" si="29"/>
        <v>0</v>
      </c>
      <c r="I315" s="396"/>
    </row>
    <row r="316" spans="1:9" x14ac:dyDescent="0.35">
      <c r="A316" s="1515"/>
      <c r="B316" s="390">
        <v>53205020100000</v>
      </c>
      <c r="C316" s="393" t="s">
        <v>120</v>
      </c>
      <c r="D316" s="366">
        <v>732225</v>
      </c>
      <c r="E316" s="367"/>
      <c r="F316" s="368"/>
      <c r="G316" s="369">
        <f t="shared" si="28"/>
        <v>0</v>
      </c>
      <c r="H316" s="372">
        <f t="shared" si="29"/>
        <v>732225</v>
      </c>
      <c r="I316" s="396"/>
    </row>
    <row r="317" spans="1:9" x14ac:dyDescent="0.35">
      <c r="A317" s="1515"/>
      <c r="B317" s="390">
        <v>53205030100000</v>
      </c>
      <c r="C317" s="391" t="s">
        <v>121</v>
      </c>
      <c r="D317" s="366"/>
      <c r="E317" s="367"/>
      <c r="F317" s="368"/>
      <c r="G317" s="369">
        <f t="shared" si="28"/>
        <v>0</v>
      </c>
      <c r="H317" s="372">
        <f t="shared" si="29"/>
        <v>0</v>
      </c>
      <c r="I317" s="387"/>
    </row>
    <row r="318" spans="1:9" x14ac:dyDescent="0.35">
      <c r="A318" s="1515"/>
      <c r="B318" s="390">
        <v>53205050100000</v>
      </c>
      <c r="C318" s="391" t="s">
        <v>122</v>
      </c>
      <c r="D318" s="366"/>
      <c r="E318" s="367"/>
      <c r="F318" s="368"/>
      <c r="G318" s="369">
        <f t="shared" si="28"/>
        <v>0</v>
      </c>
      <c r="H318" s="372">
        <f t="shared" si="29"/>
        <v>0</v>
      </c>
      <c r="I318" s="387"/>
    </row>
    <row r="319" spans="1:9" x14ac:dyDescent="0.35">
      <c r="A319" s="1515"/>
      <c r="B319" s="390">
        <v>53205060100000</v>
      </c>
      <c r="C319" s="391" t="s">
        <v>123</v>
      </c>
      <c r="D319" s="366"/>
      <c r="E319" s="367"/>
      <c r="F319" s="368"/>
      <c r="G319" s="369">
        <f t="shared" si="28"/>
        <v>0</v>
      </c>
      <c r="H319" s="372">
        <f t="shared" si="29"/>
        <v>0</v>
      </c>
      <c r="I319" s="387"/>
    </row>
    <row r="320" spans="1:9" x14ac:dyDescent="0.35">
      <c r="A320" s="1515"/>
      <c r="B320" s="390">
        <v>53205070100000</v>
      </c>
      <c r="C320" s="391" t="s">
        <v>124</v>
      </c>
      <c r="D320" s="366"/>
      <c r="E320" s="367"/>
      <c r="F320" s="368"/>
      <c r="G320" s="369">
        <f t="shared" si="28"/>
        <v>0</v>
      </c>
      <c r="H320" s="372">
        <f t="shared" si="29"/>
        <v>0</v>
      </c>
      <c r="I320" s="387"/>
    </row>
    <row r="321" spans="1:9" x14ac:dyDescent="0.35">
      <c r="A321" s="1515"/>
      <c r="B321" s="390">
        <v>53208010100000</v>
      </c>
      <c r="C321" s="391" t="s">
        <v>125</v>
      </c>
      <c r="D321" s="366"/>
      <c r="E321" s="367"/>
      <c r="F321" s="368"/>
      <c r="G321" s="369">
        <f t="shared" si="28"/>
        <v>0</v>
      </c>
      <c r="H321" s="372">
        <f t="shared" si="29"/>
        <v>0</v>
      </c>
      <c r="I321" s="387"/>
    </row>
    <row r="322" spans="1:9" x14ac:dyDescent="0.35">
      <c r="A322" s="1515"/>
      <c r="B322" s="390">
        <v>53208070100001</v>
      </c>
      <c r="C322" s="391" t="s">
        <v>126</v>
      </c>
      <c r="D322" s="366"/>
      <c r="E322" s="367"/>
      <c r="F322" s="368"/>
      <c r="G322" s="369">
        <f t="shared" si="28"/>
        <v>0</v>
      </c>
      <c r="H322" s="372">
        <f t="shared" si="29"/>
        <v>0</v>
      </c>
      <c r="I322" s="387"/>
    </row>
    <row r="323" spans="1:9" x14ac:dyDescent="0.35">
      <c r="A323" s="1515"/>
      <c r="B323" s="390">
        <v>53208100100001</v>
      </c>
      <c r="C323" s="391" t="s">
        <v>127</v>
      </c>
      <c r="D323" s="366"/>
      <c r="E323" s="367"/>
      <c r="F323" s="368"/>
      <c r="G323" s="369">
        <f t="shared" si="28"/>
        <v>0</v>
      </c>
      <c r="H323" s="372">
        <f t="shared" si="29"/>
        <v>0</v>
      </c>
      <c r="I323" s="387"/>
    </row>
    <row r="324" spans="1:9" x14ac:dyDescent="0.35">
      <c r="A324" s="1515"/>
      <c r="B324" s="390">
        <v>53211030000000</v>
      </c>
      <c r="C324" s="391" t="s">
        <v>128</v>
      </c>
      <c r="D324" s="366"/>
      <c r="E324" s="367"/>
      <c r="F324" s="368"/>
      <c r="G324" s="369">
        <f t="shared" si="28"/>
        <v>0</v>
      </c>
      <c r="H324" s="372">
        <f t="shared" si="29"/>
        <v>0</v>
      </c>
      <c r="I324" s="387"/>
    </row>
    <row r="325" spans="1:9" x14ac:dyDescent="0.35">
      <c r="A325" s="1515"/>
      <c r="B325" s="390">
        <v>53212020100000</v>
      </c>
      <c r="C325" s="391" t="s">
        <v>129</v>
      </c>
      <c r="D325" s="366"/>
      <c r="E325" s="367"/>
      <c r="F325" s="368"/>
      <c r="G325" s="369">
        <f t="shared" si="28"/>
        <v>0</v>
      </c>
      <c r="H325" s="372">
        <f t="shared" si="29"/>
        <v>0</v>
      </c>
      <c r="I325" s="392"/>
    </row>
    <row r="326" spans="1:9" x14ac:dyDescent="0.35">
      <c r="A326" s="1515"/>
      <c r="B326" s="390">
        <v>53214020000000</v>
      </c>
      <c r="C326" s="391" t="s">
        <v>130</v>
      </c>
      <c r="D326" s="363"/>
      <c r="E326" s="364"/>
      <c r="F326" s="365"/>
      <c r="G326" s="369">
        <f t="shared" si="28"/>
        <v>0</v>
      </c>
      <c r="H326" s="372">
        <f t="shared" si="29"/>
        <v>0</v>
      </c>
      <c r="I326" s="392"/>
    </row>
    <row r="327" spans="1:9" x14ac:dyDescent="0.35">
      <c r="A327" s="1515"/>
      <c r="B327" s="385"/>
      <c r="C327" s="386" t="s">
        <v>131</v>
      </c>
      <c r="D327" s="384">
        <f>SUM(D328,D333,D336,D347,D357,D365)</f>
        <v>151725</v>
      </c>
      <c r="E327" s="379"/>
      <c r="F327" s="379"/>
      <c r="G327" s="384">
        <f>SUM(G328,G333,G336,G347,G357,G365)</f>
        <v>160000</v>
      </c>
      <c r="H327" s="384">
        <f>SUM(H328,H333,H336,H347,H357,H365)</f>
        <v>311725</v>
      </c>
      <c r="I327" s="392"/>
    </row>
    <row r="328" spans="1:9" x14ac:dyDescent="0.35">
      <c r="A328" s="1515"/>
      <c r="B328" s="388"/>
      <c r="C328" s="389" t="s">
        <v>132</v>
      </c>
      <c r="D328" s="370">
        <f>SUM(D329:D332)</f>
        <v>0</v>
      </c>
      <c r="E328" s="371"/>
      <c r="F328" s="371"/>
      <c r="G328" s="383">
        <f>SUM(G329:G332)</f>
        <v>160000</v>
      </c>
      <c r="H328" s="383">
        <f>SUM(H329:H332)</f>
        <v>160000</v>
      </c>
      <c r="I328" s="392"/>
    </row>
    <row r="329" spans="1:9" x14ac:dyDescent="0.35">
      <c r="A329" s="1515"/>
      <c r="B329" s="390">
        <v>53202020100000</v>
      </c>
      <c r="C329" s="391" t="s">
        <v>133</v>
      </c>
      <c r="D329" s="366"/>
      <c r="E329" s="367">
        <v>50000</v>
      </c>
      <c r="F329" s="368">
        <v>2</v>
      </c>
      <c r="G329" s="369">
        <f>E329*F329</f>
        <v>100000</v>
      </c>
      <c r="H329" s="372">
        <f>D329+G329</f>
        <v>100000</v>
      </c>
      <c r="I329" s="392"/>
    </row>
    <row r="330" spans="1:9" x14ac:dyDescent="0.35">
      <c r="A330" s="1515"/>
      <c r="B330" s="390">
        <v>53202030000000</v>
      </c>
      <c r="C330" s="391" t="s">
        <v>134</v>
      </c>
      <c r="D330" s="363"/>
      <c r="E330" s="364">
        <v>30000</v>
      </c>
      <c r="F330" s="365">
        <v>2</v>
      </c>
      <c r="G330" s="369">
        <f>E330*F330</f>
        <v>60000</v>
      </c>
      <c r="H330" s="372">
        <f>D330+G330</f>
        <v>60000</v>
      </c>
      <c r="I330" s="392"/>
    </row>
    <row r="331" spans="1:9" x14ac:dyDescent="0.35">
      <c r="A331" s="1515"/>
      <c r="B331" s="390">
        <v>53211020000000</v>
      </c>
      <c r="C331" s="391" t="s">
        <v>135</v>
      </c>
      <c r="D331" s="366"/>
      <c r="E331" s="367"/>
      <c r="F331" s="368"/>
      <c r="G331" s="369">
        <f>E331*F331</f>
        <v>0</v>
      </c>
      <c r="H331" s="372">
        <f>D331+G331</f>
        <v>0</v>
      </c>
      <c r="I331" s="392"/>
    </row>
    <row r="332" spans="1:9" x14ac:dyDescent="0.35">
      <c r="A332" s="1515"/>
      <c r="B332" s="390">
        <v>53101004030000</v>
      </c>
      <c r="C332" s="391" t="s">
        <v>136</v>
      </c>
      <c r="D332" s="363"/>
      <c r="E332" s="364"/>
      <c r="F332" s="365"/>
      <c r="G332" s="369">
        <f>E332*F332</f>
        <v>0</v>
      </c>
      <c r="H332" s="372">
        <f>D332+G332</f>
        <v>0</v>
      </c>
      <c r="I332" s="392"/>
    </row>
    <row r="333" spans="1:9" x14ac:dyDescent="0.35">
      <c r="A333" s="1515"/>
      <c r="B333" s="388"/>
      <c r="C333" s="389" t="s">
        <v>137</v>
      </c>
      <c r="D333" s="370">
        <f>SUM(D334:D335)</f>
        <v>0</v>
      </c>
      <c r="E333" s="371"/>
      <c r="F333" s="371"/>
      <c r="G333" s="383">
        <f>SUM(G334:G335)</f>
        <v>0</v>
      </c>
      <c r="H333" s="383">
        <f>SUM(H334:H335)</f>
        <v>0</v>
      </c>
      <c r="I333" s="392"/>
    </row>
    <row r="334" spans="1:9" x14ac:dyDescent="0.35">
      <c r="A334" s="1515"/>
      <c r="B334" s="390">
        <v>53205080000000</v>
      </c>
      <c r="C334" s="393" t="s">
        <v>138</v>
      </c>
      <c r="D334" s="363"/>
      <c r="E334" s="364"/>
      <c r="F334" s="365"/>
      <c r="G334" s="369">
        <f>E334*F334</f>
        <v>0</v>
      </c>
      <c r="H334" s="372">
        <f>D334+G334</f>
        <v>0</v>
      </c>
      <c r="I334" s="392"/>
    </row>
    <row r="335" spans="1:9" x14ac:dyDescent="0.35">
      <c r="A335" s="1515"/>
      <c r="B335" s="390">
        <v>53205990000000</v>
      </c>
      <c r="C335" s="391" t="s">
        <v>139</v>
      </c>
      <c r="D335" s="366"/>
      <c r="E335" s="367"/>
      <c r="F335" s="368"/>
      <c r="G335" s="369">
        <f>E335*F335</f>
        <v>0</v>
      </c>
      <c r="H335" s="372">
        <f>D335+G335</f>
        <v>0</v>
      </c>
      <c r="I335" s="392"/>
    </row>
    <row r="336" spans="1:9" x14ac:dyDescent="0.35">
      <c r="A336" s="1515"/>
      <c r="B336" s="388"/>
      <c r="C336" s="389" t="s">
        <v>140</v>
      </c>
      <c r="D336" s="370">
        <f>SUM(D337:D346)</f>
        <v>0</v>
      </c>
      <c r="E336" s="371"/>
      <c r="F336" s="371"/>
      <c r="G336" s="370">
        <f>SUM(G337:G346)</f>
        <v>0</v>
      </c>
      <c r="H336" s="370">
        <f>SUM(H337:H346)</f>
        <v>0</v>
      </c>
      <c r="I336" s="392"/>
    </row>
    <row r="337" spans="1:9" x14ac:dyDescent="0.35">
      <c r="A337" s="1515"/>
      <c r="B337" s="390">
        <v>53203010200000</v>
      </c>
      <c r="C337" s="391" t="s">
        <v>141</v>
      </c>
      <c r="D337" s="363"/>
      <c r="E337" s="363"/>
      <c r="F337" s="365"/>
      <c r="G337" s="369">
        <f t="shared" ref="G337:G346" si="30">E337*F337</f>
        <v>0</v>
      </c>
      <c r="H337" s="372">
        <f t="shared" ref="H337:H346" si="31">D337+G337</f>
        <v>0</v>
      </c>
      <c r="I337" s="387"/>
    </row>
    <row r="338" spans="1:9" x14ac:dyDescent="0.35">
      <c r="A338" s="1515"/>
      <c r="B338" s="390">
        <v>53204010000000</v>
      </c>
      <c r="C338" s="391" t="s">
        <v>142</v>
      </c>
      <c r="D338" s="366"/>
      <c r="E338" s="366"/>
      <c r="F338" s="368"/>
      <c r="G338" s="369">
        <f t="shared" si="30"/>
        <v>0</v>
      </c>
      <c r="H338" s="372">
        <f t="shared" si="31"/>
        <v>0</v>
      </c>
      <c r="I338" s="387"/>
    </row>
    <row r="339" spans="1:9" x14ac:dyDescent="0.35">
      <c r="A339" s="1515"/>
      <c r="B339" s="390">
        <v>53204040200000</v>
      </c>
      <c r="C339" s="393" t="s">
        <v>143</v>
      </c>
      <c r="D339" s="366"/>
      <c r="E339" s="366"/>
      <c r="F339" s="368"/>
      <c r="G339" s="369">
        <f t="shared" si="30"/>
        <v>0</v>
      </c>
      <c r="H339" s="372">
        <f t="shared" si="31"/>
        <v>0</v>
      </c>
      <c r="I339" s="392"/>
    </row>
    <row r="340" spans="1:9" x14ac:dyDescent="0.35">
      <c r="A340" s="1515"/>
      <c r="B340" s="390">
        <v>53204060000000</v>
      </c>
      <c r="C340" s="393" t="s">
        <v>144</v>
      </c>
      <c r="D340" s="366"/>
      <c r="E340" s="366"/>
      <c r="F340" s="368"/>
      <c r="G340" s="369">
        <f t="shared" si="30"/>
        <v>0</v>
      </c>
      <c r="H340" s="372">
        <f t="shared" si="31"/>
        <v>0</v>
      </c>
      <c r="I340" s="392"/>
    </row>
    <row r="341" spans="1:9" x14ac:dyDescent="0.35">
      <c r="A341" s="1515"/>
      <c r="B341" s="390">
        <v>53204070000000</v>
      </c>
      <c r="C341" s="393" t="s">
        <v>145</v>
      </c>
      <c r="D341" s="366"/>
      <c r="E341" s="366"/>
      <c r="F341" s="368"/>
      <c r="G341" s="369">
        <f t="shared" si="30"/>
        <v>0</v>
      </c>
      <c r="H341" s="372">
        <f t="shared" si="31"/>
        <v>0</v>
      </c>
      <c r="I341" s="392"/>
    </row>
    <row r="342" spans="1:9" x14ac:dyDescent="0.35">
      <c r="A342" s="1515"/>
      <c r="B342" s="390">
        <v>53204080000000</v>
      </c>
      <c r="C342" s="393" t="s">
        <v>146</v>
      </c>
      <c r="D342" s="366"/>
      <c r="E342" s="366"/>
      <c r="F342" s="368"/>
      <c r="G342" s="369">
        <f t="shared" si="30"/>
        <v>0</v>
      </c>
      <c r="H342" s="372">
        <f t="shared" si="31"/>
        <v>0</v>
      </c>
      <c r="I342" s="392"/>
    </row>
    <row r="343" spans="1:9" x14ac:dyDescent="0.35">
      <c r="A343" s="1515"/>
      <c r="B343" s="390">
        <v>53214010000000</v>
      </c>
      <c r="C343" s="393" t="s">
        <v>147</v>
      </c>
      <c r="D343" s="363"/>
      <c r="E343" s="363"/>
      <c r="F343" s="365"/>
      <c r="G343" s="369">
        <f t="shared" si="30"/>
        <v>0</v>
      </c>
      <c r="H343" s="372">
        <f t="shared" si="31"/>
        <v>0</v>
      </c>
      <c r="I343" s="392"/>
    </row>
    <row r="344" spans="1:9" x14ac:dyDescent="0.35">
      <c r="A344" s="1515"/>
      <c r="B344" s="390">
        <v>53214040000000</v>
      </c>
      <c r="C344" s="391" t="s">
        <v>148</v>
      </c>
      <c r="D344" s="363"/>
      <c r="E344" s="363"/>
      <c r="F344" s="365"/>
      <c r="G344" s="369">
        <f t="shared" si="30"/>
        <v>0</v>
      </c>
      <c r="H344" s="372">
        <f t="shared" si="31"/>
        <v>0</v>
      </c>
      <c r="I344" s="392"/>
    </row>
    <row r="345" spans="1:9" x14ac:dyDescent="0.35">
      <c r="A345" s="1515"/>
      <c r="B345" s="390">
        <v>55201010100004</v>
      </c>
      <c r="C345" s="391" t="s">
        <v>149</v>
      </c>
      <c r="D345" s="363"/>
      <c r="E345" s="405"/>
      <c r="F345" s="365"/>
      <c r="G345" s="369">
        <f>E345*F345</f>
        <v>0</v>
      </c>
      <c r="H345" s="372">
        <f t="shared" si="31"/>
        <v>0</v>
      </c>
      <c r="I345" s="392"/>
    </row>
    <row r="346" spans="1:9" x14ac:dyDescent="0.35">
      <c r="A346" s="1515"/>
      <c r="B346" s="390">
        <v>55201010100005</v>
      </c>
      <c r="C346" s="391" t="s">
        <v>150</v>
      </c>
      <c r="D346" s="363"/>
      <c r="E346" s="363"/>
      <c r="F346" s="365"/>
      <c r="G346" s="369">
        <f t="shared" si="30"/>
        <v>0</v>
      </c>
      <c r="H346" s="372">
        <f t="shared" si="31"/>
        <v>0</v>
      </c>
      <c r="I346" s="392" t="s">
        <v>436</v>
      </c>
    </row>
    <row r="347" spans="1:9" x14ac:dyDescent="0.35">
      <c r="A347" s="1515"/>
      <c r="B347" s="388"/>
      <c r="C347" s="389" t="s">
        <v>151</v>
      </c>
      <c r="D347" s="370">
        <f>SUM(D348:D356)</f>
        <v>0</v>
      </c>
      <c r="E347" s="371"/>
      <c r="F347" s="371"/>
      <c r="G347" s="370">
        <f>SUM(G348:G356)</f>
        <v>0</v>
      </c>
      <c r="H347" s="370">
        <f>SUM(H348:H356)</f>
        <v>0</v>
      </c>
      <c r="I347" s="392"/>
    </row>
    <row r="348" spans="1:9" x14ac:dyDescent="0.35">
      <c r="A348" s="1515"/>
      <c r="B348" s="390">
        <v>53207010000000</v>
      </c>
      <c r="C348" s="391" t="s">
        <v>152</v>
      </c>
      <c r="D348" s="366"/>
      <c r="E348" s="366"/>
      <c r="F348" s="368"/>
      <c r="G348" s="369">
        <f t="shared" ref="G348:G356" si="32">E348*F348</f>
        <v>0</v>
      </c>
      <c r="H348" s="372">
        <f t="shared" ref="H348:H356" si="33">D348+G348</f>
        <v>0</v>
      </c>
      <c r="I348" s="392"/>
    </row>
    <row r="349" spans="1:9" x14ac:dyDescent="0.35">
      <c r="A349" s="1515"/>
      <c r="B349" s="390">
        <v>53207020000000</v>
      </c>
      <c r="C349" s="391" t="s">
        <v>153</v>
      </c>
      <c r="D349" s="366"/>
      <c r="E349" s="366"/>
      <c r="F349" s="368"/>
      <c r="G349" s="369">
        <f t="shared" si="32"/>
        <v>0</v>
      </c>
      <c r="H349" s="372">
        <f t="shared" si="33"/>
        <v>0</v>
      </c>
      <c r="I349" s="392"/>
    </row>
    <row r="350" spans="1:9" x14ac:dyDescent="0.35">
      <c r="A350" s="1515"/>
      <c r="B350" s="390">
        <v>53208020000000</v>
      </c>
      <c r="C350" s="391" t="s">
        <v>154</v>
      </c>
      <c r="D350" s="366"/>
      <c r="E350" s="366"/>
      <c r="F350" s="368"/>
      <c r="G350" s="369">
        <f t="shared" si="32"/>
        <v>0</v>
      </c>
      <c r="H350" s="372">
        <f t="shared" si="33"/>
        <v>0</v>
      </c>
      <c r="I350" s="392"/>
    </row>
    <row r="351" spans="1:9" x14ac:dyDescent="0.35">
      <c r="A351" s="1515"/>
      <c r="B351" s="390">
        <v>53208990000000</v>
      </c>
      <c r="C351" s="391" t="s">
        <v>155</v>
      </c>
      <c r="D351" s="366"/>
      <c r="E351" s="366"/>
      <c r="F351" s="368"/>
      <c r="G351" s="369">
        <f t="shared" si="32"/>
        <v>0</v>
      </c>
      <c r="H351" s="372">
        <f t="shared" si="33"/>
        <v>0</v>
      </c>
      <c r="I351" s="387"/>
    </row>
    <row r="352" spans="1:9" x14ac:dyDescent="0.35">
      <c r="A352" s="1515"/>
      <c r="B352" s="390">
        <v>53209010000000</v>
      </c>
      <c r="C352" s="391" t="s">
        <v>156</v>
      </c>
      <c r="D352" s="366"/>
      <c r="E352" s="366"/>
      <c r="F352" s="368"/>
      <c r="G352" s="369">
        <f t="shared" si="32"/>
        <v>0</v>
      </c>
      <c r="H352" s="372">
        <f t="shared" si="33"/>
        <v>0</v>
      </c>
      <c r="I352" s="387"/>
    </row>
    <row r="353" spans="1:9" x14ac:dyDescent="0.35">
      <c r="A353" s="1515"/>
      <c r="B353" s="390">
        <v>53209040000000</v>
      </c>
      <c r="C353" s="391" t="s">
        <v>157</v>
      </c>
      <c r="D353" s="366"/>
      <c r="E353" s="366"/>
      <c r="F353" s="368"/>
      <c r="G353" s="369">
        <f t="shared" si="32"/>
        <v>0</v>
      </c>
      <c r="H353" s="372">
        <f t="shared" si="33"/>
        <v>0</v>
      </c>
      <c r="I353" s="387"/>
    </row>
    <row r="354" spans="1:9" x14ac:dyDescent="0.35">
      <c r="A354" s="1515"/>
      <c r="B354" s="390">
        <v>53209050000000</v>
      </c>
      <c r="C354" s="391" t="s">
        <v>158</v>
      </c>
      <c r="D354" s="366"/>
      <c r="E354" s="366"/>
      <c r="F354" s="368"/>
      <c r="G354" s="369">
        <f t="shared" si="32"/>
        <v>0</v>
      </c>
      <c r="H354" s="372">
        <f t="shared" si="33"/>
        <v>0</v>
      </c>
      <c r="I354" s="387"/>
    </row>
    <row r="355" spans="1:9" x14ac:dyDescent="0.35">
      <c r="A355" s="1515"/>
      <c r="B355" s="390">
        <v>53209990000000</v>
      </c>
      <c r="C355" s="391" t="s">
        <v>159</v>
      </c>
      <c r="D355" s="366"/>
      <c r="E355" s="366"/>
      <c r="F355" s="368"/>
      <c r="G355" s="369">
        <f t="shared" si="32"/>
        <v>0</v>
      </c>
      <c r="H355" s="372">
        <f t="shared" si="33"/>
        <v>0</v>
      </c>
      <c r="I355" s="387"/>
    </row>
    <row r="356" spans="1:9" x14ac:dyDescent="0.35">
      <c r="A356" s="1515"/>
      <c r="B356" s="390">
        <v>53210020100000</v>
      </c>
      <c r="C356" s="391" t="s">
        <v>160</v>
      </c>
      <c r="D356" s="366"/>
      <c r="E356" s="366"/>
      <c r="F356" s="368"/>
      <c r="G356" s="369">
        <f t="shared" si="32"/>
        <v>0</v>
      </c>
      <c r="H356" s="372">
        <f t="shared" si="33"/>
        <v>0</v>
      </c>
      <c r="I356" s="387"/>
    </row>
    <row r="357" spans="1:9" x14ac:dyDescent="0.35">
      <c r="A357" s="1515"/>
      <c r="B357" s="388"/>
      <c r="C357" s="389" t="s">
        <v>161</v>
      </c>
      <c r="D357" s="370">
        <f>SUM(D358:D364)</f>
        <v>0</v>
      </c>
      <c r="E357" s="371"/>
      <c r="F357" s="371"/>
      <c r="G357" s="370">
        <f>SUM(G358:G364)</f>
        <v>0</v>
      </c>
      <c r="H357" s="370">
        <f>SUM(H358:H364)</f>
        <v>0</v>
      </c>
      <c r="I357" s="387"/>
    </row>
    <row r="358" spans="1:9" x14ac:dyDescent="0.35">
      <c r="A358" s="1515"/>
      <c r="B358" s="390">
        <v>53206030000000</v>
      </c>
      <c r="C358" s="391" t="s">
        <v>162</v>
      </c>
      <c r="D358" s="366"/>
      <c r="E358" s="366"/>
      <c r="F358" s="368"/>
      <c r="G358" s="369">
        <f t="shared" ref="G358:G364" si="34">E358*F358</f>
        <v>0</v>
      </c>
      <c r="H358" s="372">
        <f t="shared" ref="H358:H364" si="35">D358+G358</f>
        <v>0</v>
      </c>
      <c r="I358" s="387"/>
    </row>
    <row r="359" spans="1:9" x14ac:dyDescent="0.35">
      <c r="A359" s="1515"/>
      <c r="B359" s="390">
        <v>53206040000000</v>
      </c>
      <c r="C359" s="391" t="s">
        <v>163</v>
      </c>
      <c r="D359" s="366"/>
      <c r="E359" s="366"/>
      <c r="F359" s="368"/>
      <c r="G359" s="369">
        <f t="shared" si="34"/>
        <v>0</v>
      </c>
      <c r="H359" s="372">
        <f t="shared" si="35"/>
        <v>0</v>
      </c>
      <c r="I359" s="387"/>
    </row>
    <row r="360" spans="1:9" x14ac:dyDescent="0.35">
      <c r="A360" s="1515"/>
      <c r="B360" s="390">
        <v>53206060000000</v>
      </c>
      <c r="C360" s="391" t="s">
        <v>164</v>
      </c>
      <c r="D360" s="366"/>
      <c r="E360" s="366"/>
      <c r="F360" s="368"/>
      <c r="G360" s="369">
        <f t="shared" si="34"/>
        <v>0</v>
      </c>
      <c r="H360" s="372">
        <f t="shared" si="35"/>
        <v>0</v>
      </c>
      <c r="I360" s="387"/>
    </row>
    <row r="361" spans="1:9" x14ac:dyDescent="0.35">
      <c r="A361" s="1515"/>
      <c r="B361" s="390">
        <v>53206070000000</v>
      </c>
      <c r="C361" s="391" t="s">
        <v>165</v>
      </c>
      <c r="D361" s="366"/>
      <c r="E361" s="366"/>
      <c r="F361" s="368"/>
      <c r="G361" s="369">
        <f t="shared" si="34"/>
        <v>0</v>
      </c>
      <c r="H361" s="372">
        <f t="shared" si="35"/>
        <v>0</v>
      </c>
      <c r="I361" s="387"/>
    </row>
    <row r="362" spans="1:9" x14ac:dyDescent="0.35">
      <c r="A362" s="1515"/>
      <c r="B362" s="390">
        <v>53206990000000</v>
      </c>
      <c r="C362" s="391" t="s">
        <v>166</v>
      </c>
      <c r="D362" s="366"/>
      <c r="E362" s="366"/>
      <c r="F362" s="368"/>
      <c r="G362" s="369">
        <f t="shared" si="34"/>
        <v>0</v>
      </c>
      <c r="H362" s="372">
        <f t="shared" si="35"/>
        <v>0</v>
      </c>
      <c r="I362" s="387"/>
    </row>
    <row r="363" spans="1:9" x14ac:dyDescent="0.35">
      <c r="A363" s="1515"/>
      <c r="B363" s="390">
        <v>53208030000000</v>
      </c>
      <c r="C363" s="391" t="s">
        <v>167</v>
      </c>
      <c r="D363" s="366"/>
      <c r="E363" s="366"/>
      <c r="F363" s="368"/>
      <c r="G363" s="369">
        <f t="shared" si="34"/>
        <v>0</v>
      </c>
      <c r="H363" s="372">
        <f t="shared" si="35"/>
        <v>0</v>
      </c>
      <c r="I363" s="387"/>
    </row>
    <row r="364" spans="1:9" x14ac:dyDescent="0.35">
      <c r="A364" s="1515"/>
      <c r="B364" s="390">
        <v>53212060000000</v>
      </c>
      <c r="C364" s="391" t="s">
        <v>168</v>
      </c>
      <c r="D364" s="363"/>
      <c r="E364" s="363"/>
      <c r="F364" s="365"/>
      <c r="G364" s="369">
        <f t="shared" si="34"/>
        <v>0</v>
      </c>
      <c r="H364" s="372">
        <f t="shared" si="35"/>
        <v>0</v>
      </c>
      <c r="I364" s="387"/>
    </row>
    <row r="365" spans="1:9" x14ac:dyDescent="0.35">
      <c r="A365" s="1515"/>
      <c r="B365" s="388"/>
      <c r="C365" s="389" t="s">
        <v>169</v>
      </c>
      <c r="D365" s="370">
        <f>SUM(D366:D367)</f>
        <v>151725</v>
      </c>
      <c r="E365" s="371"/>
      <c r="F365" s="371"/>
      <c r="G365" s="370">
        <f>SUM(G366:G367)</f>
        <v>0</v>
      </c>
      <c r="H365" s="370">
        <f>SUM(H366:H367)</f>
        <v>151725</v>
      </c>
      <c r="I365" s="387"/>
    </row>
    <row r="366" spans="1:9" x14ac:dyDescent="0.35">
      <c r="A366" s="1515"/>
      <c r="B366" s="390">
        <v>53210020500000</v>
      </c>
      <c r="C366" s="391" t="s">
        <v>170</v>
      </c>
      <c r="D366" s="363"/>
      <c r="E366" s="363"/>
      <c r="F366" s="365"/>
      <c r="G366" s="369">
        <f>E366*F366</f>
        <v>0</v>
      </c>
      <c r="H366" s="372">
        <f>D366+G366</f>
        <v>0</v>
      </c>
      <c r="I366" s="387"/>
    </row>
    <row r="367" spans="1:9" x14ac:dyDescent="0.35">
      <c r="A367" s="1515"/>
      <c r="B367" s="390">
        <v>53204999000000</v>
      </c>
      <c r="C367" s="391" t="s">
        <v>171</v>
      </c>
      <c r="D367" s="366">
        <v>151725</v>
      </c>
      <c r="E367" s="366"/>
      <c r="F367" s="368"/>
      <c r="G367" s="369">
        <f>E367*F367</f>
        <v>0</v>
      </c>
      <c r="H367" s="372">
        <f>D367+G367</f>
        <v>151725</v>
      </c>
      <c r="I367" s="387" t="s">
        <v>437</v>
      </c>
    </row>
    <row r="368" spans="1:9" x14ac:dyDescent="0.35">
      <c r="A368" s="1515"/>
      <c r="B368" s="394"/>
      <c r="C368" s="395" t="s">
        <v>12</v>
      </c>
      <c r="D368" s="373">
        <f>SUM(D299,D327)</f>
        <v>9972731.9399999995</v>
      </c>
      <c r="E368" s="374"/>
      <c r="F368" s="374"/>
      <c r="G368" s="373">
        <f>SUM(G299,G327)</f>
        <v>160000</v>
      </c>
      <c r="H368" s="373">
        <f>SUM(H299,H327)</f>
        <v>10132731.939999999</v>
      </c>
      <c r="I368" s="387"/>
    </row>
    <row r="369" spans="1:9" x14ac:dyDescent="0.35">
      <c r="A369" s="1516" t="s">
        <v>72</v>
      </c>
      <c r="B369" s="1517" t="s">
        <v>95</v>
      </c>
      <c r="C369" s="1518" t="s">
        <v>96</v>
      </c>
      <c r="D369" s="1519" t="s">
        <v>97</v>
      </c>
      <c r="E369" s="1513" t="s">
        <v>98</v>
      </c>
      <c r="F369" s="1513"/>
      <c r="G369" s="1513"/>
      <c r="H369" s="1514" t="str">
        <f>+H297</f>
        <v>COSTO DIRECTO ESTIMADO 2026</v>
      </c>
      <c r="I369" s="1513" t="s">
        <v>99</v>
      </c>
    </row>
    <row r="370" spans="1:9" ht="26" x14ac:dyDescent="0.35">
      <c r="A370" s="1516"/>
      <c r="B370" s="1517"/>
      <c r="C370" s="1518"/>
      <c r="D370" s="1519"/>
      <c r="E370" s="375" t="s">
        <v>100</v>
      </c>
      <c r="F370" s="376" t="s">
        <v>101</v>
      </c>
      <c r="G370" s="377" t="s">
        <v>102</v>
      </c>
      <c r="H370" s="1514"/>
      <c r="I370" s="1513"/>
    </row>
    <row r="371" spans="1:9" x14ac:dyDescent="0.35">
      <c r="A371" s="1515" t="str">
        <f>+'B) Reajuste Tarifas y Ocupación'!A41</f>
        <v>Piscina C.R. Huayquique (Gente de Mar)</v>
      </c>
      <c r="B371" s="385"/>
      <c r="C371" s="386" t="s">
        <v>103</v>
      </c>
      <c r="D371" s="378">
        <f>SUM(D372,D377,D379)</f>
        <v>11770781.939999999</v>
      </c>
      <c r="E371" s="379"/>
      <c r="F371" s="379"/>
      <c r="G371" s="378">
        <f>SUM(G372,G377,G379)</f>
        <v>0</v>
      </c>
      <c r="H371" s="384">
        <f>SUM(H372,H377,H379)</f>
        <v>11770781.939999999</v>
      </c>
      <c r="I371" s="387"/>
    </row>
    <row r="372" spans="1:9" x14ac:dyDescent="0.35">
      <c r="A372" s="1515"/>
      <c r="B372" s="388"/>
      <c r="C372" s="389" t="s">
        <v>104</v>
      </c>
      <c r="D372" s="370">
        <f>SUM(D373:D376)</f>
        <v>6820343.9399999995</v>
      </c>
      <c r="E372" s="380"/>
      <c r="F372" s="380"/>
      <c r="G372" s="370">
        <f>SUM(G373:G376)</f>
        <v>0</v>
      </c>
      <c r="H372" s="370">
        <f>SUM(H373:H376)</f>
        <v>6820343.9399999995</v>
      </c>
      <c r="I372" s="387"/>
    </row>
    <row r="373" spans="1:9" x14ac:dyDescent="0.35">
      <c r="A373" s="1515"/>
      <c r="B373" s="390">
        <v>53103040100000</v>
      </c>
      <c r="C373" s="391" t="s">
        <v>105</v>
      </c>
      <c r="D373" s="381">
        <f>+'F) Remuneraciones'!M110</f>
        <v>6820343.9399999995</v>
      </c>
      <c r="E373" s="382"/>
      <c r="F373" s="382"/>
      <c r="G373" s="382"/>
      <c r="H373" s="372">
        <f>D373+G373</f>
        <v>6820343.9399999995</v>
      </c>
      <c r="I373" s="387"/>
    </row>
    <row r="374" spans="1:9" x14ac:dyDescent="0.35">
      <c r="A374" s="1515"/>
      <c r="B374" s="390">
        <v>53103050000000</v>
      </c>
      <c r="C374" s="391" t="s">
        <v>106</v>
      </c>
      <c r="D374" s="363"/>
      <c r="E374" s="364"/>
      <c r="F374" s="365"/>
      <c r="G374" s="369">
        <f>E374*F374</f>
        <v>0</v>
      </c>
      <c r="H374" s="372">
        <f>D374+G374</f>
        <v>0</v>
      </c>
      <c r="I374" s="387"/>
    </row>
    <row r="375" spans="1:9" x14ac:dyDescent="0.35">
      <c r="A375" s="1515"/>
      <c r="B375" s="390">
        <v>53103060000000</v>
      </c>
      <c r="C375" s="391" t="s">
        <v>107</v>
      </c>
      <c r="D375" s="363"/>
      <c r="E375" s="364"/>
      <c r="F375" s="365"/>
      <c r="G375" s="369">
        <f>E375*F375</f>
        <v>0</v>
      </c>
      <c r="H375" s="372">
        <f>D375+G375</f>
        <v>0</v>
      </c>
      <c r="I375" s="387"/>
    </row>
    <row r="376" spans="1:9" x14ac:dyDescent="0.35">
      <c r="A376" s="1515"/>
      <c r="B376" s="390">
        <v>53103080010000</v>
      </c>
      <c r="C376" s="391" t="s">
        <v>108</v>
      </c>
      <c r="D376" s="363"/>
      <c r="E376" s="364"/>
      <c r="F376" s="365"/>
      <c r="G376" s="369">
        <f>E376*F376</f>
        <v>0</v>
      </c>
      <c r="H376" s="372">
        <f>D376+G376</f>
        <v>0</v>
      </c>
      <c r="I376" s="387"/>
    </row>
    <row r="377" spans="1:9" x14ac:dyDescent="0.35">
      <c r="A377" s="1515"/>
      <c r="B377" s="388"/>
      <c r="C377" s="389" t="s">
        <v>109</v>
      </c>
      <c r="D377" s="370">
        <f>SUM(D378)</f>
        <v>0</v>
      </c>
      <c r="E377" s="371"/>
      <c r="F377" s="371"/>
      <c r="G377" s="383">
        <f>SUM(G378:G378)</f>
        <v>0</v>
      </c>
      <c r="H377" s="370">
        <f>SUM(H378:H378)</f>
        <v>0</v>
      </c>
      <c r="I377" s="387"/>
    </row>
    <row r="378" spans="1:9" x14ac:dyDescent="0.35">
      <c r="A378" s="1515"/>
      <c r="B378" s="390">
        <v>55201010100001</v>
      </c>
      <c r="C378" s="391" t="s">
        <v>110</v>
      </c>
      <c r="D378" s="363"/>
      <c r="E378" s="364"/>
      <c r="F378" s="365"/>
      <c r="G378" s="369">
        <f>E378*F378</f>
        <v>0</v>
      </c>
      <c r="H378" s="372">
        <f>D378+G378</f>
        <v>0</v>
      </c>
      <c r="I378" s="387"/>
    </row>
    <row r="379" spans="1:9" x14ac:dyDescent="0.35">
      <c r="A379" s="1515"/>
      <c r="B379" s="388"/>
      <c r="C379" s="389" t="s">
        <v>111</v>
      </c>
      <c r="D379" s="370">
        <f>SUM(D380:D398)</f>
        <v>4950438</v>
      </c>
      <c r="E379" s="371"/>
      <c r="F379" s="371"/>
      <c r="G379" s="370">
        <f>SUM(G380:G398)</f>
        <v>0</v>
      </c>
      <c r="H379" s="370">
        <f>SUM(H380:H398)</f>
        <v>4950438</v>
      </c>
      <c r="I379" s="387"/>
    </row>
    <row r="380" spans="1:9" x14ac:dyDescent="0.35">
      <c r="A380" s="1515"/>
      <c r="B380" s="390">
        <v>53201010100000</v>
      </c>
      <c r="C380" s="391" t="s">
        <v>112</v>
      </c>
      <c r="D380" s="363"/>
      <c r="E380" s="364"/>
      <c r="F380" s="365"/>
      <c r="G380" s="369">
        <f t="shared" ref="G380:G398" si="36">E380*F380</f>
        <v>0</v>
      </c>
      <c r="H380" s="372">
        <f t="shared" ref="H380:H398" si="37">D380+G380</f>
        <v>0</v>
      </c>
      <c r="I380" s="392"/>
    </row>
    <row r="381" spans="1:9" x14ac:dyDescent="0.35">
      <c r="A381" s="1515"/>
      <c r="B381" s="390">
        <v>53202010100000</v>
      </c>
      <c r="C381" s="391" t="s">
        <v>113</v>
      </c>
      <c r="D381" s="363"/>
      <c r="E381" s="364"/>
      <c r="F381" s="365"/>
      <c r="G381" s="369">
        <f t="shared" si="36"/>
        <v>0</v>
      </c>
      <c r="H381" s="372">
        <f t="shared" si="37"/>
        <v>0</v>
      </c>
      <c r="I381" s="387"/>
    </row>
    <row r="382" spans="1:9" x14ac:dyDescent="0.35">
      <c r="A382" s="1515"/>
      <c r="B382" s="390">
        <v>53203010100000</v>
      </c>
      <c r="C382" s="391" t="s">
        <v>114</v>
      </c>
      <c r="D382" s="366"/>
      <c r="E382" s="367"/>
      <c r="F382" s="368"/>
      <c r="G382" s="369">
        <f t="shared" si="36"/>
        <v>0</v>
      </c>
      <c r="H382" s="372">
        <f t="shared" si="37"/>
        <v>0</v>
      </c>
      <c r="I382" s="387"/>
    </row>
    <row r="383" spans="1:9" x14ac:dyDescent="0.35">
      <c r="A383" s="1515"/>
      <c r="B383" s="390">
        <v>53203030000000</v>
      </c>
      <c r="C383" s="391" t="s">
        <v>115</v>
      </c>
      <c r="D383" s="366"/>
      <c r="E383" s="367"/>
      <c r="F383" s="368"/>
      <c r="G383" s="369">
        <f t="shared" si="36"/>
        <v>0</v>
      </c>
      <c r="H383" s="372">
        <f t="shared" si="37"/>
        <v>0</v>
      </c>
      <c r="I383" s="387"/>
    </row>
    <row r="384" spans="1:9" x14ac:dyDescent="0.35">
      <c r="A384" s="1515"/>
      <c r="B384" s="390">
        <v>53204030000000</v>
      </c>
      <c r="C384" s="391" t="s">
        <v>116</v>
      </c>
      <c r="D384" s="366">
        <v>2268438</v>
      </c>
      <c r="E384" s="367"/>
      <c r="F384" s="368"/>
      <c r="G384" s="369">
        <f t="shared" si="36"/>
        <v>0</v>
      </c>
      <c r="H384" s="372">
        <f t="shared" si="37"/>
        <v>2268438</v>
      </c>
      <c r="I384" s="396"/>
    </row>
    <row r="385" spans="1:9" x14ac:dyDescent="0.35">
      <c r="A385" s="1515"/>
      <c r="B385" s="390">
        <v>53204100100001</v>
      </c>
      <c r="C385" s="391" t="s">
        <v>117</v>
      </c>
      <c r="D385" s="366"/>
      <c r="E385" s="367"/>
      <c r="F385" s="368"/>
      <c r="G385" s="369">
        <f t="shared" si="36"/>
        <v>0</v>
      </c>
      <c r="H385" s="372">
        <f t="shared" si="37"/>
        <v>0</v>
      </c>
      <c r="I385" s="392"/>
    </row>
    <row r="386" spans="1:9" x14ac:dyDescent="0.35">
      <c r="A386" s="1515"/>
      <c r="B386" s="390">
        <v>53204130100000</v>
      </c>
      <c r="C386" s="393" t="s">
        <v>118</v>
      </c>
      <c r="D386" s="366"/>
      <c r="E386" s="367"/>
      <c r="F386" s="368"/>
      <c r="G386" s="369">
        <f t="shared" si="36"/>
        <v>0</v>
      </c>
      <c r="H386" s="372">
        <f t="shared" si="37"/>
        <v>0</v>
      </c>
      <c r="I386" s="387"/>
    </row>
    <row r="387" spans="1:9" x14ac:dyDescent="0.35">
      <c r="A387" s="1515"/>
      <c r="B387" s="390">
        <v>53205010100000</v>
      </c>
      <c r="C387" s="393" t="s">
        <v>119</v>
      </c>
      <c r="D387" s="366"/>
      <c r="E387" s="367"/>
      <c r="F387" s="368"/>
      <c r="G387" s="369">
        <f t="shared" si="36"/>
        <v>0</v>
      </c>
      <c r="H387" s="372">
        <f t="shared" si="37"/>
        <v>0</v>
      </c>
      <c r="I387" s="396"/>
    </row>
    <row r="388" spans="1:9" x14ac:dyDescent="0.35">
      <c r="A388" s="1515"/>
      <c r="B388" s="390">
        <v>53205020100000</v>
      </c>
      <c r="C388" s="393" t="s">
        <v>120</v>
      </c>
      <c r="D388" s="366">
        <v>2682000</v>
      </c>
      <c r="E388" s="367"/>
      <c r="F388" s="368"/>
      <c r="G388" s="369">
        <f t="shared" si="36"/>
        <v>0</v>
      </c>
      <c r="H388" s="372">
        <f t="shared" si="37"/>
        <v>2682000</v>
      </c>
      <c r="I388" s="396"/>
    </row>
    <row r="389" spans="1:9" x14ac:dyDescent="0.35">
      <c r="A389" s="1515"/>
      <c r="B389" s="390">
        <v>53205030100000</v>
      </c>
      <c r="C389" s="391" t="s">
        <v>121</v>
      </c>
      <c r="D389" s="366"/>
      <c r="E389" s="367"/>
      <c r="F389" s="368"/>
      <c r="G389" s="369">
        <f t="shared" si="36"/>
        <v>0</v>
      </c>
      <c r="H389" s="372">
        <f t="shared" si="37"/>
        <v>0</v>
      </c>
      <c r="I389" s="387"/>
    </row>
    <row r="390" spans="1:9" x14ac:dyDescent="0.35">
      <c r="A390" s="1515"/>
      <c r="B390" s="390">
        <v>53205050100000</v>
      </c>
      <c r="C390" s="391" t="s">
        <v>122</v>
      </c>
      <c r="D390" s="366"/>
      <c r="E390" s="367"/>
      <c r="F390" s="368"/>
      <c r="G390" s="369">
        <f t="shared" si="36"/>
        <v>0</v>
      </c>
      <c r="H390" s="372">
        <f t="shared" si="37"/>
        <v>0</v>
      </c>
      <c r="I390" s="387"/>
    </row>
    <row r="391" spans="1:9" x14ac:dyDescent="0.35">
      <c r="A391" s="1515"/>
      <c r="B391" s="390">
        <v>53205060100000</v>
      </c>
      <c r="C391" s="391" t="s">
        <v>123</v>
      </c>
      <c r="D391" s="366"/>
      <c r="E391" s="367"/>
      <c r="F391" s="368"/>
      <c r="G391" s="369">
        <f t="shared" si="36"/>
        <v>0</v>
      </c>
      <c r="H391" s="372">
        <f t="shared" si="37"/>
        <v>0</v>
      </c>
      <c r="I391" s="387"/>
    </row>
    <row r="392" spans="1:9" x14ac:dyDescent="0.35">
      <c r="A392" s="1515"/>
      <c r="B392" s="390">
        <v>53205070100000</v>
      </c>
      <c r="C392" s="391" t="s">
        <v>124</v>
      </c>
      <c r="D392" s="366"/>
      <c r="E392" s="367"/>
      <c r="F392" s="368"/>
      <c r="G392" s="369">
        <f t="shared" si="36"/>
        <v>0</v>
      </c>
      <c r="H392" s="372">
        <f t="shared" si="37"/>
        <v>0</v>
      </c>
      <c r="I392" s="387"/>
    </row>
    <row r="393" spans="1:9" x14ac:dyDescent="0.35">
      <c r="A393" s="1515"/>
      <c r="B393" s="390">
        <v>53208010100000</v>
      </c>
      <c r="C393" s="391" t="s">
        <v>125</v>
      </c>
      <c r="D393" s="366"/>
      <c r="E393" s="367"/>
      <c r="F393" s="368"/>
      <c r="G393" s="369">
        <f t="shared" si="36"/>
        <v>0</v>
      </c>
      <c r="H393" s="372">
        <f t="shared" si="37"/>
        <v>0</v>
      </c>
      <c r="I393" s="387"/>
    </row>
    <row r="394" spans="1:9" x14ac:dyDescent="0.35">
      <c r="A394" s="1515"/>
      <c r="B394" s="390">
        <v>53208070100001</v>
      </c>
      <c r="C394" s="391" t="s">
        <v>126</v>
      </c>
      <c r="D394" s="366"/>
      <c r="E394" s="367"/>
      <c r="F394" s="368"/>
      <c r="G394" s="369">
        <f t="shared" si="36"/>
        <v>0</v>
      </c>
      <c r="H394" s="372">
        <f t="shared" si="37"/>
        <v>0</v>
      </c>
      <c r="I394" s="387"/>
    </row>
    <row r="395" spans="1:9" x14ac:dyDescent="0.35">
      <c r="A395" s="1515"/>
      <c r="B395" s="390">
        <v>53208100100001</v>
      </c>
      <c r="C395" s="391" t="s">
        <v>127</v>
      </c>
      <c r="D395" s="366"/>
      <c r="E395" s="367"/>
      <c r="F395" s="368"/>
      <c r="G395" s="369">
        <f t="shared" si="36"/>
        <v>0</v>
      </c>
      <c r="H395" s="372">
        <f t="shared" si="37"/>
        <v>0</v>
      </c>
      <c r="I395" s="387"/>
    </row>
    <row r="396" spans="1:9" x14ac:dyDescent="0.35">
      <c r="A396" s="1515"/>
      <c r="B396" s="390">
        <v>53211030000000</v>
      </c>
      <c r="C396" s="391" t="s">
        <v>128</v>
      </c>
      <c r="D396" s="366"/>
      <c r="E396" s="367"/>
      <c r="F396" s="368"/>
      <c r="G396" s="369">
        <f t="shared" si="36"/>
        <v>0</v>
      </c>
      <c r="H396" s="372">
        <f t="shared" si="37"/>
        <v>0</v>
      </c>
      <c r="I396" s="387"/>
    </row>
    <row r="397" spans="1:9" x14ac:dyDescent="0.35">
      <c r="A397" s="1515"/>
      <c r="B397" s="390">
        <v>53212020100000</v>
      </c>
      <c r="C397" s="391" t="s">
        <v>129</v>
      </c>
      <c r="D397" s="366"/>
      <c r="E397" s="367"/>
      <c r="F397" s="368"/>
      <c r="G397" s="369">
        <f t="shared" si="36"/>
        <v>0</v>
      </c>
      <c r="H397" s="372">
        <f t="shared" si="37"/>
        <v>0</v>
      </c>
      <c r="I397" s="392"/>
    </row>
    <row r="398" spans="1:9" x14ac:dyDescent="0.35">
      <c r="A398" s="1515"/>
      <c r="B398" s="390">
        <v>53214020000000</v>
      </c>
      <c r="C398" s="391" t="s">
        <v>130</v>
      </c>
      <c r="D398" s="363"/>
      <c r="E398" s="364"/>
      <c r="F398" s="365"/>
      <c r="G398" s="369">
        <f t="shared" si="36"/>
        <v>0</v>
      </c>
      <c r="H398" s="372">
        <f t="shared" si="37"/>
        <v>0</v>
      </c>
      <c r="I398" s="387"/>
    </row>
    <row r="399" spans="1:9" x14ac:dyDescent="0.35">
      <c r="A399" s="1515"/>
      <c r="B399" s="385"/>
      <c r="C399" s="386" t="s">
        <v>131</v>
      </c>
      <c r="D399" s="384">
        <f>SUM(D400,D405,D408,D419,D429,D437)</f>
        <v>151725</v>
      </c>
      <c r="E399" s="379"/>
      <c r="F399" s="379"/>
      <c r="G399" s="384">
        <f>SUM(G400,G405,G408,G419,G429,G437)</f>
        <v>160000</v>
      </c>
      <c r="H399" s="384">
        <f>SUM(H400,H405,H408,H419,H429,H437)</f>
        <v>311725</v>
      </c>
      <c r="I399" s="387"/>
    </row>
    <row r="400" spans="1:9" x14ac:dyDescent="0.35">
      <c r="A400" s="1515"/>
      <c r="B400" s="388"/>
      <c r="C400" s="389" t="s">
        <v>132</v>
      </c>
      <c r="D400" s="370">
        <f>SUM(D401:D404)</f>
        <v>0</v>
      </c>
      <c r="E400" s="371"/>
      <c r="F400" s="371"/>
      <c r="G400" s="383">
        <f>SUM(G401:G404)</f>
        <v>160000</v>
      </c>
      <c r="H400" s="383">
        <f>SUM(H401:H404)</f>
        <v>160000</v>
      </c>
      <c r="I400" s="387"/>
    </row>
    <row r="401" spans="1:9" x14ac:dyDescent="0.35">
      <c r="A401" s="1515"/>
      <c r="B401" s="390">
        <v>53202020100000</v>
      </c>
      <c r="C401" s="391" t="s">
        <v>133</v>
      </c>
      <c r="D401" s="366"/>
      <c r="E401" s="367">
        <v>50000</v>
      </c>
      <c r="F401" s="368">
        <v>2</v>
      </c>
      <c r="G401" s="369">
        <f>E401*F401</f>
        <v>100000</v>
      </c>
      <c r="H401" s="372">
        <f>D401+G401</f>
        <v>100000</v>
      </c>
      <c r="I401" s="392"/>
    </row>
    <row r="402" spans="1:9" x14ac:dyDescent="0.35">
      <c r="A402" s="1515"/>
      <c r="B402" s="390">
        <v>53202030000000</v>
      </c>
      <c r="C402" s="391" t="s">
        <v>134</v>
      </c>
      <c r="D402" s="363"/>
      <c r="E402" s="364">
        <v>30000</v>
      </c>
      <c r="F402" s="365">
        <v>2</v>
      </c>
      <c r="G402" s="369">
        <f>E402*F402</f>
        <v>60000</v>
      </c>
      <c r="H402" s="372">
        <f>D402+G402</f>
        <v>60000</v>
      </c>
      <c r="I402" s="392"/>
    </row>
    <row r="403" spans="1:9" x14ac:dyDescent="0.35">
      <c r="A403" s="1515"/>
      <c r="B403" s="390">
        <v>53211020000000</v>
      </c>
      <c r="C403" s="391" t="s">
        <v>135</v>
      </c>
      <c r="D403" s="366"/>
      <c r="E403" s="367"/>
      <c r="F403" s="368"/>
      <c r="G403" s="369">
        <f>E403*F403</f>
        <v>0</v>
      </c>
      <c r="H403" s="372">
        <f>D403+G403</f>
        <v>0</v>
      </c>
      <c r="I403" s="387"/>
    </row>
    <row r="404" spans="1:9" x14ac:dyDescent="0.35">
      <c r="A404" s="1515"/>
      <c r="B404" s="390">
        <v>53101004030000</v>
      </c>
      <c r="C404" s="391" t="s">
        <v>136</v>
      </c>
      <c r="D404" s="363"/>
      <c r="E404" s="364"/>
      <c r="F404" s="365"/>
      <c r="G404" s="369">
        <f>E404*F404</f>
        <v>0</v>
      </c>
      <c r="H404" s="372">
        <f>D404+G404</f>
        <v>0</v>
      </c>
      <c r="I404" s="387"/>
    </row>
    <row r="405" spans="1:9" x14ac:dyDescent="0.35">
      <c r="A405" s="1515"/>
      <c r="B405" s="388"/>
      <c r="C405" s="389" t="s">
        <v>137</v>
      </c>
      <c r="D405" s="370">
        <f>SUM(D406:D407)</f>
        <v>0</v>
      </c>
      <c r="E405" s="371"/>
      <c r="F405" s="371"/>
      <c r="G405" s="383">
        <f>SUM(G406:G407)</f>
        <v>0</v>
      </c>
      <c r="H405" s="383">
        <f>SUM(H406:H407)</f>
        <v>0</v>
      </c>
      <c r="I405" s="387"/>
    </row>
    <row r="406" spans="1:9" x14ac:dyDescent="0.35">
      <c r="A406" s="1515"/>
      <c r="B406" s="390">
        <v>53205080000000</v>
      </c>
      <c r="C406" s="393" t="s">
        <v>138</v>
      </c>
      <c r="D406" s="363"/>
      <c r="E406" s="364"/>
      <c r="F406" s="365"/>
      <c r="G406" s="369">
        <f>E406*F406</f>
        <v>0</v>
      </c>
      <c r="H406" s="372">
        <f>D406+G406</f>
        <v>0</v>
      </c>
      <c r="I406" s="387"/>
    </row>
    <row r="407" spans="1:9" x14ac:dyDescent="0.35">
      <c r="A407" s="1515"/>
      <c r="B407" s="390">
        <v>53205990000000</v>
      </c>
      <c r="C407" s="391" t="s">
        <v>139</v>
      </c>
      <c r="D407" s="366"/>
      <c r="E407" s="367"/>
      <c r="F407" s="368"/>
      <c r="G407" s="369">
        <f>E407*F407</f>
        <v>0</v>
      </c>
      <c r="H407" s="372">
        <f>D407+G407</f>
        <v>0</v>
      </c>
      <c r="I407" s="387"/>
    </row>
    <row r="408" spans="1:9" x14ac:dyDescent="0.35">
      <c r="A408" s="1515"/>
      <c r="B408" s="388"/>
      <c r="C408" s="389" t="s">
        <v>140</v>
      </c>
      <c r="D408" s="370">
        <f>SUM(D409:D418)</f>
        <v>0</v>
      </c>
      <c r="E408" s="371"/>
      <c r="F408" s="371"/>
      <c r="G408" s="370">
        <f>SUM(G409:G418)</f>
        <v>0</v>
      </c>
      <c r="H408" s="370">
        <f>SUM(H409:H418)</f>
        <v>0</v>
      </c>
      <c r="I408" s="387"/>
    </row>
    <row r="409" spans="1:9" x14ac:dyDescent="0.35">
      <c r="A409" s="1515"/>
      <c r="B409" s="390">
        <v>53203010200000</v>
      </c>
      <c r="C409" s="391" t="s">
        <v>141</v>
      </c>
      <c r="D409" s="363"/>
      <c r="E409" s="363"/>
      <c r="F409" s="365"/>
      <c r="G409" s="369">
        <f t="shared" ref="G409:G418" si="38">E409*F409</f>
        <v>0</v>
      </c>
      <c r="H409" s="372">
        <f t="shared" ref="H409:H418" si="39">D409+G409</f>
        <v>0</v>
      </c>
      <c r="I409" s="387"/>
    </row>
    <row r="410" spans="1:9" x14ac:dyDescent="0.35">
      <c r="A410" s="1515"/>
      <c r="B410" s="390">
        <v>53204010000000</v>
      </c>
      <c r="C410" s="391" t="s">
        <v>142</v>
      </c>
      <c r="D410" s="366"/>
      <c r="E410" s="366"/>
      <c r="F410" s="368"/>
      <c r="G410" s="369">
        <f t="shared" si="38"/>
        <v>0</v>
      </c>
      <c r="H410" s="372">
        <f t="shared" si="39"/>
        <v>0</v>
      </c>
      <c r="I410" s="387"/>
    </row>
    <row r="411" spans="1:9" x14ac:dyDescent="0.35">
      <c r="A411" s="1515"/>
      <c r="B411" s="390">
        <v>53204040200000</v>
      </c>
      <c r="C411" s="393" t="s">
        <v>143</v>
      </c>
      <c r="D411" s="366"/>
      <c r="E411" s="366"/>
      <c r="F411" s="368"/>
      <c r="G411" s="369">
        <f t="shared" si="38"/>
        <v>0</v>
      </c>
      <c r="H411" s="372">
        <f t="shared" si="39"/>
        <v>0</v>
      </c>
      <c r="I411" s="387"/>
    </row>
    <row r="412" spans="1:9" x14ac:dyDescent="0.35">
      <c r="A412" s="1515"/>
      <c r="B412" s="390">
        <v>53204060000000</v>
      </c>
      <c r="C412" s="393" t="s">
        <v>144</v>
      </c>
      <c r="D412" s="366"/>
      <c r="E412" s="366"/>
      <c r="F412" s="368"/>
      <c r="G412" s="369">
        <f t="shared" si="38"/>
        <v>0</v>
      </c>
      <c r="H412" s="372">
        <f t="shared" si="39"/>
        <v>0</v>
      </c>
      <c r="I412" s="387"/>
    </row>
    <row r="413" spans="1:9" x14ac:dyDescent="0.35">
      <c r="A413" s="1515"/>
      <c r="B413" s="390">
        <v>53204070000000</v>
      </c>
      <c r="C413" s="393" t="s">
        <v>145</v>
      </c>
      <c r="D413" s="366"/>
      <c r="E413" s="366"/>
      <c r="F413" s="368"/>
      <c r="G413" s="369">
        <f t="shared" si="38"/>
        <v>0</v>
      </c>
      <c r="H413" s="372">
        <f t="shared" si="39"/>
        <v>0</v>
      </c>
      <c r="I413" s="387"/>
    </row>
    <row r="414" spans="1:9" x14ac:dyDescent="0.35">
      <c r="A414" s="1515"/>
      <c r="B414" s="390">
        <v>53204080000000</v>
      </c>
      <c r="C414" s="393" t="s">
        <v>146</v>
      </c>
      <c r="D414" s="366"/>
      <c r="E414" s="366"/>
      <c r="F414" s="368"/>
      <c r="G414" s="369">
        <f t="shared" si="38"/>
        <v>0</v>
      </c>
      <c r="H414" s="372">
        <f t="shared" si="39"/>
        <v>0</v>
      </c>
      <c r="I414" s="387"/>
    </row>
    <row r="415" spans="1:9" x14ac:dyDescent="0.35">
      <c r="A415" s="1515"/>
      <c r="B415" s="390">
        <v>53214010000000</v>
      </c>
      <c r="C415" s="393" t="s">
        <v>147</v>
      </c>
      <c r="D415" s="363"/>
      <c r="E415" s="363"/>
      <c r="F415" s="365"/>
      <c r="G415" s="369">
        <f t="shared" si="38"/>
        <v>0</v>
      </c>
      <c r="H415" s="372">
        <f t="shared" si="39"/>
        <v>0</v>
      </c>
      <c r="I415" s="387"/>
    </row>
    <row r="416" spans="1:9" x14ac:dyDescent="0.35">
      <c r="A416" s="1515"/>
      <c r="B416" s="390">
        <v>53214040000000</v>
      </c>
      <c r="C416" s="391" t="s">
        <v>148</v>
      </c>
      <c r="D416" s="363"/>
      <c r="E416" s="363"/>
      <c r="F416" s="365"/>
      <c r="G416" s="369">
        <f>E416*F416</f>
        <v>0</v>
      </c>
      <c r="H416" s="372">
        <f t="shared" si="39"/>
        <v>0</v>
      </c>
      <c r="I416" s="387"/>
    </row>
    <row r="417" spans="1:9" x14ac:dyDescent="0.35">
      <c r="A417" s="1515"/>
      <c r="B417" s="390">
        <v>55201010100004</v>
      </c>
      <c r="C417" s="391" t="s">
        <v>149</v>
      </c>
      <c r="D417" s="363"/>
      <c r="E417" s="405"/>
      <c r="F417" s="365"/>
      <c r="G417" s="369">
        <f>E417*F417</f>
        <v>0</v>
      </c>
      <c r="H417" s="372">
        <f t="shared" si="39"/>
        <v>0</v>
      </c>
      <c r="I417" s="387"/>
    </row>
    <row r="418" spans="1:9" x14ac:dyDescent="0.35">
      <c r="A418" s="1515"/>
      <c r="B418" s="390">
        <v>55201010100005</v>
      </c>
      <c r="C418" s="391" t="s">
        <v>150</v>
      </c>
      <c r="D418" s="363"/>
      <c r="E418" s="363"/>
      <c r="F418" s="365"/>
      <c r="G418" s="369">
        <f t="shared" si="38"/>
        <v>0</v>
      </c>
      <c r="H418" s="372">
        <f t="shared" si="39"/>
        <v>0</v>
      </c>
      <c r="I418" s="387"/>
    </row>
    <row r="419" spans="1:9" x14ac:dyDescent="0.35">
      <c r="A419" s="1515"/>
      <c r="B419" s="388"/>
      <c r="C419" s="389" t="s">
        <v>151</v>
      </c>
      <c r="D419" s="370">
        <f>SUM(D420:D428)</f>
        <v>0</v>
      </c>
      <c r="E419" s="371"/>
      <c r="F419" s="371"/>
      <c r="G419" s="370">
        <f>SUM(G420:G428)</f>
        <v>0</v>
      </c>
      <c r="H419" s="370">
        <f>SUM(H420:H428)</f>
        <v>0</v>
      </c>
      <c r="I419" s="387"/>
    </row>
    <row r="420" spans="1:9" x14ac:dyDescent="0.35">
      <c r="A420" s="1515"/>
      <c r="B420" s="390">
        <v>53207010000000</v>
      </c>
      <c r="C420" s="391" t="s">
        <v>152</v>
      </c>
      <c r="D420" s="366"/>
      <c r="E420" s="366"/>
      <c r="F420" s="368"/>
      <c r="G420" s="369">
        <f t="shared" ref="G420:G428" si="40">E420*F420</f>
        <v>0</v>
      </c>
      <c r="H420" s="372">
        <f t="shared" ref="H420:H428" si="41">D420+G420</f>
        <v>0</v>
      </c>
      <c r="I420" s="387"/>
    </row>
    <row r="421" spans="1:9" x14ac:dyDescent="0.35">
      <c r="A421" s="1515"/>
      <c r="B421" s="390">
        <v>53207020000000</v>
      </c>
      <c r="C421" s="391" t="s">
        <v>153</v>
      </c>
      <c r="D421" s="366"/>
      <c r="E421" s="366"/>
      <c r="F421" s="368"/>
      <c r="G421" s="369">
        <f t="shared" si="40"/>
        <v>0</v>
      </c>
      <c r="H421" s="372">
        <f t="shared" si="41"/>
        <v>0</v>
      </c>
      <c r="I421" s="387"/>
    </row>
    <row r="422" spans="1:9" x14ac:dyDescent="0.35">
      <c r="A422" s="1515"/>
      <c r="B422" s="390">
        <v>53208020000000</v>
      </c>
      <c r="C422" s="391" t="s">
        <v>154</v>
      </c>
      <c r="D422" s="366"/>
      <c r="E422" s="366"/>
      <c r="F422" s="368"/>
      <c r="G422" s="369">
        <f t="shared" si="40"/>
        <v>0</v>
      </c>
      <c r="H422" s="372">
        <f t="shared" si="41"/>
        <v>0</v>
      </c>
      <c r="I422" s="387"/>
    </row>
    <row r="423" spans="1:9" x14ac:dyDescent="0.35">
      <c r="A423" s="1515"/>
      <c r="B423" s="390">
        <v>53208990000000</v>
      </c>
      <c r="C423" s="391" t="s">
        <v>155</v>
      </c>
      <c r="D423" s="366"/>
      <c r="E423" s="366"/>
      <c r="F423" s="368"/>
      <c r="G423" s="369">
        <f t="shared" si="40"/>
        <v>0</v>
      </c>
      <c r="H423" s="372">
        <f t="shared" si="41"/>
        <v>0</v>
      </c>
      <c r="I423" s="387"/>
    </row>
    <row r="424" spans="1:9" x14ac:dyDescent="0.35">
      <c r="A424" s="1515"/>
      <c r="B424" s="390">
        <v>53209010000000</v>
      </c>
      <c r="C424" s="391" t="s">
        <v>156</v>
      </c>
      <c r="D424" s="366"/>
      <c r="E424" s="366"/>
      <c r="F424" s="368"/>
      <c r="G424" s="369">
        <f t="shared" si="40"/>
        <v>0</v>
      </c>
      <c r="H424" s="372">
        <f t="shared" si="41"/>
        <v>0</v>
      </c>
      <c r="I424" s="387"/>
    </row>
    <row r="425" spans="1:9" x14ac:dyDescent="0.35">
      <c r="A425" s="1515"/>
      <c r="B425" s="390">
        <v>53209040000000</v>
      </c>
      <c r="C425" s="391" t="s">
        <v>157</v>
      </c>
      <c r="D425" s="366"/>
      <c r="E425" s="366"/>
      <c r="F425" s="368"/>
      <c r="G425" s="369">
        <f t="shared" si="40"/>
        <v>0</v>
      </c>
      <c r="H425" s="372">
        <f t="shared" si="41"/>
        <v>0</v>
      </c>
      <c r="I425" s="387"/>
    </row>
    <row r="426" spans="1:9" x14ac:dyDescent="0.35">
      <c r="A426" s="1515"/>
      <c r="B426" s="390">
        <v>53209050000000</v>
      </c>
      <c r="C426" s="391" t="s">
        <v>158</v>
      </c>
      <c r="D426" s="366"/>
      <c r="E426" s="366"/>
      <c r="F426" s="368"/>
      <c r="G426" s="369">
        <f t="shared" si="40"/>
        <v>0</v>
      </c>
      <c r="H426" s="372">
        <f t="shared" si="41"/>
        <v>0</v>
      </c>
      <c r="I426" s="387"/>
    </row>
    <row r="427" spans="1:9" x14ac:dyDescent="0.35">
      <c r="A427" s="1515"/>
      <c r="B427" s="390">
        <v>53209990000000</v>
      </c>
      <c r="C427" s="391" t="s">
        <v>159</v>
      </c>
      <c r="D427" s="366"/>
      <c r="E427" s="366"/>
      <c r="F427" s="368"/>
      <c r="G427" s="369">
        <f t="shared" si="40"/>
        <v>0</v>
      </c>
      <c r="H427" s="372">
        <f t="shared" si="41"/>
        <v>0</v>
      </c>
      <c r="I427" s="387"/>
    </row>
    <row r="428" spans="1:9" x14ac:dyDescent="0.35">
      <c r="A428" s="1515"/>
      <c r="B428" s="390">
        <v>53210020100000</v>
      </c>
      <c r="C428" s="391" t="s">
        <v>160</v>
      </c>
      <c r="D428" s="366"/>
      <c r="E428" s="366"/>
      <c r="F428" s="368"/>
      <c r="G428" s="369">
        <f t="shared" si="40"/>
        <v>0</v>
      </c>
      <c r="H428" s="372">
        <f t="shared" si="41"/>
        <v>0</v>
      </c>
      <c r="I428" s="387"/>
    </row>
    <row r="429" spans="1:9" x14ac:dyDescent="0.35">
      <c r="A429" s="1515"/>
      <c r="B429" s="388"/>
      <c r="C429" s="389" t="s">
        <v>161</v>
      </c>
      <c r="D429" s="370">
        <f>SUM(D430:D436)</f>
        <v>0</v>
      </c>
      <c r="E429" s="371"/>
      <c r="F429" s="371"/>
      <c r="G429" s="370">
        <f>SUM(G430:G436)</f>
        <v>0</v>
      </c>
      <c r="H429" s="370">
        <f>SUM(H430:H436)</f>
        <v>0</v>
      </c>
      <c r="I429" s="387"/>
    </row>
    <row r="430" spans="1:9" x14ac:dyDescent="0.35">
      <c r="A430" s="1515"/>
      <c r="B430" s="390">
        <v>53206030000000</v>
      </c>
      <c r="C430" s="391" t="s">
        <v>162</v>
      </c>
      <c r="D430" s="366"/>
      <c r="E430" s="366"/>
      <c r="F430" s="368"/>
      <c r="G430" s="369">
        <f t="shared" ref="G430:G436" si="42">E430*F430</f>
        <v>0</v>
      </c>
      <c r="H430" s="372">
        <f t="shared" ref="H430:H436" si="43">D430+G430</f>
        <v>0</v>
      </c>
      <c r="I430" s="387"/>
    </row>
    <row r="431" spans="1:9" x14ac:dyDescent="0.35">
      <c r="A431" s="1515"/>
      <c r="B431" s="390">
        <v>53206040000000</v>
      </c>
      <c r="C431" s="391" t="s">
        <v>163</v>
      </c>
      <c r="D431" s="366"/>
      <c r="E431" s="366"/>
      <c r="F431" s="368"/>
      <c r="G431" s="369">
        <f t="shared" si="42"/>
        <v>0</v>
      </c>
      <c r="H431" s="372">
        <f t="shared" si="43"/>
        <v>0</v>
      </c>
      <c r="I431" s="387"/>
    </row>
    <row r="432" spans="1:9" x14ac:dyDescent="0.35">
      <c r="A432" s="1515"/>
      <c r="B432" s="390">
        <v>53206060000000</v>
      </c>
      <c r="C432" s="391" t="s">
        <v>164</v>
      </c>
      <c r="D432" s="366"/>
      <c r="E432" s="366"/>
      <c r="F432" s="368"/>
      <c r="G432" s="369">
        <f t="shared" si="42"/>
        <v>0</v>
      </c>
      <c r="H432" s="372">
        <f t="shared" si="43"/>
        <v>0</v>
      </c>
      <c r="I432" s="387"/>
    </row>
    <row r="433" spans="1:9" x14ac:dyDescent="0.35">
      <c r="A433" s="1515"/>
      <c r="B433" s="390">
        <v>53206070000000</v>
      </c>
      <c r="C433" s="391" t="s">
        <v>165</v>
      </c>
      <c r="D433" s="366"/>
      <c r="E433" s="366"/>
      <c r="F433" s="368"/>
      <c r="G433" s="369">
        <f t="shared" si="42"/>
        <v>0</v>
      </c>
      <c r="H433" s="372">
        <f t="shared" si="43"/>
        <v>0</v>
      </c>
      <c r="I433" s="387"/>
    </row>
    <row r="434" spans="1:9" x14ac:dyDescent="0.35">
      <c r="A434" s="1515"/>
      <c r="B434" s="390">
        <v>53206990000000</v>
      </c>
      <c r="C434" s="391" t="s">
        <v>166</v>
      </c>
      <c r="D434" s="366"/>
      <c r="E434" s="366"/>
      <c r="F434" s="368"/>
      <c r="G434" s="369">
        <f t="shared" si="42"/>
        <v>0</v>
      </c>
      <c r="H434" s="372">
        <f t="shared" si="43"/>
        <v>0</v>
      </c>
      <c r="I434" s="387"/>
    </row>
    <row r="435" spans="1:9" x14ac:dyDescent="0.35">
      <c r="A435" s="1515"/>
      <c r="B435" s="390">
        <v>53208030000000</v>
      </c>
      <c r="C435" s="391" t="s">
        <v>167</v>
      </c>
      <c r="D435" s="366"/>
      <c r="E435" s="366"/>
      <c r="F435" s="368"/>
      <c r="G435" s="369">
        <f t="shared" si="42"/>
        <v>0</v>
      </c>
      <c r="H435" s="372">
        <f t="shared" si="43"/>
        <v>0</v>
      </c>
      <c r="I435" s="387"/>
    </row>
    <row r="436" spans="1:9" x14ac:dyDescent="0.35">
      <c r="A436" s="1515"/>
      <c r="B436" s="390">
        <v>53212060000000</v>
      </c>
      <c r="C436" s="391" t="s">
        <v>168</v>
      </c>
      <c r="D436" s="363"/>
      <c r="E436" s="363"/>
      <c r="F436" s="365"/>
      <c r="G436" s="369">
        <f t="shared" si="42"/>
        <v>0</v>
      </c>
      <c r="H436" s="372">
        <f t="shared" si="43"/>
        <v>0</v>
      </c>
      <c r="I436" s="387"/>
    </row>
    <row r="437" spans="1:9" x14ac:dyDescent="0.35">
      <c r="A437" s="1515"/>
      <c r="B437" s="388"/>
      <c r="C437" s="389" t="s">
        <v>169</v>
      </c>
      <c r="D437" s="370">
        <f>SUM(D438:D439)</f>
        <v>151725</v>
      </c>
      <c r="E437" s="371"/>
      <c r="F437" s="371"/>
      <c r="G437" s="370">
        <f>SUM(G438:G439)</f>
        <v>0</v>
      </c>
      <c r="H437" s="370">
        <f>SUM(H438:H439)</f>
        <v>151725</v>
      </c>
      <c r="I437" s="387"/>
    </row>
    <row r="438" spans="1:9" x14ac:dyDescent="0.35">
      <c r="A438" s="1515"/>
      <c r="B438" s="390">
        <v>53210020500000</v>
      </c>
      <c r="C438" s="391" t="s">
        <v>170</v>
      </c>
      <c r="D438" s="363"/>
      <c r="E438" s="363"/>
      <c r="F438" s="365"/>
      <c r="G438" s="369">
        <f>E438*F438</f>
        <v>0</v>
      </c>
      <c r="H438" s="372">
        <f>D438+G438</f>
        <v>0</v>
      </c>
      <c r="I438" s="387"/>
    </row>
    <row r="439" spans="1:9" x14ac:dyDescent="0.35">
      <c r="A439" s="1515"/>
      <c r="B439" s="390">
        <v>53204999000000</v>
      </c>
      <c r="C439" s="391" t="s">
        <v>171</v>
      </c>
      <c r="D439" s="366">
        <v>151725</v>
      </c>
      <c r="E439" s="366"/>
      <c r="F439" s="368"/>
      <c r="G439" s="369">
        <f>E439*F439</f>
        <v>0</v>
      </c>
      <c r="H439" s="372">
        <f>D439+G439</f>
        <v>151725</v>
      </c>
      <c r="I439" s="387"/>
    </row>
    <row r="440" spans="1:9" x14ac:dyDescent="0.35">
      <c r="A440" s="1515"/>
      <c r="B440" s="394"/>
      <c r="C440" s="395" t="s">
        <v>12</v>
      </c>
      <c r="D440" s="373">
        <f>SUM(D371,D399)</f>
        <v>11922506.939999999</v>
      </c>
      <c r="E440" s="374"/>
      <c r="F440" s="374"/>
      <c r="G440" s="373">
        <f>SUM(G371,G399)</f>
        <v>160000</v>
      </c>
      <c r="H440" s="373">
        <f>SUM(H371,H399)</f>
        <v>12082506.939999999</v>
      </c>
      <c r="I440" s="387"/>
    </row>
    <row r="441" spans="1:9" x14ac:dyDescent="0.35">
      <c r="A441" s="1516" t="s">
        <v>72</v>
      </c>
      <c r="B441" s="1517" t="s">
        <v>95</v>
      </c>
      <c r="C441" s="1518" t="s">
        <v>96</v>
      </c>
      <c r="D441" s="1519" t="s">
        <v>97</v>
      </c>
      <c r="E441" s="1513" t="s">
        <v>98</v>
      </c>
      <c r="F441" s="1513"/>
      <c r="G441" s="1513"/>
      <c r="H441" s="1514" t="str">
        <f>+H369</f>
        <v>COSTO DIRECTO ESTIMADO 2026</v>
      </c>
      <c r="I441" s="1513" t="s">
        <v>99</v>
      </c>
    </row>
    <row r="442" spans="1:9" ht="26" x14ac:dyDescent="0.35">
      <c r="A442" s="1516"/>
      <c r="B442" s="1517"/>
      <c r="C442" s="1518"/>
      <c r="D442" s="1519"/>
      <c r="E442" s="375" t="s">
        <v>100</v>
      </c>
      <c r="F442" s="376" t="s">
        <v>101</v>
      </c>
      <c r="G442" s="377" t="s">
        <v>102</v>
      </c>
      <c r="H442" s="1514"/>
      <c r="I442" s="1513"/>
    </row>
    <row r="443" spans="1:9" x14ac:dyDescent="0.35">
      <c r="A443" s="1515" t="str">
        <f>+'B) Reajuste Tarifas y Ocupación'!A43</f>
        <v>Cabañas Hornitos</v>
      </c>
      <c r="B443" s="385"/>
      <c r="C443" s="386" t="s">
        <v>103</v>
      </c>
      <c r="D443" s="378">
        <f>SUM(D444,D449,D451)</f>
        <v>3259191</v>
      </c>
      <c r="E443" s="379"/>
      <c r="F443" s="379"/>
      <c r="G443" s="384">
        <f>SUM(G444,G449,G451)</f>
        <v>0</v>
      </c>
      <c r="H443" s="384">
        <f>SUM(H444,H449,H451)</f>
        <v>3259191</v>
      </c>
      <c r="I443" s="387"/>
    </row>
    <row r="444" spans="1:9" x14ac:dyDescent="0.35">
      <c r="A444" s="1515"/>
      <c r="B444" s="388"/>
      <c r="C444" s="389" t="s">
        <v>104</v>
      </c>
      <c r="D444" s="370">
        <f>SUM(D445:D448)</f>
        <v>0</v>
      </c>
      <c r="E444" s="380"/>
      <c r="F444" s="380"/>
      <c r="G444" s="370">
        <f>SUM(G445:G448)</f>
        <v>0</v>
      </c>
      <c r="H444" s="370">
        <f>SUM(H445:H448)</f>
        <v>0</v>
      </c>
      <c r="I444" s="387"/>
    </row>
    <row r="445" spans="1:9" x14ac:dyDescent="0.35">
      <c r="A445" s="1515"/>
      <c r="B445" s="390">
        <v>53103040100000</v>
      </c>
      <c r="C445" s="391" t="s">
        <v>105</v>
      </c>
      <c r="D445" s="381">
        <f>+'F) Remuneraciones'!M132</f>
        <v>0</v>
      </c>
      <c r="E445" s="382"/>
      <c r="F445" s="382"/>
      <c r="G445" s="382"/>
      <c r="H445" s="372">
        <f>D445+G445</f>
        <v>0</v>
      </c>
      <c r="I445" s="387"/>
    </row>
    <row r="446" spans="1:9" x14ac:dyDescent="0.35">
      <c r="A446" s="1515"/>
      <c r="B446" s="390">
        <v>53103050000000</v>
      </c>
      <c r="C446" s="391" t="s">
        <v>106</v>
      </c>
      <c r="D446" s="363"/>
      <c r="E446" s="364"/>
      <c r="F446" s="365"/>
      <c r="G446" s="369">
        <f>E446*F446</f>
        <v>0</v>
      </c>
      <c r="H446" s="372">
        <f>D446+G446</f>
        <v>0</v>
      </c>
      <c r="I446" s="387"/>
    </row>
    <row r="447" spans="1:9" x14ac:dyDescent="0.35">
      <c r="A447" s="1515"/>
      <c r="B447" s="390">
        <v>53103060000000</v>
      </c>
      <c r="C447" s="391" t="s">
        <v>107</v>
      </c>
      <c r="D447" s="363"/>
      <c r="E447" s="364"/>
      <c r="F447" s="365"/>
      <c r="G447" s="369">
        <f>E447*F447</f>
        <v>0</v>
      </c>
      <c r="H447" s="372">
        <f>D447+G447</f>
        <v>0</v>
      </c>
      <c r="I447" s="387"/>
    </row>
    <row r="448" spans="1:9" x14ac:dyDescent="0.35">
      <c r="A448" s="1515"/>
      <c r="B448" s="390">
        <v>53103080010000</v>
      </c>
      <c r="C448" s="391" t="s">
        <v>108</v>
      </c>
      <c r="D448" s="363"/>
      <c r="E448" s="364"/>
      <c r="F448" s="365"/>
      <c r="G448" s="369">
        <f>E448*F448</f>
        <v>0</v>
      </c>
      <c r="H448" s="372">
        <f>D448+G448</f>
        <v>0</v>
      </c>
      <c r="I448" s="387"/>
    </row>
    <row r="449" spans="1:9" x14ac:dyDescent="0.35">
      <c r="A449" s="1515"/>
      <c r="B449" s="388"/>
      <c r="C449" s="389" t="s">
        <v>109</v>
      </c>
      <c r="D449" s="370">
        <f>SUM(D450)</f>
        <v>0</v>
      </c>
      <c r="E449" s="371"/>
      <c r="F449" s="371"/>
      <c r="G449" s="370">
        <f>SUM(G450:G450)</f>
        <v>0</v>
      </c>
      <c r="H449" s="370">
        <f>SUM(H450:H450)</f>
        <v>0</v>
      </c>
      <c r="I449" s="387"/>
    </row>
    <row r="450" spans="1:9" x14ac:dyDescent="0.35">
      <c r="A450" s="1515"/>
      <c r="B450" s="390">
        <v>55201010100001</v>
      </c>
      <c r="C450" s="391" t="s">
        <v>110</v>
      </c>
      <c r="D450" s="363"/>
      <c r="E450" s="364"/>
      <c r="F450" s="365"/>
      <c r="G450" s="369">
        <f>E450*F450</f>
        <v>0</v>
      </c>
      <c r="H450" s="372">
        <f>D450+G450</f>
        <v>0</v>
      </c>
      <c r="I450" s="387"/>
    </row>
    <row r="451" spans="1:9" x14ac:dyDescent="0.35">
      <c r="A451" s="1515"/>
      <c r="B451" s="388"/>
      <c r="C451" s="389" t="s">
        <v>111</v>
      </c>
      <c r="D451" s="370">
        <f>SUM(D452:D470)</f>
        <v>3259191</v>
      </c>
      <c r="E451" s="371"/>
      <c r="F451" s="371"/>
      <c r="G451" s="370">
        <f>SUM(G452:G470)</f>
        <v>0</v>
      </c>
      <c r="H451" s="370">
        <f>SUM(H452:H470)</f>
        <v>3259191</v>
      </c>
      <c r="I451" s="387"/>
    </row>
    <row r="452" spans="1:9" x14ac:dyDescent="0.35">
      <c r="A452" s="1515"/>
      <c r="B452" s="390">
        <v>53201010100000</v>
      </c>
      <c r="C452" s="391" t="s">
        <v>112</v>
      </c>
      <c r="D452" s="363"/>
      <c r="E452" s="364"/>
      <c r="F452" s="365"/>
      <c r="G452" s="369">
        <f t="shared" ref="G452:G470" si="44">E452*F452</f>
        <v>0</v>
      </c>
      <c r="H452" s="372">
        <f t="shared" ref="H452:H470" si="45">D452+G452</f>
        <v>0</v>
      </c>
      <c r="I452" s="387"/>
    </row>
    <row r="453" spans="1:9" x14ac:dyDescent="0.35">
      <c r="A453" s="1515"/>
      <c r="B453" s="390">
        <v>53202010100000</v>
      </c>
      <c r="C453" s="391" t="s">
        <v>113</v>
      </c>
      <c r="D453" s="363"/>
      <c r="E453" s="364"/>
      <c r="F453" s="365"/>
      <c r="G453" s="369">
        <f t="shared" si="44"/>
        <v>0</v>
      </c>
      <c r="H453" s="372">
        <f t="shared" si="45"/>
        <v>0</v>
      </c>
      <c r="I453" s="387"/>
    </row>
    <row r="454" spans="1:9" x14ac:dyDescent="0.35">
      <c r="A454" s="1515"/>
      <c r="B454" s="390">
        <v>53203010100000</v>
      </c>
      <c r="C454" s="391" t="s">
        <v>114</v>
      </c>
      <c r="D454" s="366"/>
      <c r="E454" s="367"/>
      <c r="F454" s="368"/>
      <c r="G454" s="369">
        <f t="shared" si="44"/>
        <v>0</v>
      </c>
      <c r="H454" s="372">
        <f t="shared" si="45"/>
        <v>0</v>
      </c>
      <c r="I454" s="387"/>
    </row>
    <row r="455" spans="1:9" x14ac:dyDescent="0.35">
      <c r="A455" s="1515"/>
      <c r="B455" s="390">
        <v>53203030000000</v>
      </c>
      <c r="C455" s="391" t="s">
        <v>115</v>
      </c>
      <c r="D455" s="366"/>
      <c r="E455" s="367"/>
      <c r="F455" s="368"/>
      <c r="G455" s="369">
        <f t="shared" si="44"/>
        <v>0</v>
      </c>
      <c r="H455" s="372">
        <f t="shared" si="45"/>
        <v>0</v>
      </c>
      <c r="I455" s="387"/>
    </row>
    <row r="456" spans="1:9" x14ac:dyDescent="0.35">
      <c r="A456" s="1515"/>
      <c r="B456" s="390">
        <v>53204030000000</v>
      </c>
      <c r="C456" s="391" t="s">
        <v>116</v>
      </c>
      <c r="D456" s="366"/>
      <c r="E456" s="367"/>
      <c r="F456" s="368"/>
      <c r="G456" s="369">
        <f t="shared" si="44"/>
        <v>0</v>
      </c>
      <c r="H456" s="372">
        <f t="shared" si="45"/>
        <v>0</v>
      </c>
      <c r="I456" s="387"/>
    </row>
    <row r="457" spans="1:9" x14ac:dyDescent="0.35">
      <c r="A457" s="1515"/>
      <c r="B457" s="390">
        <v>53204100100001</v>
      </c>
      <c r="C457" s="391" t="s">
        <v>117</v>
      </c>
      <c r="D457" s="366">
        <v>2248977</v>
      </c>
      <c r="E457" s="367"/>
      <c r="F457" s="368"/>
      <c r="G457" s="369">
        <f t="shared" si="44"/>
        <v>0</v>
      </c>
      <c r="H457" s="372">
        <f t="shared" si="45"/>
        <v>2248977</v>
      </c>
      <c r="I457" s="387"/>
    </row>
    <row r="458" spans="1:9" x14ac:dyDescent="0.35">
      <c r="A458" s="1515"/>
      <c r="B458" s="390">
        <v>53204130100000</v>
      </c>
      <c r="C458" s="391" t="s">
        <v>118</v>
      </c>
      <c r="D458" s="366"/>
      <c r="E458" s="367"/>
      <c r="F458" s="368"/>
      <c r="G458" s="369">
        <f t="shared" si="44"/>
        <v>0</v>
      </c>
      <c r="H458" s="372">
        <f t="shared" si="45"/>
        <v>0</v>
      </c>
      <c r="I458" s="387"/>
    </row>
    <row r="459" spans="1:9" x14ac:dyDescent="0.35">
      <c r="A459" s="1515"/>
      <c r="B459" s="390">
        <v>53205010100000</v>
      </c>
      <c r="C459" s="391" t="s">
        <v>119</v>
      </c>
      <c r="D459" s="366"/>
      <c r="E459" s="367"/>
      <c r="F459" s="368"/>
      <c r="G459" s="369">
        <f t="shared" si="44"/>
        <v>0</v>
      </c>
      <c r="H459" s="372">
        <f t="shared" si="45"/>
        <v>0</v>
      </c>
      <c r="I459" s="387"/>
    </row>
    <row r="460" spans="1:9" x14ac:dyDescent="0.35">
      <c r="A460" s="1515"/>
      <c r="B460" s="390">
        <v>53205020100000</v>
      </c>
      <c r="C460" s="391" t="s">
        <v>120</v>
      </c>
      <c r="D460" s="366"/>
      <c r="E460" s="367"/>
      <c r="F460" s="368"/>
      <c r="G460" s="369">
        <f t="shared" si="44"/>
        <v>0</v>
      </c>
      <c r="H460" s="372">
        <f t="shared" si="45"/>
        <v>0</v>
      </c>
      <c r="I460" s="387"/>
    </row>
    <row r="461" spans="1:9" x14ac:dyDescent="0.35">
      <c r="A461" s="1515"/>
      <c r="B461" s="390">
        <v>53205030100000</v>
      </c>
      <c r="C461" s="393" t="s">
        <v>121</v>
      </c>
      <c r="D461" s="366">
        <v>950214</v>
      </c>
      <c r="E461" s="367"/>
      <c r="F461" s="368"/>
      <c r="G461" s="369">
        <f t="shared" si="44"/>
        <v>0</v>
      </c>
      <c r="H461" s="372">
        <f t="shared" si="45"/>
        <v>950214</v>
      </c>
      <c r="I461" s="387"/>
    </row>
    <row r="462" spans="1:9" x14ac:dyDescent="0.35">
      <c r="A462" s="1515"/>
      <c r="B462" s="390">
        <v>53205050100000</v>
      </c>
      <c r="C462" s="391" t="s">
        <v>122</v>
      </c>
      <c r="D462" s="366"/>
      <c r="E462" s="367"/>
      <c r="F462" s="368"/>
      <c r="G462" s="369">
        <f t="shared" si="44"/>
        <v>0</v>
      </c>
      <c r="H462" s="372">
        <f t="shared" si="45"/>
        <v>0</v>
      </c>
      <c r="I462" s="387"/>
    </row>
    <row r="463" spans="1:9" x14ac:dyDescent="0.35">
      <c r="A463" s="1515"/>
      <c r="B463" s="390">
        <v>53205060100000</v>
      </c>
      <c r="C463" s="391" t="s">
        <v>123</v>
      </c>
      <c r="D463" s="366"/>
      <c r="E463" s="367"/>
      <c r="F463" s="368"/>
      <c r="G463" s="369">
        <f t="shared" si="44"/>
        <v>0</v>
      </c>
      <c r="H463" s="372">
        <f t="shared" si="45"/>
        <v>0</v>
      </c>
      <c r="I463" s="387"/>
    </row>
    <row r="464" spans="1:9" x14ac:dyDescent="0.35">
      <c r="A464" s="1515"/>
      <c r="B464" s="390">
        <v>53205070100000</v>
      </c>
      <c r="C464" s="391" t="s">
        <v>124</v>
      </c>
      <c r="D464" s="366"/>
      <c r="E464" s="367"/>
      <c r="F464" s="368"/>
      <c r="G464" s="369">
        <f t="shared" si="44"/>
        <v>0</v>
      </c>
      <c r="H464" s="372">
        <f t="shared" si="45"/>
        <v>0</v>
      </c>
      <c r="I464" s="387"/>
    </row>
    <row r="465" spans="1:9" x14ac:dyDescent="0.35">
      <c r="A465" s="1515"/>
      <c r="B465" s="390">
        <v>53208010100000</v>
      </c>
      <c r="C465" s="391" t="s">
        <v>125</v>
      </c>
      <c r="D465" s="366"/>
      <c r="E465" s="367"/>
      <c r="F465" s="368"/>
      <c r="G465" s="369">
        <f t="shared" si="44"/>
        <v>0</v>
      </c>
      <c r="H465" s="372">
        <f t="shared" si="45"/>
        <v>0</v>
      </c>
      <c r="I465" s="387"/>
    </row>
    <row r="466" spans="1:9" x14ac:dyDescent="0.35">
      <c r="A466" s="1515"/>
      <c r="B466" s="390">
        <v>53208070100001</v>
      </c>
      <c r="C466" s="391" t="s">
        <v>126</v>
      </c>
      <c r="D466" s="366">
        <v>60000</v>
      </c>
      <c r="E466" s="367"/>
      <c r="F466" s="368"/>
      <c r="G466" s="369">
        <f t="shared" si="44"/>
        <v>0</v>
      </c>
      <c r="H466" s="372">
        <f t="shared" si="45"/>
        <v>60000</v>
      </c>
      <c r="I466" s="387"/>
    </row>
    <row r="467" spans="1:9" x14ac:dyDescent="0.35">
      <c r="A467" s="1515"/>
      <c r="B467" s="390">
        <v>53208100100001</v>
      </c>
      <c r="C467" s="391" t="s">
        <v>127</v>
      </c>
      <c r="D467" s="366"/>
      <c r="E467" s="367"/>
      <c r="F467" s="368"/>
      <c r="G467" s="369">
        <f t="shared" si="44"/>
        <v>0</v>
      </c>
      <c r="H467" s="372">
        <f t="shared" si="45"/>
        <v>0</v>
      </c>
      <c r="I467" s="387"/>
    </row>
    <row r="468" spans="1:9" x14ac:dyDescent="0.35">
      <c r="A468" s="1515"/>
      <c r="B468" s="390">
        <v>53211030000000</v>
      </c>
      <c r="C468" s="391" t="s">
        <v>128</v>
      </c>
      <c r="D468" s="366"/>
      <c r="E468" s="367"/>
      <c r="F468" s="368"/>
      <c r="G468" s="369">
        <f t="shared" si="44"/>
        <v>0</v>
      </c>
      <c r="H468" s="372">
        <f t="shared" si="45"/>
        <v>0</v>
      </c>
      <c r="I468" s="387"/>
    </row>
    <row r="469" spans="1:9" x14ac:dyDescent="0.35">
      <c r="A469" s="1515"/>
      <c r="B469" s="390">
        <v>53212020100000</v>
      </c>
      <c r="C469" s="391" t="s">
        <v>129</v>
      </c>
      <c r="D469" s="366"/>
      <c r="E469" s="367"/>
      <c r="F469" s="368"/>
      <c r="G469" s="369">
        <f t="shared" si="44"/>
        <v>0</v>
      </c>
      <c r="H469" s="372">
        <f t="shared" si="45"/>
        <v>0</v>
      </c>
      <c r="I469" s="387"/>
    </row>
    <row r="470" spans="1:9" x14ac:dyDescent="0.35">
      <c r="A470" s="1515"/>
      <c r="B470" s="390">
        <v>53214020000000</v>
      </c>
      <c r="C470" s="391" t="s">
        <v>130</v>
      </c>
      <c r="D470" s="363"/>
      <c r="E470" s="364"/>
      <c r="F470" s="365"/>
      <c r="G470" s="369">
        <f t="shared" si="44"/>
        <v>0</v>
      </c>
      <c r="H470" s="372">
        <f t="shared" si="45"/>
        <v>0</v>
      </c>
      <c r="I470" s="387"/>
    </row>
    <row r="471" spans="1:9" x14ac:dyDescent="0.35">
      <c r="A471" s="1515"/>
      <c r="B471" s="385"/>
      <c r="C471" s="386" t="s">
        <v>131</v>
      </c>
      <c r="D471" s="384">
        <f>SUM(D472,D477,D480,D491,D501,D509)</f>
        <v>1389904</v>
      </c>
      <c r="E471" s="379"/>
      <c r="F471" s="379"/>
      <c r="G471" s="384">
        <f>SUM(G472,G477,G480,G491,G501,G509)</f>
        <v>0</v>
      </c>
      <c r="H471" s="384">
        <f>SUM(H472,H477,H480,H491,H501,H509)</f>
        <v>1389904</v>
      </c>
      <c r="I471" s="387"/>
    </row>
    <row r="472" spans="1:9" x14ac:dyDescent="0.35">
      <c r="A472" s="1515"/>
      <c r="B472" s="388"/>
      <c r="C472" s="389" t="s">
        <v>132</v>
      </c>
      <c r="D472" s="370">
        <f>SUM(D473:D476)</f>
        <v>700000</v>
      </c>
      <c r="E472" s="371"/>
      <c r="F472" s="371"/>
      <c r="G472" s="383">
        <f>SUM(G473:G476)</f>
        <v>0</v>
      </c>
      <c r="H472" s="383">
        <f>SUM(H473:H476)</f>
        <v>700000</v>
      </c>
      <c r="I472" s="387"/>
    </row>
    <row r="473" spans="1:9" x14ac:dyDescent="0.35">
      <c r="A473" s="1515"/>
      <c r="B473" s="390">
        <v>53202020100000</v>
      </c>
      <c r="C473" s="391" t="s">
        <v>133</v>
      </c>
      <c r="D473" s="366"/>
      <c r="E473" s="367"/>
      <c r="F473" s="368"/>
      <c r="G473" s="369">
        <f>E473*F473</f>
        <v>0</v>
      </c>
      <c r="H473" s="372">
        <f>D473+G473</f>
        <v>0</v>
      </c>
      <c r="I473" s="387"/>
    </row>
    <row r="474" spans="1:9" x14ac:dyDescent="0.35">
      <c r="A474" s="1515"/>
      <c r="B474" s="390">
        <v>53202030000000</v>
      </c>
      <c r="C474" s="391" t="s">
        <v>134</v>
      </c>
      <c r="D474" s="363"/>
      <c r="E474" s="364"/>
      <c r="F474" s="365"/>
      <c r="G474" s="369">
        <f>E474*F474</f>
        <v>0</v>
      </c>
      <c r="H474" s="372">
        <f>D474+G474</f>
        <v>0</v>
      </c>
      <c r="I474" s="387"/>
    </row>
    <row r="475" spans="1:9" x14ac:dyDescent="0.35">
      <c r="A475" s="1515"/>
      <c r="B475" s="390">
        <v>53211020000000</v>
      </c>
      <c r="C475" s="391" t="s">
        <v>135</v>
      </c>
      <c r="D475" s="366"/>
      <c r="E475" s="367"/>
      <c r="F475" s="368"/>
      <c r="G475" s="369">
        <f>E475*F475</f>
        <v>0</v>
      </c>
      <c r="H475" s="372">
        <f>D475+G475</f>
        <v>0</v>
      </c>
      <c r="I475" s="387"/>
    </row>
    <row r="476" spans="1:9" x14ac:dyDescent="0.35">
      <c r="A476" s="1515"/>
      <c r="B476" s="390">
        <v>53101004030000</v>
      </c>
      <c r="C476" s="391" t="s">
        <v>136</v>
      </c>
      <c r="D476" s="363">
        <v>700000</v>
      </c>
      <c r="E476" s="364"/>
      <c r="F476" s="365"/>
      <c r="G476" s="369">
        <f>E476*F476</f>
        <v>0</v>
      </c>
      <c r="H476" s="372">
        <f>D476+G476</f>
        <v>700000</v>
      </c>
      <c r="I476" s="387"/>
    </row>
    <row r="477" spans="1:9" x14ac:dyDescent="0.35">
      <c r="A477" s="1515"/>
      <c r="B477" s="388"/>
      <c r="C477" s="389" t="s">
        <v>137</v>
      </c>
      <c r="D477" s="370">
        <f>SUM(D478:D479)</f>
        <v>0</v>
      </c>
      <c r="E477" s="371"/>
      <c r="F477" s="371"/>
      <c r="G477" s="383">
        <f>SUM(G478:G479)</f>
        <v>0</v>
      </c>
      <c r="H477" s="383">
        <f>SUM(H478:H479)</f>
        <v>0</v>
      </c>
      <c r="I477" s="387"/>
    </row>
    <row r="478" spans="1:9" x14ac:dyDescent="0.35">
      <c r="A478" s="1515"/>
      <c r="B478" s="390">
        <v>53205080000000</v>
      </c>
      <c r="C478" s="393" t="s">
        <v>138</v>
      </c>
      <c r="D478" s="363"/>
      <c r="E478" s="364"/>
      <c r="F478" s="365"/>
      <c r="G478" s="369">
        <f>E478*F478</f>
        <v>0</v>
      </c>
      <c r="H478" s="372">
        <f>D478+G478</f>
        <v>0</v>
      </c>
      <c r="I478" s="387"/>
    </row>
    <row r="479" spans="1:9" x14ac:dyDescent="0.35">
      <c r="A479" s="1515"/>
      <c r="B479" s="390">
        <v>53205990000000</v>
      </c>
      <c r="C479" s="391" t="s">
        <v>139</v>
      </c>
      <c r="D479" s="366"/>
      <c r="E479" s="367"/>
      <c r="F479" s="368"/>
      <c r="G479" s="369">
        <f>E479*F479</f>
        <v>0</v>
      </c>
      <c r="H479" s="372">
        <f>D479+G479</f>
        <v>0</v>
      </c>
      <c r="I479" s="387"/>
    </row>
    <row r="480" spans="1:9" x14ac:dyDescent="0.35">
      <c r="A480" s="1515"/>
      <c r="B480" s="388"/>
      <c r="C480" s="389" t="s">
        <v>140</v>
      </c>
      <c r="D480" s="370">
        <f>SUM(D481:D490)</f>
        <v>689904</v>
      </c>
      <c r="E480" s="371"/>
      <c r="F480" s="371"/>
      <c r="G480" s="370">
        <f>SUM(G481:G490)</f>
        <v>0</v>
      </c>
      <c r="H480" s="370">
        <f>SUM(H481:H490)</f>
        <v>689904</v>
      </c>
      <c r="I480" s="387"/>
    </row>
    <row r="481" spans="1:9" x14ac:dyDescent="0.35">
      <c r="A481" s="1515"/>
      <c r="B481" s="390">
        <v>53203010200000</v>
      </c>
      <c r="C481" s="391" t="s">
        <v>141</v>
      </c>
      <c r="D481" s="363">
        <v>350000</v>
      </c>
      <c r="E481" s="363"/>
      <c r="F481" s="365"/>
      <c r="G481" s="369">
        <f t="shared" ref="G481:G490" si="46">E481*F481</f>
        <v>0</v>
      </c>
      <c r="H481" s="372">
        <f t="shared" ref="H481:H490" si="47">D481+G481</f>
        <v>350000</v>
      </c>
      <c r="I481" s="387"/>
    </row>
    <row r="482" spans="1:9" x14ac:dyDescent="0.35">
      <c r="A482" s="1515"/>
      <c r="B482" s="390">
        <v>53204010000000</v>
      </c>
      <c r="C482" s="391" t="s">
        <v>142</v>
      </c>
      <c r="D482" s="366"/>
      <c r="E482" s="366"/>
      <c r="F482" s="368"/>
      <c r="G482" s="369">
        <f t="shared" si="46"/>
        <v>0</v>
      </c>
      <c r="H482" s="372">
        <f t="shared" si="47"/>
        <v>0</v>
      </c>
      <c r="I482" s="387"/>
    </row>
    <row r="483" spans="1:9" x14ac:dyDescent="0.35">
      <c r="A483" s="1515"/>
      <c r="B483" s="390">
        <v>53204040200000</v>
      </c>
      <c r="C483" s="393" t="s">
        <v>143</v>
      </c>
      <c r="D483" s="366"/>
      <c r="E483" s="366"/>
      <c r="F483" s="368"/>
      <c r="G483" s="369">
        <f t="shared" si="46"/>
        <v>0</v>
      </c>
      <c r="H483" s="372">
        <f t="shared" si="47"/>
        <v>0</v>
      </c>
      <c r="I483" s="387"/>
    </row>
    <row r="484" spans="1:9" x14ac:dyDescent="0.35">
      <c r="A484" s="1515"/>
      <c r="B484" s="390">
        <v>53204060000000</v>
      </c>
      <c r="C484" s="393" t="s">
        <v>144</v>
      </c>
      <c r="D484" s="366"/>
      <c r="E484" s="366"/>
      <c r="F484" s="368"/>
      <c r="G484" s="369">
        <f t="shared" si="46"/>
        <v>0</v>
      </c>
      <c r="H484" s="372">
        <f t="shared" si="47"/>
        <v>0</v>
      </c>
      <c r="I484" s="387"/>
    </row>
    <row r="485" spans="1:9" x14ac:dyDescent="0.35">
      <c r="A485" s="1515"/>
      <c r="B485" s="390">
        <v>53204070000000</v>
      </c>
      <c r="C485" s="393" t="s">
        <v>145</v>
      </c>
      <c r="D485" s="366">
        <v>339904</v>
      </c>
      <c r="E485" s="366"/>
      <c r="F485" s="368"/>
      <c r="G485" s="369">
        <f t="shared" si="46"/>
        <v>0</v>
      </c>
      <c r="H485" s="372">
        <f t="shared" si="47"/>
        <v>339904</v>
      </c>
      <c r="I485" s="387"/>
    </row>
    <row r="486" spans="1:9" x14ac:dyDescent="0.35">
      <c r="A486" s="1515"/>
      <c r="B486" s="390">
        <v>53204080000000</v>
      </c>
      <c r="C486" s="393" t="s">
        <v>146</v>
      </c>
      <c r="D486" s="366"/>
      <c r="E486" s="366"/>
      <c r="F486" s="368"/>
      <c r="G486" s="369">
        <f t="shared" si="46"/>
        <v>0</v>
      </c>
      <c r="H486" s="372">
        <f t="shared" si="47"/>
        <v>0</v>
      </c>
      <c r="I486" s="387"/>
    </row>
    <row r="487" spans="1:9" x14ac:dyDescent="0.35">
      <c r="A487" s="1515"/>
      <c r="B487" s="390">
        <v>53214010000000</v>
      </c>
      <c r="C487" s="393" t="s">
        <v>147</v>
      </c>
      <c r="D487" s="363"/>
      <c r="E487" s="363"/>
      <c r="F487" s="365"/>
      <c r="G487" s="369">
        <f t="shared" si="46"/>
        <v>0</v>
      </c>
      <c r="H487" s="372">
        <f t="shared" si="47"/>
        <v>0</v>
      </c>
      <c r="I487" s="387"/>
    </row>
    <row r="488" spans="1:9" x14ac:dyDescent="0.35">
      <c r="A488" s="1515"/>
      <c r="B488" s="390">
        <v>53214040000000</v>
      </c>
      <c r="C488" s="391" t="s">
        <v>148</v>
      </c>
      <c r="D488" s="363"/>
      <c r="E488" s="363"/>
      <c r="F488" s="365"/>
      <c r="G488" s="369">
        <f t="shared" si="46"/>
        <v>0</v>
      </c>
      <c r="H488" s="372">
        <f t="shared" si="47"/>
        <v>0</v>
      </c>
      <c r="I488" s="387"/>
    </row>
    <row r="489" spans="1:9" x14ac:dyDescent="0.35">
      <c r="A489" s="1515"/>
      <c r="B489" s="390">
        <v>55201010100004</v>
      </c>
      <c r="C489" s="391" t="s">
        <v>149</v>
      </c>
      <c r="D489" s="363"/>
      <c r="E489" s="405"/>
      <c r="F489" s="365"/>
      <c r="G489" s="369">
        <f>E489*F489</f>
        <v>0</v>
      </c>
      <c r="H489" s="372">
        <f t="shared" si="47"/>
        <v>0</v>
      </c>
      <c r="I489" s="387"/>
    </row>
    <row r="490" spans="1:9" x14ac:dyDescent="0.35">
      <c r="A490" s="1515"/>
      <c r="B490" s="390">
        <v>55201010100005</v>
      </c>
      <c r="C490" s="391" t="s">
        <v>150</v>
      </c>
      <c r="D490" s="363"/>
      <c r="E490" s="363"/>
      <c r="F490" s="365"/>
      <c r="G490" s="369">
        <f t="shared" si="46"/>
        <v>0</v>
      </c>
      <c r="H490" s="372">
        <f t="shared" si="47"/>
        <v>0</v>
      </c>
      <c r="I490" s="387"/>
    </row>
    <row r="491" spans="1:9" x14ac:dyDescent="0.35">
      <c r="A491" s="1515"/>
      <c r="B491" s="388"/>
      <c r="C491" s="389" t="s">
        <v>151</v>
      </c>
      <c r="D491" s="370">
        <f>SUM(D492:D500)</f>
        <v>0</v>
      </c>
      <c r="E491" s="371"/>
      <c r="F491" s="371"/>
      <c r="G491" s="370">
        <f>SUM(G492:G500)</f>
        <v>0</v>
      </c>
      <c r="H491" s="370">
        <f>SUM(H492:H500)</f>
        <v>0</v>
      </c>
      <c r="I491" s="387"/>
    </row>
    <row r="492" spans="1:9" x14ac:dyDescent="0.35">
      <c r="A492" s="1515"/>
      <c r="B492" s="390">
        <v>53207010000000</v>
      </c>
      <c r="C492" s="391" t="s">
        <v>152</v>
      </c>
      <c r="D492" s="366"/>
      <c r="E492" s="366"/>
      <c r="F492" s="368"/>
      <c r="G492" s="369">
        <f t="shared" ref="G492:G500" si="48">E492*F492</f>
        <v>0</v>
      </c>
      <c r="H492" s="372">
        <f t="shared" ref="H492:H500" si="49">D492+G492</f>
        <v>0</v>
      </c>
      <c r="I492" s="387"/>
    </row>
    <row r="493" spans="1:9" x14ac:dyDescent="0.35">
      <c r="A493" s="1515"/>
      <c r="B493" s="390">
        <v>53207020000000</v>
      </c>
      <c r="C493" s="391" t="s">
        <v>153</v>
      </c>
      <c r="D493" s="366"/>
      <c r="E493" s="366"/>
      <c r="F493" s="368"/>
      <c r="G493" s="369">
        <f t="shared" si="48"/>
        <v>0</v>
      </c>
      <c r="H493" s="372">
        <f t="shared" si="49"/>
        <v>0</v>
      </c>
      <c r="I493" s="387"/>
    </row>
    <row r="494" spans="1:9" x14ac:dyDescent="0.35">
      <c r="A494" s="1515"/>
      <c r="B494" s="390">
        <v>53208020000000</v>
      </c>
      <c r="C494" s="391" t="s">
        <v>154</v>
      </c>
      <c r="D494" s="366"/>
      <c r="E494" s="366"/>
      <c r="F494" s="368"/>
      <c r="G494" s="369">
        <f t="shared" si="48"/>
        <v>0</v>
      </c>
      <c r="H494" s="372">
        <f t="shared" si="49"/>
        <v>0</v>
      </c>
      <c r="I494" s="387"/>
    </row>
    <row r="495" spans="1:9" x14ac:dyDescent="0.35">
      <c r="A495" s="1515"/>
      <c r="B495" s="390">
        <v>53208990000000</v>
      </c>
      <c r="C495" s="391" t="s">
        <v>155</v>
      </c>
      <c r="D495" s="366"/>
      <c r="E495" s="366"/>
      <c r="F495" s="368"/>
      <c r="G495" s="369">
        <f t="shared" si="48"/>
        <v>0</v>
      </c>
      <c r="H495" s="372">
        <f t="shared" si="49"/>
        <v>0</v>
      </c>
      <c r="I495" s="387"/>
    </row>
    <row r="496" spans="1:9" x14ac:dyDescent="0.35">
      <c r="A496" s="1515"/>
      <c r="B496" s="390">
        <v>53209010000000</v>
      </c>
      <c r="C496" s="391" t="s">
        <v>156</v>
      </c>
      <c r="D496" s="366"/>
      <c r="E496" s="366"/>
      <c r="F496" s="368"/>
      <c r="G496" s="369">
        <f t="shared" si="48"/>
        <v>0</v>
      </c>
      <c r="H496" s="372">
        <f t="shared" si="49"/>
        <v>0</v>
      </c>
      <c r="I496" s="387"/>
    </row>
    <row r="497" spans="1:9" x14ac:dyDescent="0.35">
      <c r="A497" s="1515"/>
      <c r="B497" s="390">
        <v>53209040000000</v>
      </c>
      <c r="C497" s="391" t="s">
        <v>157</v>
      </c>
      <c r="D497" s="366"/>
      <c r="E497" s="366"/>
      <c r="F497" s="368"/>
      <c r="G497" s="369">
        <f t="shared" si="48"/>
        <v>0</v>
      </c>
      <c r="H497" s="372">
        <f t="shared" si="49"/>
        <v>0</v>
      </c>
      <c r="I497" s="387"/>
    </row>
    <row r="498" spans="1:9" x14ac:dyDescent="0.35">
      <c r="A498" s="1515"/>
      <c r="B498" s="390">
        <v>53209050000000</v>
      </c>
      <c r="C498" s="391" t="s">
        <v>158</v>
      </c>
      <c r="D498" s="366"/>
      <c r="E498" s="366"/>
      <c r="F498" s="368"/>
      <c r="G498" s="369">
        <f t="shared" si="48"/>
        <v>0</v>
      </c>
      <c r="H498" s="372">
        <f t="shared" si="49"/>
        <v>0</v>
      </c>
      <c r="I498" s="387"/>
    </row>
    <row r="499" spans="1:9" x14ac:dyDescent="0.35">
      <c r="A499" s="1515"/>
      <c r="B499" s="390">
        <v>53209990000000</v>
      </c>
      <c r="C499" s="391" t="s">
        <v>159</v>
      </c>
      <c r="D499" s="366"/>
      <c r="E499" s="366"/>
      <c r="F499" s="368"/>
      <c r="G499" s="369">
        <f t="shared" si="48"/>
        <v>0</v>
      </c>
      <c r="H499" s="372">
        <f t="shared" si="49"/>
        <v>0</v>
      </c>
      <c r="I499" s="387"/>
    </row>
    <row r="500" spans="1:9" x14ac:dyDescent="0.35">
      <c r="A500" s="1515"/>
      <c r="B500" s="390">
        <v>53210020100000</v>
      </c>
      <c r="C500" s="391" t="s">
        <v>160</v>
      </c>
      <c r="D500" s="366"/>
      <c r="E500" s="366"/>
      <c r="F500" s="368"/>
      <c r="G500" s="369">
        <f t="shared" si="48"/>
        <v>0</v>
      </c>
      <c r="H500" s="372">
        <f t="shared" si="49"/>
        <v>0</v>
      </c>
      <c r="I500" s="387"/>
    </row>
    <row r="501" spans="1:9" x14ac:dyDescent="0.35">
      <c r="A501" s="1515"/>
      <c r="B501" s="388"/>
      <c r="C501" s="389" t="s">
        <v>161</v>
      </c>
      <c r="D501" s="370">
        <f>SUM(D502:D508)</f>
        <v>0</v>
      </c>
      <c r="E501" s="371"/>
      <c r="F501" s="371"/>
      <c r="G501" s="370">
        <f>SUM(G502:G508)</f>
        <v>0</v>
      </c>
      <c r="H501" s="370">
        <f>SUM(H502:H508)</f>
        <v>0</v>
      </c>
      <c r="I501" s="387"/>
    </row>
    <row r="502" spans="1:9" x14ac:dyDescent="0.35">
      <c r="A502" s="1515"/>
      <c r="B502" s="390">
        <v>53206030000000</v>
      </c>
      <c r="C502" s="391" t="s">
        <v>162</v>
      </c>
      <c r="D502" s="366"/>
      <c r="E502" s="366"/>
      <c r="F502" s="368"/>
      <c r="G502" s="369">
        <f t="shared" ref="G502:G508" si="50">E502*F502</f>
        <v>0</v>
      </c>
      <c r="H502" s="372">
        <f t="shared" ref="H502:H508" si="51">D502+G502</f>
        <v>0</v>
      </c>
      <c r="I502" s="387"/>
    </row>
    <row r="503" spans="1:9" x14ac:dyDescent="0.35">
      <c r="A503" s="1515"/>
      <c r="B503" s="390">
        <v>53206040000000</v>
      </c>
      <c r="C503" s="391" t="s">
        <v>163</v>
      </c>
      <c r="D503" s="366"/>
      <c r="E503" s="366"/>
      <c r="F503" s="368"/>
      <c r="G503" s="369">
        <f t="shared" si="50"/>
        <v>0</v>
      </c>
      <c r="H503" s="372">
        <f t="shared" si="51"/>
        <v>0</v>
      </c>
      <c r="I503" s="387"/>
    </row>
    <row r="504" spans="1:9" x14ac:dyDescent="0.35">
      <c r="A504" s="1515"/>
      <c r="B504" s="390">
        <v>53206060000000</v>
      </c>
      <c r="C504" s="391" t="s">
        <v>164</v>
      </c>
      <c r="D504" s="366"/>
      <c r="E504" s="366"/>
      <c r="F504" s="368"/>
      <c r="G504" s="369">
        <f t="shared" si="50"/>
        <v>0</v>
      </c>
      <c r="H504" s="372">
        <f t="shared" si="51"/>
        <v>0</v>
      </c>
      <c r="I504" s="392"/>
    </row>
    <row r="505" spans="1:9" x14ac:dyDescent="0.35">
      <c r="A505" s="1515"/>
      <c r="B505" s="390">
        <v>53206070000000</v>
      </c>
      <c r="C505" s="391" t="s">
        <v>165</v>
      </c>
      <c r="D505" s="366"/>
      <c r="E505" s="366"/>
      <c r="F505" s="368"/>
      <c r="G505" s="369">
        <f t="shared" si="50"/>
        <v>0</v>
      </c>
      <c r="H505" s="372">
        <f t="shared" si="51"/>
        <v>0</v>
      </c>
      <c r="I505" s="392"/>
    </row>
    <row r="506" spans="1:9" x14ac:dyDescent="0.35">
      <c r="A506" s="1515"/>
      <c r="B506" s="390">
        <v>53206990000000</v>
      </c>
      <c r="C506" s="391" t="s">
        <v>166</v>
      </c>
      <c r="D506" s="366"/>
      <c r="E506" s="366"/>
      <c r="F506" s="368"/>
      <c r="G506" s="369">
        <f t="shared" si="50"/>
        <v>0</v>
      </c>
      <c r="H506" s="372">
        <f t="shared" si="51"/>
        <v>0</v>
      </c>
      <c r="I506" s="392"/>
    </row>
    <row r="507" spans="1:9" x14ac:dyDescent="0.35">
      <c r="A507" s="1515"/>
      <c r="B507" s="390">
        <v>53208030000000</v>
      </c>
      <c r="C507" s="391" t="s">
        <v>167</v>
      </c>
      <c r="D507" s="366"/>
      <c r="E507" s="366"/>
      <c r="F507" s="368"/>
      <c r="G507" s="369">
        <f t="shared" si="50"/>
        <v>0</v>
      </c>
      <c r="H507" s="372">
        <f t="shared" si="51"/>
        <v>0</v>
      </c>
      <c r="I507" s="387"/>
    </row>
    <row r="508" spans="1:9" x14ac:dyDescent="0.35">
      <c r="A508" s="1515"/>
      <c r="B508" s="390">
        <v>53212060000000</v>
      </c>
      <c r="C508" s="391" t="s">
        <v>168</v>
      </c>
      <c r="D508" s="363"/>
      <c r="E508" s="363"/>
      <c r="F508" s="365"/>
      <c r="G508" s="369">
        <f t="shared" si="50"/>
        <v>0</v>
      </c>
      <c r="H508" s="372">
        <f t="shared" si="51"/>
        <v>0</v>
      </c>
      <c r="I508" s="387"/>
    </row>
    <row r="509" spans="1:9" x14ac:dyDescent="0.35">
      <c r="A509" s="1515"/>
      <c r="B509" s="388"/>
      <c r="C509" s="389" t="s">
        <v>169</v>
      </c>
      <c r="D509" s="370">
        <f>SUM(D510:D511)</f>
        <v>0</v>
      </c>
      <c r="E509" s="371"/>
      <c r="F509" s="371"/>
      <c r="G509" s="370">
        <f>SUM(G510:G511)</f>
        <v>0</v>
      </c>
      <c r="H509" s="370">
        <f>SUM(H510:H511)</f>
        <v>0</v>
      </c>
      <c r="I509" s="387"/>
    </row>
    <row r="510" spans="1:9" x14ac:dyDescent="0.35">
      <c r="A510" s="1515"/>
      <c r="B510" s="390">
        <v>53210020500000</v>
      </c>
      <c r="C510" s="391" t="s">
        <v>170</v>
      </c>
      <c r="D510" s="363"/>
      <c r="E510" s="363"/>
      <c r="F510" s="365"/>
      <c r="G510" s="369">
        <f>E510*F510</f>
        <v>0</v>
      </c>
      <c r="H510" s="372">
        <f>D510+G510</f>
        <v>0</v>
      </c>
      <c r="I510" s="387"/>
    </row>
    <row r="511" spans="1:9" x14ac:dyDescent="0.35">
      <c r="A511" s="1515"/>
      <c r="B511" s="390">
        <v>53204999000000</v>
      </c>
      <c r="C511" s="391" t="s">
        <v>171</v>
      </c>
      <c r="D511" s="366"/>
      <c r="E511" s="366"/>
      <c r="F511" s="368"/>
      <c r="G511" s="369">
        <f>E511*F511</f>
        <v>0</v>
      </c>
      <c r="H511" s="372">
        <f>D511+G511</f>
        <v>0</v>
      </c>
      <c r="I511" s="387"/>
    </row>
    <row r="512" spans="1:9" x14ac:dyDescent="0.35">
      <c r="A512" s="1515"/>
      <c r="B512" s="394"/>
      <c r="C512" s="395" t="s">
        <v>12</v>
      </c>
      <c r="D512" s="373">
        <f>SUM(D443,D471)</f>
        <v>4649095</v>
      </c>
      <c r="E512" s="374"/>
      <c r="F512" s="374"/>
      <c r="G512" s="373">
        <f>SUM(G443,G471)</f>
        <v>0</v>
      </c>
      <c r="H512" s="373">
        <f>SUM(H443,H471)</f>
        <v>4649095</v>
      </c>
      <c r="I512" s="387"/>
    </row>
    <row r="513" spans="1:9" x14ac:dyDescent="0.35">
      <c r="A513" s="1516" t="s">
        <v>72</v>
      </c>
      <c r="B513" s="1517" t="s">
        <v>95</v>
      </c>
      <c r="C513" s="1518" t="s">
        <v>96</v>
      </c>
      <c r="D513" s="1519" t="s">
        <v>97</v>
      </c>
      <c r="E513" s="1513" t="s">
        <v>98</v>
      </c>
      <c r="F513" s="1513"/>
      <c r="G513" s="1513"/>
      <c r="H513" s="1514" t="str">
        <f>+H441</f>
        <v>COSTO DIRECTO ESTIMADO 2026</v>
      </c>
      <c r="I513" s="1513" t="s">
        <v>99</v>
      </c>
    </row>
    <row r="514" spans="1:9" ht="26" x14ac:dyDescent="0.35">
      <c r="A514" s="1516"/>
      <c r="B514" s="1517"/>
      <c r="C514" s="1518"/>
      <c r="D514" s="1519"/>
      <c r="E514" s="375" t="s">
        <v>100</v>
      </c>
      <c r="F514" s="376" t="s">
        <v>101</v>
      </c>
      <c r="G514" s="377" t="s">
        <v>102</v>
      </c>
      <c r="H514" s="1514"/>
      <c r="I514" s="1513"/>
    </row>
    <row r="515" spans="1:9" x14ac:dyDescent="0.35">
      <c r="A515" s="1515" t="str">
        <f>+'B) Reajuste Tarifas y Ocupación'!A46</f>
        <v>C. H. Rada Iquique</v>
      </c>
      <c r="B515" s="385"/>
      <c r="C515" s="386" t="s">
        <v>103</v>
      </c>
      <c r="D515" s="378">
        <f>SUM(D516,D521,D523)</f>
        <v>45141129.625</v>
      </c>
      <c r="E515" s="379"/>
      <c r="F515" s="379"/>
      <c r="G515" s="384">
        <f>SUM(G516,G521,G523)</f>
        <v>0</v>
      </c>
      <c r="H515" s="384">
        <f>SUM(H516,H521,H523)</f>
        <v>45141129.625</v>
      </c>
      <c r="I515" s="387"/>
    </row>
    <row r="516" spans="1:9" x14ac:dyDescent="0.35">
      <c r="A516" s="1515"/>
      <c r="B516" s="388"/>
      <c r="C516" s="389" t="s">
        <v>104</v>
      </c>
      <c r="D516" s="370">
        <f>SUM(D517:D520)</f>
        <v>30384991.625</v>
      </c>
      <c r="E516" s="380"/>
      <c r="F516" s="380"/>
      <c r="G516" s="370">
        <f>SUM(G517:G520)</f>
        <v>0</v>
      </c>
      <c r="H516" s="370">
        <f>SUM(H517:H520)</f>
        <v>30384991.625</v>
      </c>
      <c r="I516" s="387"/>
    </row>
    <row r="517" spans="1:9" x14ac:dyDescent="0.35">
      <c r="A517" s="1515"/>
      <c r="B517" s="390">
        <v>53103040100000</v>
      </c>
      <c r="C517" s="391" t="s">
        <v>105</v>
      </c>
      <c r="D517" s="381">
        <f>+'F) Remuneraciones'!M143</f>
        <v>30384991.625</v>
      </c>
      <c r="E517" s="382"/>
      <c r="F517" s="382"/>
      <c r="G517" s="382"/>
      <c r="H517" s="372">
        <f>D517+G517</f>
        <v>30384991.625</v>
      </c>
      <c r="I517" s="387"/>
    </row>
    <row r="518" spans="1:9" x14ac:dyDescent="0.35">
      <c r="A518" s="1515"/>
      <c r="B518" s="390">
        <v>53103050000000</v>
      </c>
      <c r="C518" s="391" t="s">
        <v>106</v>
      </c>
      <c r="D518" s="363"/>
      <c r="E518" s="364"/>
      <c r="F518" s="365"/>
      <c r="G518" s="369">
        <f>E518*F518</f>
        <v>0</v>
      </c>
      <c r="H518" s="372">
        <f>D518+G518</f>
        <v>0</v>
      </c>
      <c r="I518" s="387"/>
    </row>
    <row r="519" spans="1:9" x14ac:dyDescent="0.35">
      <c r="A519" s="1515"/>
      <c r="B519" s="390">
        <v>53103060000000</v>
      </c>
      <c r="C519" s="391" t="s">
        <v>107</v>
      </c>
      <c r="D519" s="363"/>
      <c r="E519" s="364"/>
      <c r="F519" s="365"/>
      <c r="G519" s="369">
        <f>E519*F519</f>
        <v>0</v>
      </c>
      <c r="H519" s="372">
        <f>D519+G519</f>
        <v>0</v>
      </c>
      <c r="I519" s="387"/>
    </row>
    <row r="520" spans="1:9" x14ac:dyDescent="0.35">
      <c r="A520" s="1515"/>
      <c r="B520" s="390">
        <v>53103080010000</v>
      </c>
      <c r="C520" s="391" t="s">
        <v>108</v>
      </c>
      <c r="D520" s="363"/>
      <c r="E520" s="364"/>
      <c r="F520" s="365"/>
      <c r="G520" s="369">
        <f>E520*F520</f>
        <v>0</v>
      </c>
      <c r="H520" s="372">
        <f>D520+G520</f>
        <v>0</v>
      </c>
      <c r="I520" s="387"/>
    </row>
    <row r="521" spans="1:9" x14ac:dyDescent="0.35">
      <c r="A521" s="1515"/>
      <c r="B521" s="388"/>
      <c r="C521" s="389" t="s">
        <v>109</v>
      </c>
      <c r="D521" s="370">
        <f>SUM(D522)</f>
        <v>0</v>
      </c>
      <c r="E521" s="371"/>
      <c r="F521" s="371"/>
      <c r="G521" s="370">
        <f>SUM(G522:G522)</f>
        <v>0</v>
      </c>
      <c r="H521" s="370">
        <f>SUM(H522:H522)</f>
        <v>0</v>
      </c>
      <c r="I521" s="387"/>
    </row>
    <row r="522" spans="1:9" x14ac:dyDescent="0.35">
      <c r="A522" s="1515"/>
      <c r="B522" s="390">
        <v>55201010100001</v>
      </c>
      <c r="C522" s="391" t="s">
        <v>110</v>
      </c>
      <c r="D522" s="363"/>
      <c r="E522" s="364"/>
      <c r="F522" s="365"/>
      <c r="G522" s="369">
        <f>E522*F522</f>
        <v>0</v>
      </c>
      <c r="H522" s="372">
        <f>D522+G522</f>
        <v>0</v>
      </c>
      <c r="I522" s="387"/>
    </row>
    <row r="523" spans="1:9" x14ac:dyDescent="0.35">
      <c r="A523" s="1515"/>
      <c r="B523" s="388"/>
      <c r="C523" s="389" t="s">
        <v>111</v>
      </c>
      <c r="D523" s="370">
        <f>SUM(D524:D542)</f>
        <v>14756138</v>
      </c>
      <c r="E523" s="371"/>
      <c r="F523" s="371"/>
      <c r="G523" s="370">
        <f>SUM(G524:G542)</f>
        <v>0</v>
      </c>
      <c r="H523" s="370">
        <f>SUM(H524:H542)</f>
        <v>14756138</v>
      </c>
      <c r="I523" s="387"/>
    </row>
    <row r="524" spans="1:9" x14ac:dyDescent="0.35">
      <c r="A524" s="1515"/>
      <c r="B524" s="390">
        <v>53201010100000</v>
      </c>
      <c r="C524" s="391" t="s">
        <v>112</v>
      </c>
      <c r="D524" s="363">
        <v>4142466</v>
      </c>
      <c r="E524" s="398"/>
      <c r="F524" s="399"/>
      <c r="G524" s="369">
        <f t="shared" ref="G524:G542" si="52">E524*F524</f>
        <v>0</v>
      </c>
      <c r="H524" s="372">
        <f t="shared" ref="H524:H542" si="53">D524+G524</f>
        <v>4142466</v>
      </c>
      <c r="I524" s="387"/>
    </row>
    <row r="525" spans="1:9" x14ac:dyDescent="0.35">
      <c r="A525" s="1515"/>
      <c r="B525" s="390">
        <v>53202010100000</v>
      </c>
      <c r="C525" s="391" t="s">
        <v>113</v>
      </c>
      <c r="D525" s="363">
        <v>500000</v>
      </c>
      <c r="E525" s="364"/>
      <c r="F525" s="365"/>
      <c r="G525" s="369">
        <f t="shared" si="52"/>
        <v>0</v>
      </c>
      <c r="H525" s="372">
        <f t="shared" si="53"/>
        <v>500000</v>
      </c>
      <c r="I525" s="387"/>
    </row>
    <row r="526" spans="1:9" x14ac:dyDescent="0.35">
      <c r="A526" s="1515"/>
      <c r="B526" s="390">
        <v>53203010100000</v>
      </c>
      <c r="C526" s="391" t="s">
        <v>114</v>
      </c>
      <c r="D526" s="366"/>
      <c r="E526" s="367"/>
      <c r="F526" s="368"/>
      <c r="G526" s="369">
        <f t="shared" si="52"/>
        <v>0</v>
      </c>
      <c r="H526" s="372">
        <f t="shared" si="53"/>
        <v>0</v>
      </c>
      <c r="I526" s="387"/>
    </row>
    <row r="527" spans="1:9" x14ac:dyDescent="0.35">
      <c r="A527" s="1515"/>
      <c r="B527" s="390">
        <v>53203030000000</v>
      </c>
      <c r="C527" s="391" t="s">
        <v>115</v>
      </c>
      <c r="D527" s="366"/>
      <c r="E527" s="367"/>
      <c r="F527" s="368"/>
      <c r="G527" s="369">
        <f t="shared" si="52"/>
        <v>0</v>
      </c>
      <c r="H527" s="372">
        <f t="shared" si="53"/>
        <v>0</v>
      </c>
      <c r="I527" s="387"/>
    </row>
    <row r="528" spans="1:9" x14ac:dyDescent="0.35">
      <c r="A528" s="1515"/>
      <c r="B528" s="390">
        <v>53204030000000</v>
      </c>
      <c r="C528" s="391" t="s">
        <v>116</v>
      </c>
      <c r="D528" s="366"/>
      <c r="E528" s="367"/>
      <c r="F528" s="368"/>
      <c r="G528" s="369">
        <f t="shared" si="52"/>
        <v>0</v>
      </c>
      <c r="H528" s="372">
        <f t="shared" si="53"/>
        <v>0</v>
      </c>
      <c r="I528" s="387"/>
    </row>
    <row r="529" spans="1:9" x14ac:dyDescent="0.35">
      <c r="A529" s="1515"/>
      <c r="B529" s="390">
        <v>53204100100001</v>
      </c>
      <c r="C529" s="391" t="s">
        <v>117</v>
      </c>
      <c r="D529" s="366">
        <v>1000000</v>
      </c>
      <c r="E529" s="367"/>
      <c r="F529" s="368"/>
      <c r="G529" s="369">
        <f t="shared" si="52"/>
        <v>0</v>
      </c>
      <c r="H529" s="372">
        <f t="shared" si="53"/>
        <v>1000000</v>
      </c>
      <c r="I529" s="387"/>
    </row>
    <row r="530" spans="1:9" x14ac:dyDescent="0.35">
      <c r="A530" s="1515"/>
      <c r="B530" s="390">
        <v>53204130100000</v>
      </c>
      <c r="C530" s="393" t="s">
        <v>118</v>
      </c>
      <c r="D530" s="366"/>
      <c r="E530" s="367"/>
      <c r="F530" s="368"/>
      <c r="G530" s="369">
        <f t="shared" si="52"/>
        <v>0</v>
      </c>
      <c r="H530" s="372">
        <f t="shared" si="53"/>
        <v>0</v>
      </c>
      <c r="I530" s="387"/>
    </row>
    <row r="531" spans="1:9" x14ac:dyDescent="0.35">
      <c r="A531" s="1515"/>
      <c r="B531" s="390">
        <v>53205010100000</v>
      </c>
      <c r="C531" s="393" t="s">
        <v>119</v>
      </c>
      <c r="D531" s="400">
        <v>1783320</v>
      </c>
      <c r="E531" s="367"/>
      <c r="F531" s="368"/>
      <c r="G531" s="369">
        <f t="shared" si="52"/>
        <v>0</v>
      </c>
      <c r="H531" s="372">
        <f t="shared" si="53"/>
        <v>1783320</v>
      </c>
      <c r="I531" s="396"/>
    </row>
    <row r="532" spans="1:9" x14ac:dyDescent="0.35">
      <c r="A532" s="1515"/>
      <c r="B532" s="390">
        <v>53205020100000</v>
      </c>
      <c r="C532" s="393" t="s">
        <v>120</v>
      </c>
      <c r="D532" s="400">
        <v>1266174</v>
      </c>
      <c r="E532" s="367"/>
      <c r="F532" s="368"/>
      <c r="G532" s="369">
        <f t="shared" si="52"/>
        <v>0</v>
      </c>
      <c r="H532" s="372">
        <f t="shared" si="53"/>
        <v>1266174</v>
      </c>
      <c r="I532" s="396"/>
    </row>
    <row r="533" spans="1:9" x14ac:dyDescent="0.35">
      <c r="A533" s="1515"/>
      <c r="B533" s="390">
        <v>53205030100000</v>
      </c>
      <c r="C533" s="393" t="s">
        <v>121</v>
      </c>
      <c r="D533" s="400">
        <v>477827</v>
      </c>
      <c r="E533" s="367"/>
      <c r="F533" s="368"/>
      <c r="G533" s="369">
        <f t="shared" si="52"/>
        <v>0</v>
      </c>
      <c r="H533" s="372">
        <f t="shared" si="53"/>
        <v>477827</v>
      </c>
      <c r="I533" s="396"/>
    </row>
    <row r="534" spans="1:9" x14ac:dyDescent="0.35">
      <c r="A534" s="1515"/>
      <c r="B534" s="390">
        <v>53205050100000</v>
      </c>
      <c r="C534" s="393" t="s">
        <v>122</v>
      </c>
      <c r="D534" s="400">
        <v>90484</v>
      </c>
      <c r="E534" s="367"/>
      <c r="F534" s="368"/>
      <c r="G534" s="369">
        <f t="shared" si="52"/>
        <v>0</v>
      </c>
      <c r="H534" s="372">
        <f t="shared" si="53"/>
        <v>90484</v>
      </c>
      <c r="I534" s="396"/>
    </row>
    <row r="535" spans="1:9" x14ac:dyDescent="0.35">
      <c r="A535" s="1515"/>
      <c r="B535" s="390">
        <v>53205060100000</v>
      </c>
      <c r="C535" s="393" t="s">
        <v>123</v>
      </c>
      <c r="D535" s="400"/>
      <c r="E535" s="367"/>
      <c r="F535" s="368"/>
      <c r="G535" s="369">
        <f t="shared" si="52"/>
        <v>0</v>
      </c>
      <c r="H535" s="372">
        <f t="shared" si="53"/>
        <v>0</v>
      </c>
      <c r="I535" s="397"/>
    </row>
    <row r="536" spans="1:9" x14ac:dyDescent="0.35">
      <c r="A536" s="1515"/>
      <c r="B536" s="390">
        <v>53205070100000</v>
      </c>
      <c r="C536" s="393" t="s">
        <v>124</v>
      </c>
      <c r="D536" s="400">
        <v>98034</v>
      </c>
      <c r="E536" s="367"/>
      <c r="F536" s="368"/>
      <c r="G536" s="369">
        <f t="shared" si="52"/>
        <v>0</v>
      </c>
      <c r="H536" s="372">
        <f t="shared" si="53"/>
        <v>98034</v>
      </c>
      <c r="I536" s="396"/>
    </row>
    <row r="537" spans="1:9" x14ac:dyDescent="0.35">
      <c r="A537" s="1515"/>
      <c r="B537" s="390">
        <v>53208010100000</v>
      </c>
      <c r="C537" s="393" t="s">
        <v>125</v>
      </c>
      <c r="D537" s="400">
        <v>2195893</v>
      </c>
      <c r="E537" s="367"/>
      <c r="F537" s="368"/>
      <c r="G537" s="369">
        <f t="shared" si="52"/>
        <v>0</v>
      </c>
      <c r="H537" s="372">
        <f t="shared" si="53"/>
        <v>2195893</v>
      </c>
      <c r="I537" s="396"/>
    </row>
    <row r="538" spans="1:9" x14ac:dyDescent="0.35">
      <c r="A538" s="1515"/>
      <c r="B538" s="390">
        <v>53208070100001</v>
      </c>
      <c r="C538" s="393" t="s">
        <v>126</v>
      </c>
      <c r="D538" s="400"/>
      <c r="E538" s="367"/>
      <c r="F538" s="368"/>
      <c r="G538" s="369">
        <f t="shared" si="52"/>
        <v>0</v>
      </c>
      <c r="H538" s="372">
        <f t="shared" si="53"/>
        <v>0</v>
      </c>
      <c r="I538" s="387"/>
    </row>
    <row r="539" spans="1:9" x14ac:dyDescent="0.35">
      <c r="A539" s="1515"/>
      <c r="B539" s="390">
        <v>53208100100001</v>
      </c>
      <c r="C539" s="391" t="s">
        <v>127</v>
      </c>
      <c r="D539" s="400"/>
      <c r="E539" s="367"/>
      <c r="F539" s="368"/>
      <c r="G539" s="369">
        <f t="shared" si="52"/>
        <v>0</v>
      </c>
      <c r="H539" s="372">
        <f t="shared" si="53"/>
        <v>0</v>
      </c>
      <c r="I539" s="387"/>
    </row>
    <row r="540" spans="1:9" x14ac:dyDescent="0.35">
      <c r="A540" s="1515"/>
      <c r="B540" s="390">
        <v>53211030000000</v>
      </c>
      <c r="C540" s="391" t="s">
        <v>128</v>
      </c>
      <c r="D540" s="400"/>
      <c r="E540" s="367"/>
      <c r="F540" s="368"/>
      <c r="G540" s="369">
        <f t="shared" si="52"/>
        <v>0</v>
      </c>
      <c r="H540" s="372">
        <f t="shared" si="53"/>
        <v>0</v>
      </c>
      <c r="I540" s="387"/>
    </row>
    <row r="541" spans="1:9" x14ac:dyDescent="0.35">
      <c r="A541" s="1515"/>
      <c r="B541" s="390">
        <v>53212020100000</v>
      </c>
      <c r="C541" s="391" t="s">
        <v>129</v>
      </c>
      <c r="D541" s="400">
        <v>3201940</v>
      </c>
      <c r="E541" s="367"/>
      <c r="F541" s="368"/>
      <c r="G541" s="369">
        <f t="shared" si="52"/>
        <v>0</v>
      </c>
      <c r="H541" s="372">
        <f t="shared" si="53"/>
        <v>3201940</v>
      </c>
      <c r="I541" s="396"/>
    </row>
    <row r="542" spans="1:9" x14ac:dyDescent="0.35">
      <c r="A542" s="1515"/>
      <c r="B542" s="390">
        <v>53214020000000</v>
      </c>
      <c r="C542" s="391" t="s">
        <v>130</v>
      </c>
      <c r="D542" s="363"/>
      <c r="E542" s="364"/>
      <c r="F542" s="365"/>
      <c r="G542" s="369">
        <f t="shared" si="52"/>
        <v>0</v>
      </c>
      <c r="H542" s="372">
        <f t="shared" si="53"/>
        <v>0</v>
      </c>
      <c r="I542" s="396"/>
    </row>
    <row r="543" spans="1:9" x14ac:dyDescent="0.35">
      <c r="A543" s="1515"/>
      <c r="B543" s="385"/>
      <c r="C543" s="386" t="s">
        <v>131</v>
      </c>
      <c r="D543" s="384">
        <f>SUM(D544,D549,D552,D563,D573,D581)</f>
        <v>2530536</v>
      </c>
      <c r="E543" s="379"/>
      <c r="F543" s="379"/>
      <c r="G543" s="384">
        <f>SUM(G544,G549,G552,G563,G573,G581)</f>
        <v>5430400</v>
      </c>
      <c r="H543" s="384">
        <f>SUM(H544,H549,H552,H563,H573,H581)</f>
        <v>7960936</v>
      </c>
      <c r="I543" s="396"/>
    </row>
    <row r="544" spans="1:9" x14ac:dyDescent="0.35">
      <c r="A544" s="1515"/>
      <c r="B544" s="388"/>
      <c r="C544" s="389" t="s">
        <v>132</v>
      </c>
      <c r="D544" s="370">
        <f>SUM(D545:D548)</f>
        <v>0</v>
      </c>
      <c r="E544" s="371"/>
      <c r="F544" s="371"/>
      <c r="G544" s="383">
        <f>SUM(G545:G548)</f>
        <v>480000</v>
      </c>
      <c r="H544" s="383">
        <f>SUM(H545:H548)</f>
        <v>480000</v>
      </c>
      <c r="I544" s="396"/>
    </row>
    <row r="545" spans="1:9" x14ac:dyDescent="0.35">
      <c r="A545" s="1515"/>
      <c r="B545" s="390">
        <v>53202020100000</v>
      </c>
      <c r="C545" s="391" t="s">
        <v>133</v>
      </c>
      <c r="D545" s="400"/>
      <c r="E545" s="367">
        <v>50000</v>
      </c>
      <c r="F545" s="368">
        <v>6</v>
      </c>
      <c r="G545" s="369">
        <f>E545*F545</f>
        <v>300000</v>
      </c>
      <c r="H545" s="372">
        <f>D545+G545</f>
        <v>300000</v>
      </c>
      <c r="I545" s="396"/>
    </row>
    <row r="546" spans="1:9" x14ac:dyDescent="0.35">
      <c r="A546" s="1515"/>
      <c r="B546" s="390">
        <v>53202030000000</v>
      </c>
      <c r="C546" s="391" t="s">
        <v>134</v>
      </c>
      <c r="D546" s="401"/>
      <c r="E546" s="364">
        <v>30000</v>
      </c>
      <c r="F546" s="365">
        <v>6</v>
      </c>
      <c r="G546" s="369">
        <f>E546*F546</f>
        <v>180000</v>
      </c>
      <c r="H546" s="372">
        <f>D546+G546</f>
        <v>180000</v>
      </c>
      <c r="I546" s="396"/>
    </row>
    <row r="547" spans="1:9" x14ac:dyDescent="0.35">
      <c r="A547" s="1515"/>
      <c r="B547" s="390">
        <v>53211020000000</v>
      </c>
      <c r="C547" s="391" t="s">
        <v>135</v>
      </c>
      <c r="D547" s="366"/>
      <c r="E547" s="367"/>
      <c r="F547" s="368"/>
      <c r="G547" s="369">
        <f>E547*F547</f>
        <v>0</v>
      </c>
      <c r="H547" s="372">
        <f>D547+G547</f>
        <v>0</v>
      </c>
      <c r="I547" s="396"/>
    </row>
    <row r="548" spans="1:9" x14ac:dyDescent="0.35">
      <c r="A548" s="1515"/>
      <c r="B548" s="390">
        <v>53101004030000</v>
      </c>
      <c r="C548" s="391" t="s">
        <v>136</v>
      </c>
      <c r="D548" s="363"/>
      <c r="E548" s="364"/>
      <c r="F548" s="365"/>
      <c r="G548" s="369">
        <f>E548*F548</f>
        <v>0</v>
      </c>
      <c r="H548" s="372">
        <f>D548+G548</f>
        <v>0</v>
      </c>
      <c r="I548" s="396"/>
    </row>
    <row r="549" spans="1:9" x14ac:dyDescent="0.35">
      <c r="A549" s="1515"/>
      <c r="B549" s="388"/>
      <c r="C549" s="389" t="s">
        <v>137</v>
      </c>
      <c r="D549" s="370">
        <f>SUM(D550:D551)</f>
        <v>130456</v>
      </c>
      <c r="E549" s="371"/>
      <c r="F549" s="371"/>
      <c r="G549" s="383">
        <f>SUM(G550:G551)</f>
        <v>0</v>
      </c>
      <c r="H549" s="383">
        <f>SUM(H550:H551)</f>
        <v>130456</v>
      </c>
      <c r="I549" s="396"/>
    </row>
    <row r="550" spans="1:9" x14ac:dyDescent="0.35">
      <c r="A550" s="1515"/>
      <c r="B550" s="390">
        <v>53205080000000</v>
      </c>
      <c r="C550" s="393" t="s">
        <v>138</v>
      </c>
      <c r="D550" s="401">
        <v>130456</v>
      </c>
      <c r="E550" s="364"/>
      <c r="F550" s="365"/>
      <c r="G550" s="369">
        <f>E550*F550</f>
        <v>0</v>
      </c>
      <c r="H550" s="372">
        <f>D550+G550</f>
        <v>130456</v>
      </c>
      <c r="I550" s="396"/>
    </row>
    <row r="551" spans="1:9" x14ac:dyDescent="0.35">
      <c r="A551" s="1515"/>
      <c r="B551" s="390">
        <v>53205990000000</v>
      </c>
      <c r="C551" s="391" t="s">
        <v>139</v>
      </c>
      <c r="D551" s="366"/>
      <c r="E551" s="367"/>
      <c r="F551" s="368"/>
      <c r="G551" s="369">
        <f>E551*F551</f>
        <v>0</v>
      </c>
      <c r="H551" s="372">
        <f>D551+G551</f>
        <v>0</v>
      </c>
      <c r="I551" s="396"/>
    </row>
    <row r="552" spans="1:9" x14ac:dyDescent="0.35">
      <c r="A552" s="1515"/>
      <c r="B552" s="388"/>
      <c r="C552" s="389" t="s">
        <v>140</v>
      </c>
      <c r="D552" s="370">
        <f>SUM(D553:D562)</f>
        <v>1085434</v>
      </c>
      <c r="E552" s="371"/>
      <c r="F552" s="371"/>
      <c r="G552" s="370">
        <f>SUM(G553:G562)</f>
        <v>4950400</v>
      </c>
      <c r="H552" s="370">
        <f>SUM(H553:H562)</f>
        <v>6035834</v>
      </c>
      <c r="I552" s="396"/>
    </row>
    <row r="553" spans="1:9" x14ac:dyDescent="0.35">
      <c r="A553" s="1515"/>
      <c r="B553" s="390">
        <v>53203010200000</v>
      </c>
      <c r="C553" s="391" t="s">
        <v>141</v>
      </c>
      <c r="D553" s="363"/>
      <c r="E553" s="363"/>
      <c r="F553" s="365"/>
      <c r="G553" s="369">
        <f t="shared" ref="G553:G562" si="54">E553*F553</f>
        <v>0</v>
      </c>
      <c r="H553" s="372">
        <f t="shared" ref="H553:H562" si="55">D553+G553</f>
        <v>0</v>
      </c>
      <c r="I553" s="396"/>
    </row>
    <row r="554" spans="1:9" x14ac:dyDescent="0.35">
      <c r="A554" s="1515"/>
      <c r="B554" s="390">
        <v>53204010000000</v>
      </c>
      <c r="C554" s="391" t="s">
        <v>142</v>
      </c>
      <c r="D554" s="366"/>
      <c r="E554" s="366"/>
      <c r="F554" s="368"/>
      <c r="G554" s="369">
        <f t="shared" si="54"/>
        <v>0</v>
      </c>
      <c r="H554" s="372">
        <f t="shared" si="55"/>
        <v>0</v>
      </c>
      <c r="I554" s="396"/>
    </row>
    <row r="555" spans="1:9" x14ac:dyDescent="0.35">
      <c r="A555" s="1515"/>
      <c r="B555" s="390">
        <v>53204040200000</v>
      </c>
      <c r="C555" s="393" t="s">
        <v>143</v>
      </c>
      <c r="D555" s="366"/>
      <c r="E555" s="366"/>
      <c r="F555" s="368"/>
      <c r="G555" s="369">
        <f t="shared" si="54"/>
        <v>0</v>
      </c>
      <c r="H555" s="372">
        <f t="shared" si="55"/>
        <v>0</v>
      </c>
      <c r="I555" s="396"/>
    </row>
    <row r="556" spans="1:9" x14ac:dyDescent="0.35">
      <c r="A556" s="1515"/>
      <c r="B556" s="390">
        <v>53204060000000</v>
      </c>
      <c r="C556" s="393" t="s">
        <v>144</v>
      </c>
      <c r="D556" s="400"/>
      <c r="E556" s="366"/>
      <c r="F556" s="368"/>
      <c r="G556" s="369">
        <f t="shared" si="54"/>
        <v>0</v>
      </c>
      <c r="H556" s="372">
        <f t="shared" si="55"/>
        <v>0</v>
      </c>
      <c r="I556" s="396"/>
    </row>
    <row r="557" spans="1:9" x14ac:dyDescent="0.35">
      <c r="A557" s="1515"/>
      <c r="B557" s="390">
        <v>53204070000000</v>
      </c>
      <c r="C557" s="393" t="s">
        <v>145</v>
      </c>
      <c r="D557" s="400">
        <v>585434</v>
      </c>
      <c r="E557" s="366"/>
      <c r="F557" s="368"/>
      <c r="G557" s="369">
        <f t="shared" si="54"/>
        <v>0</v>
      </c>
      <c r="H557" s="372">
        <f t="shared" si="55"/>
        <v>585434</v>
      </c>
      <c r="I557" s="396"/>
    </row>
    <row r="558" spans="1:9" x14ac:dyDescent="0.35">
      <c r="A558" s="1515"/>
      <c r="B558" s="390">
        <v>53204080000000</v>
      </c>
      <c r="C558" s="393" t="s">
        <v>146</v>
      </c>
      <c r="D558" s="400"/>
      <c r="E558" s="366"/>
      <c r="F558" s="368"/>
      <c r="G558" s="369">
        <f t="shared" si="54"/>
        <v>0</v>
      </c>
      <c r="H558" s="372">
        <f t="shared" si="55"/>
        <v>0</v>
      </c>
      <c r="I558" s="387"/>
    </row>
    <row r="559" spans="1:9" x14ac:dyDescent="0.35">
      <c r="A559" s="1515"/>
      <c r="B559" s="390">
        <v>53214010000000</v>
      </c>
      <c r="C559" s="393" t="s">
        <v>147</v>
      </c>
      <c r="D559" s="401">
        <v>500000</v>
      </c>
      <c r="E559" s="363"/>
      <c r="F559" s="365"/>
      <c r="G559" s="369">
        <f t="shared" si="54"/>
        <v>0</v>
      </c>
      <c r="H559" s="372">
        <f t="shared" si="55"/>
        <v>500000</v>
      </c>
      <c r="I559" s="387"/>
    </row>
    <row r="560" spans="1:9" x14ac:dyDescent="0.35">
      <c r="A560" s="1515"/>
      <c r="B560" s="390">
        <v>53214040000000</v>
      </c>
      <c r="C560" s="391" t="s">
        <v>148</v>
      </c>
      <c r="D560" s="363"/>
      <c r="E560" s="363"/>
      <c r="F560" s="365"/>
      <c r="G560" s="369">
        <f t="shared" si="54"/>
        <v>0</v>
      </c>
      <c r="H560" s="372">
        <f t="shared" si="55"/>
        <v>0</v>
      </c>
      <c r="I560" s="387"/>
    </row>
    <row r="561" spans="1:9" x14ac:dyDescent="0.35">
      <c r="A561" s="1515"/>
      <c r="B561" s="390">
        <v>55201010100004</v>
      </c>
      <c r="C561" s="391" t="s">
        <v>149</v>
      </c>
      <c r="D561" s="363"/>
      <c r="E561" s="402">
        <v>1700</v>
      </c>
      <c r="F561" s="399">
        <v>2912</v>
      </c>
      <c r="G561" s="369">
        <f>E561*F561</f>
        <v>4950400</v>
      </c>
      <c r="H561" s="372">
        <f t="shared" si="55"/>
        <v>4950400</v>
      </c>
      <c r="I561" s="392"/>
    </row>
    <row r="562" spans="1:9" x14ac:dyDescent="0.35">
      <c r="A562" s="1515"/>
      <c r="B562" s="390">
        <v>55201010100005</v>
      </c>
      <c r="C562" s="391" t="s">
        <v>150</v>
      </c>
      <c r="D562" s="363"/>
      <c r="E562" s="363"/>
      <c r="F562" s="365"/>
      <c r="G562" s="369">
        <f t="shared" si="54"/>
        <v>0</v>
      </c>
      <c r="H562" s="372">
        <f t="shared" si="55"/>
        <v>0</v>
      </c>
      <c r="I562" s="387"/>
    </row>
    <row r="563" spans="1:9" x14ac:dyDescent="0.35">
      <c r="A563" s="1515"/>
      <c r="B563" s="388"/>
      <c r="C563" s="389" t="s">
        <v>151</v>
      </c>
      <c r="D563" s="370">
        <f>SUM(D564:D572)</f>
        <v>164646</v>
      </c>
      <c r="E563" s="371"/>
      <c r="F563" s="371"/>
      <c r="G563" s="370">
        <f>SUM(G564:G572)</f>
        <v>0</v>
      </c>
      <c r="H563" s="370">
        <f>SUM(H564:H572)</f>
        <v>164646</v>
      </c>
      <c r="I563" s="387"/>
    </row>
    <row r="564" spans="1:9" x14ac:dyDescent="0.35">
      <c r="A564" s="1515"/>
      <c r="B564" s="390">
        <v>53207010000000</v>
      </c>
      <c r="C564" s="391" t="s">
        <v>152</v>
      </c>
      <c r="D564" s="366"/>
      <c r="E564" s="366"/>
      <c r="F564" s="368"/>
      <c r="G564" s="369">
        <f t="shared" ref="G564:G572" si="56">E564*F564</f>
        <v>0</v>
      </c>
      <c r="H564" s="372">
        <f t="shared" ref="H564:H572" si="57">D564+G564</f>
        <v>0</v>
      </c>
      <c r="I564" s="387"/>
    </row>
    <row r="565" spans="1:9" x14ac:dyDescent="0.35">
      <c r="A565" s="1515"/>
      <c r="B565" s="390">
        <v>53207020000000</v>
      </c>
      <c r="C565" s="391" t="s">
        <v>153</v>
      </c>
      <c r="D565" s="366"/>
      <c r="E565" s="366"/>
      <c r="F565" s="368"/>
      <c r="G565" s="369">
        <f t="shared" si="56"/>
        <v>0</v>
      </c>
      <c r="H565" s="372">
        <f t="shared" si="57"/>
        <v>0</v>
      </c>
      <c r="I565" s="392"/>
    </row>
    <row r="566" spans="1:9" x14ac:dyDescent="0.35">
      <c r="A566" s="1515"/>
      <c r="B566" s="390">
        <v>53208020000000</v>
      </c>
      <c r="C566" s="391" t="s">
        <v>154</v>
      </c>
      <c r="D566" s="366"/>
      <c r="E566" s="366"/>
      <c r="F566" s="368"/>
      <c r="G566" s="369">
        <f t="shared" si="56"/>
        <v>0</v>
      </c>
      <c r="H566" s="372">
        <f t="shared" si="57"/>
        <v>0</v>
      </c>
      <c r="I566" s="387"/>
    </row>
    <row r="567" spans="1:9" x14ac:dyDescent="0.35">
      <c r="A567" s="1515"/>
      <c r="B567" s="390">
        <v>53208990000000</v>
      </c>
      <c r="C567" s="391" t="s">
        <v>155</v>
      </c>
      <c r="D567" s="366">
        <v>164646</v>
      </c>
      <c r="E567" s="366"/>
      <c r="F567" s="368"/>
      <c r="G567" s="369">
        <f t="shared" si="56"/>
        <v>0</v>
      </c>
      <c r="H567" s="372">
        <f t="shared" si="57"/>
        <v>164646</v>
      </c>
      <c r="I567" s="387"/>
    </row>
    <row r="568" spans="1:9" x14ac:dyDescent="0.35">
      <c r="A568" s="1515"/>
      <c r="B568" s="390">
        <v>53209010000000</v>
      </c>
      <c r="C568" s="391" t="s">
        <v>156</v>
      </c>
      <c r="D568" s="366"/>
      <c r="E568" s="366"/>
      <c r="F568" s="368"/>
      <c r="G568" s="369">
        <f t="shared" si="56"/>
        <v>0</v>
      </c>
      <c r="H568" s="372">
        <f t="shared" si="57"/>
        <v>0</v>
      </c>
      <c r="I568" s="387"/>
    </row>
    <row r="569" spans="1:9" x14ac:dyDescent="0.35">
      <c r="A569" s="1515"/>
      <c r="B569" s="390">
        <v>53209040000000</v>
      </c>
      <c r="C569" s="391" t="s">
        <v>157</v>
      </c>
      <c r="D569" s="366"/>
      <c r="E569" s="366"/>
      <c r="F569" s="368"/>
      <c r="G569" s="369">
        <f t="shared" si="56"/>
        <v>0</v>
      </c>
      <c r="H569" s="372">
        <f t="shared" si="57"/>
        <v>0</v>
      </c>
      <c r="I569" s="387"/>
    </row>
    <row r="570" spans="1:9" x14ac:dyDescent="0.35">
      <c r="A570" s="1515"/>
      <c r="B570" s="390">
        <v>53209050000000</v>
      </c>
      <c r="C570" s="391" t="s">
        <v>158</v>
      </c>
      <c r="D570" s="366"/>
      <c r="E570" s="366"/>
      <c r="F570" s="368"/>
      <c r="G570" s="369">
        <f t="shared" si="56"/>
        <v>0</v>
      </c>
      <c r="H570" s="372">
        <f t="shared" si="57"/>
        <v>0</v>
      </c>
      <c r="I570" s="387"/>
    </row>
    <row r="571" spans="1:9" x14ac:dyDescent="0.35">
      <c r="A571" s="1515"/>
      <c r="B571" s="390">
        <v>53209990000000</v>
      </c>
      <c r="C571" s="391" t="s">
        <v>159</v>
      </c>
      <c r="D571" s="366"/>
      <c r="E571" s="366"/>
      <c r="F571" s="368"/>
      <c r="G571" s="369">
        <f t="shared" si="56"/>
        <v>0</v>
      </c>
      <c r="H571" s="372">
        <f t="shared" si="57"/>
        <v>0</v>
      </c>
      <c r="I571" s="387"/>
    </row>
    <row r="572" spans="1:9" x14ac:dyDescent="0.35">
      <c r="A572" s="1515"/>
      <c r="B572" s="390">
        <v>53210020100000</v>
      </c>
      <c r="C572" s="391" t="s">
        <v>160</v>
      </c>
      <c r="D572" s="400"/>
      <c r="E572" s="366"/>
      <c r="F572" s="368"/>
      <c r="G572" s="369">
        <f t="shared" si="56"/>
        <v>0</v>
      </c>
      <c r="H572" s="372">
        <f t="shared" si="57"/>
        <v>0</v>
      </c>
      <c r="I572" s="392"/>
    </row>
    <row r="573" spans="1:9" x14ac:dyDescent="0.35">
      <c r="A573" s="1515"/>
      <c r="B573" s="388"/>
      <c r="C573" s="389" t="s">
        <v>161</v>
      </c>
      <c r="D573" s="370">
        <f>SUM(D574:D580)</f>
        <v>650000</v>
      </c>
      <c r="E573" s="371"/>
      <c r="F573" s="371"/>
      <c r="G573" s="370">
        <f>SUM(G574:G580)</f>
        <v>0</v>
      </c>
      <c r="H573" s="370">
        <f>SUM(H574:H580)</f>
        <v>650000</v>
      </c>
      <c r="I573" s="387"/>
    </row>
    <row r="574" spans="1:9" x14ac:dyDescent="0.35">
      <c r="A574" s="1515"/>
      <c r="B574" s="390">
        <v>53206030000000</v>
      </c>
      <c r="C574" s="391" t="s">
        <v>162</v>
      </c>
      <c r="D574" s="366"/>
      <c r="E574" s="366"/>
      <c r="F574" s="368"/>
      <c r="G574" s="369">
        <f t="shared" ref="G574:G580" si="58">E574*F574</f>
        <v>0</v>
      </c>
      <c r="H574" s="372">
        <f t="shared" ref="H574:H580" si="59">D574+G574</f>
        <v>0</v>
      </c>
      <c r="I574" s="387"/>
    </row>
    <row r="575" spans="1:9" x14ac:dyDescent="0.35">
      <c r="A575" s="1515"/>
      <c r="B575" s="390">
        <v>53206040000000</v>
      </c>
      <c r="C575" s="391" t="s">
        <v>163</v>
      </c>
      <c r="D575" s="366">
        <v>500000</v>
      </c>
      <c r="E575" s="366"/>
      <c r="F575" s="368"/>
      <c r="G575" s="369">
        <f t="shared" si="58"/>
        <v>0</v>
      </c>
      <c r="H575" s="372">
        <f t="shared" si="59"/>
        <v>500000</v>
      </c>
      <c r="I575" s="387"/>
    </row>
    <row r="576" spans="1:9" x14ac:dyDescent="0.35">
      <c r="A576" s="1515"/>
      <c r="B576" s="390">
        <v>53206060000000</v>
      </c>
      <c r="C576" s="391" t="s">
        <v>164</v>
      </c>
      <c r="D576" s="366">
        <v>150000</v>
      </c>
      <c r="E576" s="366"/>
      <c r="F576" s="368"/>
      <c r="G576" s="369">
        <f t="shared" si="58"/>
        <v>0</v>
      </c>
      <c r="H576" s="372">
        <f t="shared" si="59"/>
        <v>150000</v>
      </c>
      <c r="I576" s="387"/>
    </row>
    <row r="577" spans="1:9" x14ac:dyDescent="0.35">
      <c r="A577" s="1515"/>
      <c r="B577" s="390">
        <v>53206070000000</v>
      </c>
      <c r="C577" s="391" t="s">
        <v>165</v>
      </c>
      <c r="D577" s="366"/>
      <c r="E577" s="366"/>
      <c r="F577" s="368"/>
      <c r="G577" s="369">
        <f t="shared" si="58"/>
        <v>0</v>
      </c>
      <c r="H577" s="372">
        <f t="shared" si="59"/>
        <v>0</v>
      </c>
      <c r="I577" s="387"/>
    </row>
    <row r="578" spans="1:9" x14ac:dyDescent="0.35">
      <c r="A578" s="1515"/>
      <c r="B578" s="390">
        <v>53206990000000</v>
      </c>
      <c r="C578" s="391" t="s">
        <v>166</v>
      </c>
      <c r="D578" s="400"/>
      <c r="E578" s="366"/>
      <c r="F578" s="368"/>
      <c r="G578" s="369">
        <f t="shared" si="58"/>
        <v>0</v>
      </c>
      <c r="H578" s="372">
        <f t="shared" si="59"/>
        <v>0</v>
      </c>
      <c r="I578" s="392"/>
    </row>
    <row r="579" spans="1:9" x14ac:dyDescent="0.35">
      <c r="A579" s="1515"/>
      <c r="B579" s="390">
        <v>53208030000000</v>
      </c>
      <c r="C579" s="391" t="s">
        <v>167</v>
      </c>
      <c r="D579" s="400"/>
      <c r="E579" s="366"/>
      <c r="F579" s="368"/>
      <c r="G579" s="369">
        <f t="shared" si="58"/>
        <v>0</v>
      </c>
      <c r="H579" s="372">
        <f t="shared" si="59"/>
        <v>0</v>
      </c>
      <c r="I579" s="387"/>
    </row>
    <row r="580" spans="1:9" x14ac:dyDescent="0.35">
      <c r="A580" s="1515"/>
      <c r="B580" s="390">
        <v>53212060000000</v>
      </c>
      <c r="C580" s="391" t="s">
        <v>168</v>
      </c>
      <c r="D580" s="401"/>
      <c r="E580" s="363"/>
      <c r="F580" s="365"/>
      <c r="G580" s="369">
        <f t="shared" si="58"/>
        <v>0</v>
      </c>
      <c r="H580" s="372">
        <f t="shared" si="59"/>
        <v>0</v>
      </c>
      <c r="I580" s="387"/>
    </row>
    <row r="581" spans="1:9" x14ac:dyDescent="0.35">
      <c r="A581" s="1515"/>
      <c r="B581" s="388"/>
      <c r="C581" s="389" t="s">
        <v>169</v>
      </c>
      <c r="D581" s="370">
        <f>SUM(D582:D583)</f>
        <v>500000</v>
      </c>
      <c r="E581" s="371"/>
      <c r="F581" s="371"/>
      <c r="G581" s="370">
        <f>SUM(G582:G583)</f>
        <v>0</v>
      </c>
      <c r="H581" s="370">
        <f>SUM(H582:H583)</f>
        <v>500000</v>
      </c>
      <c r="I581" s="387"/>
    </row>
    <row r="582" spans="1:9" x14ac:dyDescent="0.35">
      <c r="A582" s="1515"/>
      <c r="B582" s="390">
        <v>53210020500000</v>
      </c>
      <c r="C582" s="391" t="s">
        <v>170</v>
      </c>
      <c r="D582" s="401"/>
      <c r="E582" s="363"/>
      <c r="F582" s="365"/>
      <c r="G582" s="369">
        <f>E582*F582</f>
        <v>0</v>
      </c>
      <c r="H582" s="372">
        <f>D582+G582</f>
        <v>0</v>
      </c>
      <c r="I582" s="392"/>
    </row>
    <row r="583" spans="1:9" x14ac:dyDescent="0.35">
      <c r="A583" s="1515"/>
      <c r="B583" s="390">
        <v>53204999000000</v>
      </c>
      <c r="C583" s="391" t="s">
        <v>171</v>
      </c>
      <c r="D583" s="366">
        <v>500000</v>
      </c>
      <c r="E583" s="366"/>
      <c r="F583" s="368"/>
      <c r="G583" s="369">
        <f>E583*F583</f>
        <v>0</v>
      </c>
      <c r="H583" s="372">
        <f>D583+G583</f>
        <v>500000</v>
      </c>
      <c r="I583" s="387"/>
    </row>
    <row r="584" spans="1:9" x14ac:dyDescent="0.35">
      <c r="A584" s="1515"/>
      <c r="B584" s="394"/>
      <c r="C584" s="395" t="s">
        <v>12</v>
      </c>
      <c r="D584" s="373">
        <f>SUM(D515,D543)</f>
        <v>47671665.625</v>
      </c>
      <c r="E584" s="374"/>
      <c r="F584" s="374"/>
      <c r="G584" s="373">
        <f>SUM(G515,G543)</f>
        <v>5430400</v>
      </c>
      <c r="H584" s="373">
        <f>SUM(H515,H543)</f>
        <v>53102065.625</v>
      </c>
      <c r="I584" s="387"/>
    </row>
    <row r="585" spans="1:9" x14ac:dyDescent="0.35">
      <c r="A585" s="1516" t="s">
        <v>72</v>
      </c>
      <c r="B585" s="1517" t="s">
        <v>95</v>
      </c>
      <c r="C585" s="1518" t="s">
        <v>96</v>
      </c>
      <c r="D585" s="1519" t="s">
        <v>97</v>
      </c>
      <c r="E585" s="1513" t="s">
        <v>98</v>
      </c>
      <c r="F585" s="1513"/>
      <c r="G585" s="1513"/>
      <c r="H585" s="1514" t="str">
        <f>+H513</f>
        <v>COSTO DIRECTO ESTIMADO 2026</v>
      </c>
      <c r="I585" s="1513" t="s">
        <v>99</v>
      </c>
    </row>
    <row r="586" spans="1:9" ht="26" x14ac:dyDescent="0.35">
      <c r="A586" s="1516"/>
      <c r="B586" s="1517"/>
      <c r="C586" s="1518"/>
      <c r="D586" s="1519"/>
      <c r="E586" s="375" t="s">
        <v>100</v>
      </c>
      <c r="F586" s="376" t="s">
        <v>101</v>
      </c>
      <c r="G586" s="377" t="s">
        <v>102</v>
      </c>
      <c r="H586" s="1514"/>
      <c r="I586" s="1513"/>
    </row>
    <row r="587" spans="1:9" x14ac:dyDescent="0.35">
      <c r="A587" s="1515" t="str">
        <f>+'B) Reajuste Tarifas y Ocupación'!A58</f>
        <v>C. H. Caleta Angamos</v>
      </c>
      <c r="B587" s="385"/>
      <c r="C587" s="386" t="s">
        <v>103</v>
      </c>
      <c r="D587" s="378">
        <f>SUM(D588,D593,D595)</f>
        <v>54407470.494999997</v>
      </c>
      <c r="E587" s="379"/>
      <c r="F587" s="379"/>
      <c r="G587" s="384">
        <f>SUM(G588,G593,G595)</f>
        <v>0</v>
      </c>
      <c r="H587" s="384">
        <f>SUM(H588,H593,H595)</f>
        <v>54407470.494999997</v>
      </c>
      <c r="I587" s="387"/>
    </row>
    <row r="588" spans="1:9" x14ac:dyDescent="0.35">
      <c r="A588" s="1515"/>
      <c r="B588" s="388"/>
      <c r="C588" s="389" t="s">
        <v>104</v>
      </c>
      <c r="D588" s="370">
        <f>SUM(D589:D592)</f>
        <v>32728381.494999997</v>
      </c>
      <c r="E588" s="380"/>
      <c r="F588" s="380"/>
      <c r="G588" s="370">
        <f>SUM(G589:G592)</f>
        <v>0</v>
      </c>
      <c r="H588" s="370">
        <f>SUM(H589:H592)</f>
        <v>32728381.494999997</v>
      </c>
      <c r="I588" s="387"/>
    </row>
    <row r="589" spans="1:9" x14ac:dyDescent="0.35">
      <c r="A589" s="1515"/>
      <c r="B589" s="390">
        <v>53103040100000</v>
      </c>
      <c r="C589" s="391" t="s">
        <v>105</v>
      </c>
      <c r="D589" s="381">
        <f>+'F) Remuneraciones'!M165</f>
        <v>32728381.494999997</v>
      </c>
      <c r="E589" s="382"/>
      <c r="F589" s="382"/>
      <c r="G589" s="382"/>
      <c r="H589" s="372">
        <f>D589+G589</f>
        <v>32728381.494999997</v>
      </c>
      <c r="I589" s="387"/>
    </row>
    <row r="590" spans="1:9" x14ac:dyDescent="0.35">
      <c r="A590" s="1515"/>
      <c r="B590" s="390">
        <v>53103050000000</v>
      </c>
      <c r="C590" s="391" t="s">
        <v>106</v>
      </c>
      <c r="D590" s="363"/>
      <c r="E590" s="364"/>
      <c r="F590" s="365"/>
      <c r="G590" s="369">
        <f>E590*F590</f>
        <v>0</v>
      </c>
      <c r="H590" s="372">
        <f>D590+G590</f>
        <v>0</v>
      </c>
      <c r="I590" s="387"/>
    </row>
    <row r="591" spans="1:9" x14ac:dyDescent="0.35">
      <c r="A591" s="1515"/>
      <c r="B591" s="390">
        <v>53103060000000</v>
      </c>
      <c r="C591" s="391" t="s">
        <v>107</v>
      </c>
      <c r="D591" s="363"/>
      <c r="E591" s="364"/>
      <c r="F591" s="365"/>
      <c r="G591" s="369">
        <f>E591*F591</f>
        <v>0</v>
      </c>
      <c r="H591" s="372">
        <f>D591+G591</f>
        <v>0</v>
      </c>
      <c r="I591" s="387"/>
    </row>
    <row r="592" spans="1:9" x14ac:dyDescent="0.35">
      <c r="A592" s="1515"/>
      <c r="B592" s="390">
        <v>53103080010000</v>
      </c>
      <c r="C592" s="391" t="s">
        <v>108</v>
      </c>
      <c r="D592" s="363"/>
      <c r="E592" s="364"/>
      <c r="F592" s="365"/>
      <c r="G592" s="369">
        <f>E592*F592</f>
        <v>0</v>
      </c>
      <c r="H592" s="372">
        <f>D592+G592</f>
        <v>0</v>
      </c>
      <c r="I592" s="387"/>
    </row>
    <row r="593" spans="1:9" x14ac:dyDescent="0.35">
      <c r="A593" s="1515"/>
      <c r="B593" s="388"/>
      <c r="C593" s="389" t="s">
        <v>109</v>
      </c>
      <c r="D593" s="370">
        <f>SUM(D594)</f>
        <v>0</v>
      </c>
      <c r="E593" s="371"/>
      <c r="F593" s="371"/>
      <c r="G593" s="370">
        <f>SUM(G594:G594)</f>
        <v>0</v>
      </c>
      <c r="H593" s="370">
        <f>SUM(H594:H594)</f>
        <v>0</v>
      </c>
      <c r="I593" s="387"/>
    </row>
    <row r="594" spans="1:9" x14ac:dyDescent="0.35">
      <c r="A594" s="1515"/>
      <c r="B594" s="390">
        <v>55201010100001</v>
      </c>
      <c r="C594" s="391" t="s">
        <v>110</v>
      </c>
      <c r="D594" s="363"/>
      <c r="E594" s="364"/>
      <c r="F594" s="365"/>
      <c r="G594" s="369">
        <f>E594*F594</f>
        <v>0</v>
      </c>
      <c r="H594" s="372">
        <f>D594+G594</f>
        <v>0</v>
      </c>
      <c r="I594" s="387"/>
    </row>
    <row r="595" spans="1:9" x14ac:dyDescent="0.35">
      <c r="A595" s="1515"/>
      <c r="B595" s="388"/>
      <c r="C595" s="389" t="s">
        <v>111</v>
      </c>
      <c r="D595" s="370">
        <f>SUM(D596:D614)</f>
        <v>21679089</v>
      </c>
      <c r="E595" s="371"/>
      <c r="F595" s="371"/>
      <c r="G595" s="370">
        <f>SUM(G596:G614)</f>
        <v>0</v>
      </c>
      <c r="H595" s="370">
        <f>SUM(H596:H614)</f>
        <v>21679089</v>
      </c>
      <c r="I595" s="387"/>
    </row>
    <row r="596" spans="1:9" x14ac:dyDescent="0.35">
      <c r="A596" s="1515"/>
      <c r="B596" s="390">
        <v>53201010100000</v>
      </c>
      <c r="C596" s="391" t="s">
        <v>112</v>
      </c>
      <c r="D596" s="401">
        <v>2563584</v>
      </c>
      <c r="E596" s="398"/>
      <c r="F596" s="399"/>
      <c r="G596" s="369">
        <f t="shared" ref="G596:G614" si="60">E596*F596</f>
        <v>0</v>
      </c>
      <c r="H596" s="372">
        <f t="shared" ref="H596:H614" si="61">D596+G596</f>
        <v>2563584</v>
      </c>
      <c r="I596" s="387"/>
    </row>
    <row r="597" spans="1:9" x14ac:dyDescent="0.35">
      <c r="A597" s="1515"/>
      <c r="B597" s="390">
        <v>53202010100000</v>
      </c>
      <c r="C597" s="391" t="s">
        <v>113</v>
      </c>
      <c r="D597" s="401">
        <v>300000</v>
      </c>
      <c r="E597" s="398"/>
      <c r="F597" s="399"/>
      <c r="G597" s="369">
        <f t="shared" si="60"/>
        <v>0</v>
      </c>
      <c r="H597" s="372">
        <f t="shared" si="61"/>
        <v>300000</v>
      </c>
      <c r="I597" s="387"/>
    </row>
    <row r="598" spans="1:9" x14ac:dyDescent="0.35">
      <c r="A598" s="1515"/>
      <c r="B598" s="390">
        <v>53203010100000</v>
      </c>
      <c r="C598" s="391" t="s">
        <v>114</v>
      </c>
      <c r="D598" s="400"/>
      <c r="E598" s="403"/>
      <c r="F598" s="404"/>
      <c r="G598" s="369">
        <f t="shared" si="60"/>
        <v>0</v>
      </c>
      <c r="H598" s="372">
        <f t="shared" si="61"/>
        <v>0</v>
      </c>
      <c r="I598" s="387"/>
    </row>
    <row r="599" spans="1:9" x14ac:dyDescent="0.35">
      <c r="A599" s="1515"/>
      <c r="B599" s="390">
        <v>53203030000000</v>
      </c>
      <c r="C599" s="391" t="s">
        <v>115</v>
      </c>
      <c r="D599" s="400"/>
      <c r="E599" s="403"/>
      <c r="F599" s="404"/>
      <c r="G599" s="369">
        <f t="shared" si="60"/>
        <v>0</v>
      </c>
      <c r="H599" s="372">
        <f t="shared" si="61"/>
        <v>0</v>
      </c>
      <c r="I599" s="387"/>
    </row>
    <row r="600" spans="1:9" x14ac:dyDescent="0.35">
      <c r="A600" s="1515"/>
      <c r="B600" s="390">
        <v>53204030000000</v>
      </c>
      <c r="C600" s="391" t="s">
        <v>116</v>
      </c>
      <c r="D600" s="400"/>
      <c r="E600" s="403"/>
      <c r="F600" s="404"/>
      <c r="G600" s="369">
        <f t="shared" si="60"/>
        <v>0</v>
      </c>
      <c r="H600" s="372">
        <f t="shared" si="61"/>
        <v>0</v>
      </c>
      <c r="I600" s="387"/>
    </row>
    <row r="601" spans="1:9" x14ac:dyDescent="0.35">
      <c r="A601" s="1515"/>
      <c r="B601" s="390">
        <v>53204100100001</v>
      </c>
      <c r="C601" s="391" t="s">
        <v>117</v>
      </c>
      <c r="D601" s="400">
        <v>1004748</v>
      </c>
      <c r="E601" s="403"/>
      <c r="F601" s="404"/>
      <c r="G601" s="369">
        <f t="shared" si="60"/>
        <v>0</v>
      </c>
      <c r="H601" s="372">
        <f t="shared" si="61"/>
        <v>1004748</v>
      </c>
      <c r="I601" s="387"/>
    </row>
    <row r="602" spans="1:9" x14ac:dyDescent="0.35">
      <c r="A602" s="1515"/>
      <c r="B602" s="390">
        <v>53204130100000</v>
      </c>
      <c r="C602" s="393" t="s">
        <v>118</v>
      </c>
      <c r="D602" s="400"/>
      <c r="E602" s="403"/>
      <c r="F602" s="404"/>
      <c r="G602" s="369">
        <f t="shared" si="60"/>
        <v>0</v>
      </c>
      <c r="H602" s="372">
        <f t="shared" si="61"/>
        <v>0</v>
      </c>
      <c r="I602" s="387"/>
    </row>
    <row r="603" spans="1:9" x14ac:dyDescent="0.35">
      <c r="A603" s="1515"/>
      <c r="B603" s="390">
        <v>53205010100000</v>
      </c>
      <c r="C603" s="393" t="s">
        <v>119</v>
      </c>
      <c r="D603" s="400">
        <v>5684415</v>
      </c>
      <c r="E603" s="403"/>
      <c r="F603" s="404"/>
      <c r="G603" s="369">
        <f t="shared" si="60"/>
        <v>0</v>
      </c>
      <c r="H603" s="372">
        <f t="shared" si="61"/>
        <v>5684415</v>
      </c>
      <c r="I603" s="387"/>
    </row>
    <row r="604" spans="1:9" x14ac:dyDescent="0.35">
      <c r="A604" s="1515"/>
      <c r="B604" s="390">
        <v>53205020100000</v>
      </c>
      <c r="C604" s="393" t="s">
        <v>120</v>
      </c>
      <c r="D604" s="400">
        <v>3135230</v>
      </c>
      <c r="E604" s="403"/>
      <c r="F604" s="404"/>
      <c r="G604" s="369">
        <f t="shared" si="60"/>
        <v>0</v>
      </c>
      <c r="H604" s="372">
        <f t="shared" si="61"/>
        <v>3135230</v>
      </c>
      <c r="I604" s="387"/>
    </row>
    <row r="605" spans="1:9" x14ac:dyDescent="0.35">
      <c r="A605" s="1515"/>
      <c r="B605" s="390">
        <v>53205030100000</v>
      </c>
      <c r="C605" s="393" t="s">
        <v>121</v>
      </c>
      <c r="D605" s="400"/>
      <c r="E605" s="403"/>
      <c r="F605" s="404"/>
      <c r="G605" s="369">
        <f t="shared" si="60"/>
        <v>0</v>
      </c>
      <c r="H605" s="372">
        <f t="shared" si="61"/>
        <v>0</v>
      </c>
      <c r="I605" s="387"/>
    </row>
    <row r="606" spans="1:9" x14ac:dyDescent="0.35">
      <c r="A606" s="1515"/>
      <c r="B606" s="390">
        <v>53205050100000</v>
      </c>
      <c r="C606" s="393" t="s">
        <v>122</v>
      </c>
      <c r="D606" s="400">
        <v>30000</v>
      </c>
      <c r="E606" s="403"/>
      <c r="F606" s="404"/>
      <c r="G606" s="369">
        <f t="shared" si="60"/>
        <v>0</v>
      </c>
      <c r="H606" s="372">
        <f t="shared" si="61"/>
        <v>30000</v>
      </c>
      <c r="I606" s="396"/>
    </row>
    <row r="607" spans="1:9" x14ac:dyDescent="0.35">
      <c r="A607" s="1515"/>
      <c r="B607" s="390">
        <v>53205060100000</v>
      </c>
      <c r="C607" s="393" t="s">
        <v>123</v>
      </c>
      <c r="D607" s="400"/>
      <c r="E607" s="403"/>
      <c r="F607" s="404"/>
      <c r="G607" s="369">
        <f t="shared" si="60"/>
        <v>0</v>
      </c>
      <c r="H607" s="372">
        <f t="shared" si="61"/>
        <v>0</v>
      </c>
      <c r="I607" s="397"/>
    </row>
    <row r="608" spans="1:9" x14ac:dyDescent="0.35">
      <c r="A608" s="1515"/>
      <c r="B608" s="390">
        <v>53205070100000</v>
      </c>
      <c r="C608" s="393" t="s">
        <v>124</v>
      </c>
      <c r="D608" s="400">
        <v>56989</v>
      </c>
      <c r="E608" s="403"/>
      <c r="F608" s="404"/>
      <c r="G608" s="369">
        <f t="shared" si="60"/>
        <v>0</v>
      </c>
      <c r="H608" s="372">
        <f t="shared" si="61"/>
        <v>56989</v>
      </c>
      <c r="I608" s="396"/>
    </row>
    <row r="609" spans="1:9" x14ac:dyDescent="0.35">
      <c r="A609" s="1515"/>
      <c r="B609" s="390">
        <v>53208010100000</v>
      </c>
      <c r="C609" s="393" t="s">
        <v>125</v>
      </c>
      <c r="D609" s="400">
        <v>2639182</v>
      </c>
      <c r="E609" s="403"/>
      <c r="F609" s="404"/>
      <c r="G609" s="369">
        <f t="shared" si="60"/>
        <v>0</v>
      </c>
      <c r="H609" s="372">
        <f t="shared" si="61"/>
        <v>2639182</v>
      </c>
      <c r="I609" s="396"/>
    </row>
    <row r="610" spans="1:9" x14ac:dyDescent="0.35">
      <c r="A610" s="1515"/>
      <c r="B610" s="390">
        <v>53208070100001</v>
      </c>
      <c r="C610" s="393" t="s">
        <v>126</v>
      </c>
      <c r="D610" s="400"/>
      <c r="E610" s="403"/>
      <c r="F610" s="404"/>
      <c r="G610" s="369">
        <f t="shared" si="60"/>
        <v>0</v>
      </c>
      <c r="H610" s="372">
        <f t="shared" si="61"/>
        <v>0</v>
      </c>
      <c r="I610" s="387"/>
    </row>
    <row r="611" spans="1:9" x14ac:dyDescent="0.35">
      <c r="A611" s="1515"/>
      <c r="B611" s="390">
        <v>53208100100001</v>
      </c>
      <c r="C611" s="391" t="s">
        <v>127</v>
      </c>
      <c r="D611" s="400"/>
      <c r="E611" s="403"/>
      <c r="F611" s="404"/>
      <c r="G611" s="369">
        <f t="shared" si="60"/>
        <v>0</v>
      </c>
      <c r="H611" s="372">
        <f t="shared" si="61"/>
        <v>0</v>
      </c>
      <c r="I611" s="387"/>
    </row>
    <row r="612" spans="1:9" x14ac:dyDescent="0.35">
      <c r="A612" s="1515"/>
      <c r="B612" s="390">
        <v>53211030000000</v>
      </c>
      <c r="C612" s="391" t="s">
        <v>128</v>
      </c>
      <c r="D612" s="400"/>
      <c r="E612" s="403"/>
      <c r="F612" s="404"/>
      <c r="G612" s="369">
        <f t="shared" si="60"/>
        <v>0</v>
      </c>
      <c r="H612" s="372">
        <f t="shared" si="61"/>
        <v>0</v>
      </c>
      <c r="I612" s="387"/>
    </row>
    <row r="613" spans="1:9" x14ac:dyDescent="0.35">
      <c r="A613" s="1515"/>
      <c r="B613" s="390">
        <v>53212020100000</v>
      </c>
      <c r="C613" s="391" t="s">
        <v>129</v>
      </c>
      <c r="D613" s="400">
        <v>6264941</v>
      </c>
      <c r="E613" s="403"/>
      <c r="F613" s="404"/>
      <c r="G613" s="369">
        <f t="shared" si="60"/>
        <v>0</v>
      </c>
      <c r="H613" s="372">
        <f t="shared" si="61"/>
        <v>6264941</v>
      </c>
      <c r="I613" s="396"/>
    </row>
    <row r="614" spans="1:9" x14ac:dyDescent="0.35">
      <c r="A614" s="1515"/>
      <c r="B614" s="390">
        <v>53214020000000</v>
      </c>
      <c r="C614" s="391" t="s">
        <v>130</v>
      </c>
      <c r="D614" s="363"/>
      <c r="E614" s="364"/>
      <c r="F614" s="365"/>
      <c r="G614" s="369">
        <f t="shared" si="60"/>
        <v>0</v>
      </c>
      <c r="H614" s="372">
        <f t="shared" si="61"/>
        <v>0</v>
      </c>
      <c r="I614" s="387"/>
    </row>
    <row r="615" spans="1:9" x14ac:dyDescent="0.35">
      <c r="A615" s="1515"/>
      <c r="B615" s="385"/>
      <c r="C615" s="386" t="s">
        <v>131</v>
      </c>
      <c r="D615" s="384">
        <f>SUM(D616,D621,D624,D635,D645,D653)</f>
        <v>4325669</v>
      </c>
      <c r="E615" s="379"/>
      <c r="F615" s="379"/>
      <c r="G615" s="384">
        <f>SUM(G616,G621,G624,G635,G645,G653)</f>
        <v>2552000</v>
      </c>
      <c r="H615" s="384">
        <f>SUM(H616,H621,H624,H635,H645,H653)</f>
        <v>6877669</v>
      </c>
      <c r="I615" s="387"/>
    </row>
    <row r="616" spans="1:9" x14ac:dyDescent="0.35">
      <c r="A616" s="1515"/>
      <c r="B616" s="388"/>
      <c r="C616" s="389" t="s">
        <v>132</v>
      </c>
      <c r="D616" s="370">
        <f>SUM(D617:D620)</f>
        <v>0</v>
      </c>
      <c r="E616" s="371"/>
      <c r="F616" s="371"/>
      <c r="G616" s="383">
        <f>SUM(G617:G620)</f>
        <v>560000</v>
      </c>
      <c r="H616" s="383">
        <f>SUM(H617:H620)</f>
        <v>560000</v>
      </c>
      <c r="I616" s="387"/>
    </row>
    <row r="617" spans="1:9" x14ac:dyDescent="0.35">
      <c r="A617" s="1515"/>
      <c r="B617" s="390">
        <v>53202020100000</v>
      </c>
      <c r="C617" s="391" t="s">
        <v>133</v>
      </c>
      <c r="D617" s="366"/>
      <c r="E617" s="367">
        <v>50000</v>
      </c>
      <c r="F617" s="368">
        <v>7</v>
      </c>
      <c r="G617" s="369">
        <f>E617*F617</f>
        <v>350000</v>
      </c>
      <c r="H617" s="372">
        <f>D617+G617</f>
        <v>350000</v>
      </c>
      <c r="I617" s="387"/>
    </row>
    <row r="618" spans="1:9" x14ac:dyDescent="0.35">
      <c r="A618" s="1515"/>
      <c r="B618" s="390">
        <v>53202030000000</v>
      </c>
      <c r="C618" s="391" t="s">
        <v>134</v>
      </c>
      <c r="D618" s="363"/>
      <c r="E618" s="364">
        <v>30000</v>
      </c>
      <c r="F618" s="365">
        <v>7</v>
      </c>
      <c r="G618" s="369">
        <f>E618*F618</f>
        <v>210000</v>
      </c>
      <c r="H618" s="372">
        <f>D618+G618</f>
        <v>210000</v>
      </c>
      <c r="I618" s="387"/>
    </row>
    <row r="619" spans="1:9" x14ac:dyDescent="0.35">
      <c r="A619" s="1515"/>
      <c r="B619" s="390">
        <v>53211020000000</v>
      </c>
      <c r="C619" s="391" t="s">
        <v>135</v>
      </c>
      <c r="D619" s="366"/>
      <c r="E619" s="367"/>
      <c r="F619" s="368"/>
      <c r="G619" s="369">
        <f>E619*F619</f>
        <v>0</v>
      </c>
      <c r="H619" s="372">
        <f>D619+G619</f>
        <v>0</v>
      </c>
      <c r="I619" s="387"/>
    </row>
    <row r="620" spans="1:9" x14ac:dyDescent="0.35">
      <c r="A620" s="1515"/>
      <c r="B620" s="390">
        <v>53101004030000</v>
      </c>
      <c r="C620" s="391" t="s">
        <v>136</v>
      </c>
      <c r="D620" s="363"/>
      <c r="E620" s="364"/>
      <c r="F620" s="365"/>
      <c r="G620" s="369">
        <f>E620*F620</f>
        <v>0</v>
      </c>
      <c r="H620" s="372">
        <f>D620+G620</f>
        <v>0</v>
      </c>
      <c r="I620" s="387"/>
    </row>
    <row r="621" spans="1:9" x14ac:dyDescent="0.35">
      <c r="A621" s="1515"/>
      <c r="B621" s="388"/>
      <c r="C621" s="389" t="s">
        <v>137</v>
      </c>
      <c r="D621" s="370">
        <f>SUM(D622:D623)</f>
        <v>165952</v>
      </c>
      <c r="E621" s="371"/>
      <c r="F621" s="371"/>
      <c r="G621" s="383">
        <f>SUM(G622:G623)</f>
        <v>0</v>
      </c>
      <c r="H621" s="383">
        <f>SUM(H622:H623)</f>
        <v>165952</v>
      </c>
      <c r="I621" s="387"/>
    </row>
    <row r="622" spans="1:9" x14ac:dyDescent="0.35">
      <c r="A622" s="1515"/>
      <c r="B622" s="390">
        <v>53205080000000</v>
      </c>
      <c r="C622" s="393" t="s">
        <v>138</v>
      </c>
      <c r="D622" s="401">
        <v>165952</v>
      </c>
      <c r="E622" s="364"/>
      <c r="F622" s="365"/>
      <c r="G622" s="369">
        <f>E622*F622</f>
        <v>0</v>
      </c>
      <c r="H622" s="372">
        <f>D622+G622</f>
        <v>165952</v>
      </c>
      <c r="I622" s="387"/>
    </row>
    <row r="623" spans="1:9" x14ac:dyDescent="0.35">
      <c r="A623" s="1515"/>
      <c r="B623" s="390">
        <v>53205990000000</v>
      </c>
      <c r="C623" s="391" t="s">
        <v>139</v>
      </c>
      <c r="D623" s="366"/>
      <c r="E623" s="367"/>
      <c r="F623" s="368"/>
      <c r="G623" s="369">
        <f>E623*F623</f>
        <v>0</v>
      </c>
      <c r="H623" s="372">
        <f>D623+G623</f>
        <v>0</v>
      </c>
      <c r="I623" s="387"/>
    </row>
    <row r="624" spans="1:9" x14ac:dyDescent="0.35">
      <c r="A624" s="1515"/>
      <c r="B624" s="388"/>
      <c r="C624" s="389" t="s">
        <v>140</v>
      </c>
      <c r="D624" s="370">
        <f>SUM(D625:D634)</f>
        <v>747013</v>
      </c>
      <c r="E624" s="371"/>
      <c r="F624" s="371"/>
      <c r="G624" s="370">
        <f>SUM(G625:G634)</f>
        <v>1992000</v>
      </c>
      <c r="H624" s="370">
        <f>SUM(H625:H634)</f>
        <v>2739013</v>
      </c>
      <c r="I624" s="387"/>
    </row>
    <row r="625" spans="1:9" x14ac:dyDescent="0.35">
      <c r="A625" s="1515"/>
      <c r="B625" s="390">
        <v>53203010200000</v>
      </c>
      <c r="C625" s="391" t="s">
        <v>141</v>
      </c>
      <c r="D625" s="363"/>
      <c r="E625" s="363"/>
      <c r="F625" s="365"/>
      <c r="G625" s="369">
        <f t="shared" ref="G625:G634" si="62">E625*F625</f>
        <v>0</v>
      </c>
      <c r="H625" s="372">
        <f t="shared" ref="H625:H634" si="63">D625+G625</f>
        <v>0</v>
      </c>
      <c r="I625" s="387"/>
    </row>
    <row r="626" spans="1:9" x14ac:dyDescent="0.35">
      <c r="A626" s="1515"/>
      <c r="B626" s="390">
        <v>53204010000000</v>
      </c>
      <c r="C626" s="391" t="s">
        <v>142</v>
      </c>
      <c r="D626" s="366"/>
      <c r="E626" s="366"/>
      <c r="F626" s="368"/>
      <c r="G626" s="369">
        <f t="shared" si="62"/>
        <v>0</v>
      </c>
      <c r="H626" s="372">
        <f t="shared" si="63"/>
        <v>0</v>
      </c>
      <c r="I626" s="387"/>
    </row>
    <row r="627" spans="1:9" x14ac:dyDescent="0.35">
      <c r="A627" s="1515"/>
      <c r="B627" s="390">
        <v>53204040200000</v>
      </c>
      <c r="C627" s="393" t="s">
        <v>143</v>
      </c>
      <c r="D627" s="366"/>
      <c r="E627" s="366"/>
      <c r="F627" s="368"/>
      <c r="G627" s="369">
        <f t="shared" si="62"/>
        <v>0</v>
      </c>
      <c r="H627" s="372">
        <f t="shared" si="63"/>
        <v>0</v>
      </c>
      <c r="I627" s="387"/>
    </row>
    <row r="628" spans="1:9" x14ac:dyDescent="0.35">
      <c r="A628" s="1515"/>
      <c r="B628" s="390">
        <v>53204060000000</v>
      </c>
      <c r="C628" s="393" t="s">
        <v>144</v>
      </c>
      <c r="D628" s="366"/>
      <c r="E628" s="366"/>
      <c r="F628" s="368"/>
      <c r="G628" s="369">
        <f t="shared" si="62"/>
        <v>0</v>
      </c>
      <c r="H628" s="372">
        <f t="shared" si="63"/>
        <v>0</v>
      </c>
      <c r="I628" s="387"/>
    </row>
    <row r="629" spans="1:9" x14ac:dyDescent="0.35">
      <c r="A629" s="1515"/>
      <c r="B629" s="390">
        <v>53204070000000</v>
      </c>
      <c r="C629" s="393" t="s">
        <v>145</v>
      </c>
      <c r="D629" s="400">
        <v>747013</v>
      </c>
      <c r="E629" s="366"/>
      <c r="F629" s="368"/>
      <c r="G629" s="369">
        <f t="shared" si="62"/>
        <v>0</v>
      </c>
      <c r="H629" s="372">
        <f t="shared" si="63"/>
        <v>747013</v>
      </c>
      <c r="I629" s="396"/>
    </row>
    <row r="630" spans="1:9" x14ac:dyDescent="0.35">
      <c r="A630" s="1515"/>
      <c r="B630" s="390">
        <v>53204080000000</v>
      </c>
      <c r="C630" s="393" t="s">
        <v>146</v>
      </c>
      <c r="D630" s="366"/>
      <c r="E630" s="366"/>
      <c r="F630" s="368"/>
      <c r="G630" s="369">
        <f t="shared" si="62"/>
        <v>0</v>
      </c>
      <c r="H630" s="372">
        <f t="shared" si="63"/>
        <v>0</v>
      </c>
      <c r="I630" s="387"/>
    </row>
    <row r="631" spans="1:9" x14ac:dyDescent="0.35">
      <c r="A631" s="1515"/>
      <c r="B631" s="390">
        <v>53214010000000</v>
      </c>
      <c r="C631" s="393" t="s">
        <v>147</v>
      </c>
      <c r="D631" s="363"/>
      <c r="E631" s="363"/>
      <c r="F631" s="365"/>
      <c r="G631" s="369">
        <f t="shared" si="62"/>
        <v>0</v>
      </c>
      <c r="H631" s="372">
        <f t="shared" si="63"/>
        <v>0</v>
      </c>
      <c r="I631" s="387"/>
    </row>
    <row r="632" spans="1:9" x14ac:dyDescent="0.35">
      <c r="A632" s="1515"/>
      <c r="B632" s="390">
        <v>53214040000000</v>
      </c>
      <c r="C632" s="391" t="s">
        <v>148</v>
      </c>
      <c r="D632" s="363"/>
      <c r="E632" s="363"/>
      <c r="F632" s="365"/>
      <c r="G632" s="369">
        <f t="shared" si="62"/>
        <v>0</v>
      </c>
      <c r="H632" s="372">
        <f t="shared" si="63"/>
        <v>0</v>
      </c>
      <c r="I632" s="387"/>
    </row>
    <row r="633" spans="1:9" x14ac:dyDescent="0.35">
      <c r="A633" s="1515"/>
      <c r="B633" s="390">
        <v>55201010100004</v>
      </c>
      <c r="C633" s="391" t="s">
        <v>149</v>
      </c>
      <c r="D633" s="363"/>
      <c r="E633" s="402">
        <f>'I) Costo Desayuno'!E29</f>
        <v>2000</v>
      </c>
      <c r="F633" s="399">
        <v>996</v>
      </c>
      <c r="G633" s="369">
        <f>E633*F633</f>
        <v>1992000</v>
      </c>
      <c r="H633" s="372">
        <f t="shared" si="63"/>
        <v>1992000</v>
      </c>
      <c r="I633" s="387"/>
    </row>
    <row r="634" spans="1:9" x14ac:dyDescent="0.35">
      <c r="A634" s="1515"/>
      <c r="B634" s="390">
        <v>55201010100005</v>
      </c>
      <c r="C634" s="391" t="s">
        <v>150</v>
      </c>
      <c r="D634" s="363"/>
      <c r="E634" s="363"/>
      <c r="F634" s="365"/>
      <c r="G634" s="369">
        <f t="shared" si="62"/>
        <v>0</v>
      </c>
      <c r="H634" s="372">
        <f t="shared" si="63"/>
        <v>0</v>
      </c>
      <c r="I634" s="387"/>
    </row>
    <row r="635" spans="1:9" x14ac:dyDescent="0.35">
      <c r="A635" s="1515"/>
      <c r="B635" s="388"/>
      <c r="C635" s="389" t="s">
        <v>151</v>
      </c>
      <c r="D635" s="370">
        <f>SUM(D636:D644)</f>
        <v>62700</v>
      </c>
      <c r="E635" s="371"/>
      <c r="F635" s="371"/>
      <c r="G635" s="370">
        <f>SUM(G636:G644)</f>
        <v>0</v>
      </c>
      <c r="H635" s="370">
        <f>SUM(H636:H644)</f>
        <v>62700</v>
      </c>
      <c r="I635" s="387"/>
    </row>
    <row r="636" spans="1:9" x14ac:dyDescent="0.35">
      <c r="A636" s="1515"/>
      <c r="B636" s="390">
        <v>53207010000000</v>
      </c>
      <c r="C636" s="391" t="s">
        <v>152</v>
      </c>
      <c r="D636" s="366"/>
      <c r="E636" s="366"/>
      <c r="F636" s="368"/>
      <c r="G636" s="369">
        <f t="shared" ref="G636:G644" si="64">E636*F636</f>
        <v>0</v>
      </c>
      <c r="H636" s="372">
        <f t="shared" ref="H636:H644" si="65">D636+G636</f>
        <v>0</v>
      </c>
      <c r="I636" s="387"/>
    </row>
    <row r="637" spans="1:9" x14ac:dyDescent="0.35">
      <c r="A637" s="1515"/>
      <c r="B637" s="390">
        <v>53207020000000</v>
      </c>
      <c r="C637" s="391" t="s">
        <v>153</v>
      </c>
      <c r="D637" s="366"/>
      <c r="E637" s="366"/>
      <c r="F637" s="368"/>
      <c r="G637" s="369">
        <f t="shared" si="64"/>
        <v>0</v>
      </c>
      <c r="H637" s="372">
        <f t="shared" si="65"/>
        <v>0</v>
      </c>
      <c r="I637" s="387"/>
    </row>
    <row r="638" spans="1:9" x14ac:dyDescent="0.35">
      <c r="A638" s="1515"/>
      <c r="B638" s="390">
        <v>53208020000000</v>
      </c>
      <c r="C638" s="391" t="s">
        <v>154</v>
      </c>
      <c r="D638" s="366"/>
      <c r="E638" s="366"/>
      <c r="F638" s="368"/>
      <c r="G638" s="369">
        <f t="shared" si="64"/>
        <v>0</v>
      </c>
      <c r="H638" s="372">
        <f t="shared" si="65"/>
        <v>0</v>
      </c>
      <c r="I638" s="387"/>
    </row>
    <row r="639" spans="1:9" x14ac:dyDescent="0.35">
      <c r="A639" s="1515"/>
      <c r="B639" s="390">
        <v>53208990000000</v>
      </c>
      <c r="C639" s="391" t="s">
        <v>155</v>
      </c>
      <c r="D639" s="366">
        <v>62700</v>
      </c>
      <c r="E639" s="366"/>
      <c r="F639" s="368"/>
      <c r="G639" s="369">
        <f t="shared" si="64"/>
        <v>0</v>
      </c>
      <c r="H639" s="372">
        <f t="shared" si="65"/>
        <v>62700</v>
      </c>
      <c r="I639" s="387"/>
    </row>
    <row r="640" spans="1:9" x14ac:dyDescent="0.35">
      <c r="A640" s="1515"/>
      <c r="B640" s="390">
        <v>53209010000000</v>
      </c>
      <c r="C640" s="391" t="s">
        <v>156</v>
      </c>
      <c r="D640" s="366"/>
      <c r="E640" s="366"/>
      <c r="F640" s="368"/>
      <c r="G640" s="369">
        <f t="shared" si="64"/>
        <v>0</v>
      </c>
      <c r="H640" s="372">
        <f t="shared" si="65"/>
        <v>0</v>
      </c>
      <c r="I640" s="387"/>
    </row>
    <row r="641" spans="1:9" x14ac:dyDescent="0.35">
      <c r="A641" s="1515"/>
      <c r="B641" s="390">
        <v>53209040000000</v>
      </c>
      <c r="C641" s="391" t="s">
        <v>157</v>
      </c>
      <c r="D641" s="366"/>
      <c r="E641" s="366"/>
      <c r="F641" s="368"/>
      <c r="G641" s="369">
        <f t="shared" si="64"/>
        <v>0</v>
      </c>
      <c r="H641" s="372">
        <f t="shared" si="65"/>
        <v>0</v>
      </c>
      <c r="I641" s="387"/>
    </row>
    <row r="642" spans="1:9" x14ac:dyDescent="0.35">
      <c r="A642" s="1515"/>
      <c r="B642" s="390">
        <v>53209050000000</v>
      </c>
      <c r="C642" s="391" t="s">
        <v>158</v>
      </c>
      <c r="D642" s="366"/>
      <c r="E642" s="366"/>
      <c r="F642" s="368"/>
      <c r="G642" s="369">
        <f>E642*F642</f>
        <v>0</v>
      </c>
      <c r="H642" s="372">
        <f t="shared" si="65"/>
        <v>0</v>
      </c>
      <c r="I642" s="387"/>
    </row>
    <row r="643" spans="1:9" x14ac:dyDescent="0.35">
      <c r="A643" s="1515"/>
      <c r="B643" s="390">
        <v>53209990000000</v>
      </c>
      <c r="C643" s="391" t="s">
        <v>159</v>
      </c>
      <c r="D643" s="366"/>
      <c r="E643" s="366"/>
      <c r="F643" s="368"/>
      <c r="G643" s="369">
        <f t="shared" si="64"/>
        <v>0</v>
      </c>
      <c r="H643" s="372">
        <f t="shared" si="65"/>
        <v>0</v>
      </c>
      <c r="I643" s="387"/>
    </row>
    <row r="644" spans="1:9" x14ac:dyDescent="0.35">
      <c r="A644" s="1515"/>
      <c r="B644" s="390">
        <v>53210020100000</v>
      </c>
      <c r="C644" s="391" t="s">
        <v>160</v>
      </c>
      <c r="D644" s="400">
        <v>0</v>
      </c>
      <c r="E644" s="366"/>
      <c r="F644" s="368"/>
      <c r="G644" s="369">
        <f t="shared" si="64"/>
        <v>0</v>
      </c>
      <c r="H644" s="372">
        <f t="shared" si="65"/>
        <v>0</v>
      </c>
      <c r="I644" s="392"/>
    </row>
    <row r="645" spans="1:9" x14ac:dyDescent="0.35">
      <c r="A645" s="1515"/>
      <c r="B645" s="388"/>
      <c r="C645" s="389" t="s">
        <v>161</v>
      </c>
      <c r="D645" s="370">
        <f>SUM(D646:D652)</f>
        <v>1905004</v>
      </c>
      <c r="E645" s="371"/>
      <c r="F645" s="371"/>
      <c r="G645" s="370">
        <f>SUM(G646:G652)</f>
        <v>0</v>
      </c>
      <c r="H645" s="370">
        <f>SUM(H646:H652)</f>
        <v>1905004</v>
      </c>
      <c r="I645" s="387"/>
    </row>
    <row r="646" spans="1:9" x14ac:dyDescent="0.35">
      <c r="A646" s="1515"/>
      <c r="B646" s="390">
        <v>53206030000000</v>
      </c>
      <c r="C646" s="391" t="s">
        <v>162</v>
      </c>
      <c r="D646" s="366"/>
      <c r="E646" s="366"/>
      <c r="F646" s="368"/>
      <c r="G646" s="369">
        <f t="shared" ref="G646:G652" si="66">E646*F646</f>
        <v>0</v>
      </c>
      <c r="H646" s="372">
        <f t="shared" ref="H646:H652" si="67">D646+G646</f>
        <v>0</v>
      </c>
      <c r="I646" s="387"/>
    </row>
    <row r="647" spans="1:9" x14ac:dyDescent="0.35">
      <c r="A647" s="1515"/>
      <c r="B647" s="390">
        <v>53206040000000</v>
      </c>
      <c r="C647" s="391" t="s">
        <v>163</v>
      </c>
      <c r="D647" s="366">
        <v>900000</v>
      </c>
      <c r="E647" s="366"/>
      <c r="F647" s="368"/>
      <c r="G647" s="369">
        <f t="shared" si="66"/>
        <v>0</v>
      </c>
      <c r="H647" s="372">
        <f t="shared" si="67"/>
        <v>900000</v>
      </c>
      <c r="I647" s="387"/>
    </row>
    <row r="648" spans="1:9" x14ac:dyDescent="0.35">
      <c r="A648" s="1515"/>
      <c r="B648" s="390">
        <v>53206060000000</v>
      </c>
      <c r="C648" s="391" t="s">
        <v>164</v>
      </c>
      <c r="D648" s="366">
        <v>150000</v>
      </c>
      <c r="E648" s="366"/>
      <c r="F648" s="368"/>
      <c r="G648" s="369">
        <f t="shared" si="66"/>
        <v>0</v>
      </c>
      <c r="H648" s="372">
        <f t="shared" si="67"/>
        <v>150000</v>
      </c>
      <c r="I648" s="387"/>
    </row>
    <row r="649" spans="1:9" x14ac:dyDescent="0.35">
      <c r="A649" s="1515"/>
      <c r="B649" s="390">
        <v>53206070000000</v>
      </c>
      <c r="C649" s="391" t="s">
        <v>165</v>
      </c>
      <c r="D649" s="366"/>
      <c r="E649" s="366"/>
      <c r="F649" s="368"/>
      <c r="G649" s="369">
        <f t="shared" si="66"/>
        <v>0</v>
      </c>
      <c r="H649" s="372">
        <f t="shared" si="67"/>
        <v>0</v>
      </c>
      <c r="I649" s="387"/>
    </row>
    <row r="650" spans="1:9" x14ac:dyDescent="0.35">
      <c r="A650" s="1515"/>
      <c r="B650" s="390">
        <v>53206990000000</v>
      </c>
      <c r="C650" s="391" t="s">
        <v>166</v>
      </c>
      <c r="D650" s="366"/>
      <c r="E650" s="366"/>
      <c r="F650" s="368"/>
      <c r="G650" s="369">
        <f t="shared" si="66"/>
        <v>0</v>
      </c>
      <c r="H650" s="372">
        <f t="shared" si="67"/>
        <v>0</v>
      </c>
      <c r="I650" s="387"/>
    </row>
    <row r="651" spans="1:9" x14ac:dyDescent="0.35">
      <c r="A651" s="1515"/>
      <c r="B651" s="390">
        <v>53208030000000</v>
      </c>
      <c r="C651" s="391" t="s">
        <v>167</v>
      </c>
      <c r="D651" s="366"/>
      <c r="E651" s="366"/>
      <c r="F651" s="368"/>
      <c r="G651" s="369">
        <f t="shared" si="66"/>
        <v>0</v>
      </c>
      <c r="H651" s="372">
        <f t="shared" si="67"/>
        <v>0</v>
      </c>
      <c r="I651" s="387"/>
    </row>
    <row r="652" spans="1:9" x14ac:dyDescent="0.35">
      <c r="A652" s="1515"/>
      <c r="B652" s="390">
        <v>53212060000000</v>
      </c>
      <c r="C652" s="391" t="s">
        <v>168</v>
      </c>
      <c r="D652" s="363">
        <v>855004</v>
      </c>
      <c r="E652" s="363"/>
      <c r="F652" s="365"/>
      <c r="G652" s="369">
        <f t="shared" si="66"/>
        <v>0</v>
      </c>
      <c r="H652" s="372">
        <f t="shared" si="67"/>
        <v>855004</v>
      </c>
      <c r="I652" s="387" t="s">
        <v>433</v>
      </c>
    </row>
    <row r="653" spans="1:9" x14ac:dyDescent="0.35">
      <c r="A653" s="1515"/>
      <c r="B653" s="388"/>
      <c r="C653" s="389" t="s">
        <v>169</v>
      </c>
      <c r="D653" s="370">
        <f>SUM(D654:D655)</f>
        <v>1445000</v>
      </c>
      <c r="E653" s="371"/>
      <c r="F653" s="371"/>
      <c r="G653" s="370">
        <f>SUM(G654:G655)</f>
        <v>0</v>
      </c>
      <c r="H653" s="370">
        <f>SUM(H654:H655)</f>
        <v>1445000</v>
      </c>
      <c r="I653" s="387"/>
    </row>
    <row r="654" spans="1:9" x14ac:dyDescent="0.35">
      <c r="A654" s="1515"/>
      <c r="B654" s="390">
        <v>53210020500000</v>
      </c>
      <c r="C654" s="391" t="s">
        <v>170</v>
      </c>
      <c r="D654" s="401">
        <v>945000</v>
      </c>
      <c r="E654" s="363"/>
      <c r="F654" s="365"/>
      <c r="G654" s="369">
        <f>E654*F654</f>
        <v>0</v>
      </c>
      <c r="H654" s="372">
        <f>D654+G654</f>
        <v>945000</v>
      </c>
      <c r="I654" s="387"/>
    </row>
    <row r="655" spans="1:9" x14ac:dyDescent="0.35">
      <c r="A655" s="1515"/>
      <c r="B655" s="390">
        <v>53204999000000</v>
      </c>
      <c r="C655" s="391" t="s">
        <v>171</v>
      </c>
      <c r="D655" s="366">
        <v>500000</v>
      </c>
      <c r="E655" s="366"/>
      <c r="F655" s="368"/>
      <c r="G655" s="369">
        <f>E655*F655</f>
        <v>0</v>
      </c>
      <c r="H655" s="372">
        <f>D655+G655</f>
        <v>500000</v>
      </c>
      <c r="I655" s="387"/>
    </row>
    <row r="656" spans="1:9" x14ac:dyDescent="0.35">
      <c r="A656" s="1515"/>
      <c r="B656" s="394"/>
      <c r="C656" s="395" t="s">
        <v>12</v>
      </c>
      <c r="D656" s="373">
        <f>SUM(D587,D615)</f>
        <v>58733139.494999997</v>
      </c>
      <c r="E656" s="374"/>
      <c r="F656" s="374"/>
      <c r="G656" s="373">
        <f>SUM(G587,G615)</f>
        <v>2552000</v>
      </c>
      <c r="H656" s="373">
        <f>SUM(H587,H615)</f>
        <v>61285139.494999997</v>
      </c>
      <c r="I656" s="387"/>
    </row>
  </sheetData>
  <mergeCells count="74">
    <mergeCell ref="A7:I7"/>
    <mergeCell ref="I585:I586"/>
    <mergeCell ref="A587:A656"/>
    <mergeCell ref="F5:G5"/>
    <mergeCell ref="A585:A586"/>
    <mergeCell ref="B585:B586"/>
    <mergeCell ref="C585:C586"/>
    <mergeCell ref="D585:D586"/>
    <mergeCell ref="E585:G585"/>
    <mergeCell ref="H585:H586"/>
    <mergeCell ref="I441:I442"/>
    <mergeCell ref="A443:A512"/>
    <mergeCell ref="A513:A514"/>
    <mergeCell ref="B513:B514"/>
    <mergeCell ref="C513:C514"/>
    <mergeCell ref="D513:D514"/>
    <mergeCell ref="E513:G513"/>
    <mergeCell ref="H513:H514"/>
    <mergeCell ref="I513:I514"/>
    <mergeCell ref="A441:A442"/>
    <mergeCell ref="B441:B442"/>
    <mergeCell ref="C441:C442"/>
    <mergeCell ref="D441:D442"/>
    <mergeCell ref="E441:G441"/>
    <mergeCell ref="H441:H442"/>
    <mergeCell ref="I297:I298"/>
    <mergeCell ref="A299:A368"/>
    <mergeCell ref="A369:A370"/>
    <mergeCell ref="B369:B370"/>
    <mergeCell ref="C369:C370"/>
    <mergeCell ref="D369:D370"/>
    <mergeCell ref="E369:G369"/>
    <mergeCell ref="H369:H370"/>
    <mergeCell ref="I369:I370"/>
    <mergeCell ref="A297:A298"/>
    <mergeCell ref="B297:B298"/>
    <mergeCell ref="C297:C298"/>
    <mergeCell ref="D297:D298"/>
    <mergeCell ref="E297:G297"/>
    <mergeCell ref="H297:H298"/>
    <mergeCell ref="E225:G225"/>
    <mergeCell ref="H225:H226"/>
    <mergeCell ref="I225:I226"/>
    <mergeCell ref="A153:A154"/>
    <mergeCell ref="B153:B154"/>
    <mergeCell ref="C153:C154"/>
    <mergeCell ref="D153:D154"/>
    <mergeCell ref="E153:G153"/>
    <mergeCell ref="A155:A224"/>
    <mergeCell ref="A225:A226"/>
    <mergeCell ref="B225:B226"/>
    <mergeCell ref="C225:C226"/>
    <mergeCell ref="D225:D226"/>
    <mergeCell ref="H81:H82"/>
    <mergeCell ref="I81:I82"/>
    <mergeCell ref="A83:A152"/>
    <mergeCell ref="H153:H154"/>
    <mergeCell ref="I153:I154"/>
    <mergeCell ref="I9:I10"/>
    <mergeCell ref="H9:H10"/>
    <mergeCell ref="A515:A584"/>
    <mergeCell ref="A371:A440"/>
    <mergeCell ref="A227:A296"/>
    <mergeCell ref="A11:A80"/>
    <mergeCell ref="A81:A82"/>
    <mergeCell ref="B81:B82"/>
    <mergeCell ref="C81:C82"/>
    <mergeCell ref="A9:A10"/>
    <mergeCell ref="B9:B10"/>
    <mergeCell ref="C9:C10"/>
    <mergeCell ref="D9:D10"/>
    <mergeCell ref="E9:G9"/>
    <mergeCell ref="D81:D82"/>
    <mergeCell ref="E81:G81"/>
  </mergeCells>
  <hyperlinks>
    <hyperlink ref="A7" location="'D) Estimación Costos'!A7" display="TABLA 1. COSTOS DIRECTOS POR CENTRO DE COSTO" xr:uid="{00000000-0004-0000-0600-000000000000}"/>
    <hyperlink ref="A7:I7" location="'C) Estimación Costos Directos'!A1" display="TABLA 5: COSTOS DIRECTOS DE CENTROS DE BENEFICIOS " xr:uid="{00000000-0004-0000-0600-000001000000}"/>
  </hyperlinks>
  <pageMargins left="0.70866141732283472" right="0.70866141732283472" top="0.74803149606299213" bottom="0.74803149606299213" header="0.31496062992125984" footer="0.31496062992125984"/>
  <pageSetup scale="55" orientation="portrait" r:id="rId1"/>
  <ignoredErrors>
    <ignoredError sqref="G233:H235 G261:H265 G275:I275 G285:H285 G293:H293 G305:H307 G333:H336 G347:H347 G357:H357 G365:H365 G377:H380 G405:H408 G419:H419 G429:H429 G437:H437 G449:H452 G477:H502 G509:H511 G521:H523 G549:H552 G563:H578 G581:H581 G593:H596 G621:H646 G653:H653" formula="1"/>
  </ignoredError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sheetPr>
  <dimension ref="A1:IH101"/>
  <sheetViews>
    <sheetView topLeftCell="F1" workbookViewId="0">
      <selection activeCell="K7" sqref="K7"/>
    </sheetView>
  </sheetViews>
  <sheetFormatPr baseColWidth="10" defaultColWidth="11.453125" defaultRowHeight="12.5" x14ac:dyDescent="0.25"/>
  <cols>
    <col min="1" max="1" width="11.54296875" style="753" customWidth="1"/>
    <col min="2" max="2" width="28" style="753" customWidth="1"/>
    <col min="3" max="3" width="28.7265625" style="753" customWidth="1"/>
    <col min="4" max="4" width="24.1796875" style="753" customWidth="1"/>
    <col min="5" max="5" width="49.7265625" style="753" bestFit="1" customWidth="1"/>
    <col min="6" max="6" width="22.1796875" style="753" customWidth="1"/>
    <col min="7" max="7" width="14.81640625" style="753" customWidth="1"/>
    <col min="8" max="8" width="15" style="753" customWidth="1"/>
    <col min="9" max="9" width="15.1796875" style="753" customWidth="1"/>
    <col min="10" max="10" width="17.453125" style="753" customWidth="1"/>
    <col min="11" max="11" width="19.1796875" style="753" customWidth="1"/>
    <col min="12" max="12" width="4.81640625" style="753" customWidth="1"/>
    <col min="13" max="13" width="19.1796875" style="753" customWidth="1"/>
    <col min="14" max="14" width="16.1796875" style="753" customWidth="1"/>
    <col min="15" max="15" width="17.1796875" style="753" customWidth="1"/>
    <col min="16" max="16" width="14.81640625" style="753" customWidth="1"/>
    <col min="17" max="17" width="17.7265625" style="753" customWidth="1"/>
    <col min="18" max="18" width="17.1796875" style="753" customWidth="1"/>
    <col min="19" max="19" width="17.453125" style="753" customWidth="1"/>
    <col min="20" max="20" width="5" style="753" customWidth="1"/>
    <col min="21" max="21" width="19.81640625" style="753" bestFit="1" customWidth="1"/>
    <col min="22" max="22" width="52.1796875" style="753" bestFit="1" customWidth="1"/>
    <col min="23" max="23" width="18.26953125" style="753" customWidth="1"/>
    <col min="24" max="24" width="5.7265625" style="753" customWidth="1"/>
    <col min="25" max="25" width="11.453125" style="753" customWidth="1"/>
    <col min="26" max="31" width="14.26953125" style="753" customWidth="1"/>
    <col min="32" max="32" width="11.26953125" style="753" customWidth="1"/>
    <col min="33" max="38" width="14.26953125" style="753" customWidth="1"/>
    <col min="39" max="39" width="11.453125" style="753"/>
    <col min="40" max="45" width="14.26953125" style="753" customWidth="1"/>
    <col min="46" max="16384" width="11.453125" style="753"/>
  </cols>
  <sheetData>
    <row r="1" spans="1:242" s="751" customFormat="1" ht="13" x14ac:dyDescent="0.35">
      <c r="A1" s="1176"/>
      <c r="B1" s="1176"/>
      <c r="C1" s="1176"/>
      <c r="D1" s="1176"/>
      <c r="E1" s="1177" t="s">
        <v>378</v>
      </c>
      <c r="F1" s="1177"/>
      <c r="G1" s="1177"/>
      <c r="H1" s="1177"/>
      <c r="I1" s="1177"/>
      <c r="J1" s="1176"/>
      <c r="K1" s="1176"/>
      <c r="L1" s="1176"/>
      <c r="M1" s="1176"/>
      <c r="N1" s="1176"/>
      <c r="O1" s="1176"/>
      <c r="P1" s="1176"/>
      <c r="Q1" s="1176"/>
      <c r="R1" s="1176"/>
      <c r="S1" s="1176"/>
      <c r="T1" s="1176"/>
      <c r="U1" s="1176"/>
      <c r="V1" s="1176"/>
      <c r="W1" s="1176"/>
      <c r="X1" s="1176"/>
      <c r="Y1" s="1176"/>
      <c r="Z1" s="1176"/>
      <c r="AA1" s="1176"/>
      <c r="AB1" s="1176"/>
      <c r="AC1" s="1176"/>
      <c r="AD1" s="1176"/>
      <c r="AE1" s="1176"/>
      <c r="AF1" s="1176"/>
      <c r="AG1" s="1176"/>
      <c r="AH1" s="1176"/>
      <c r="AI1" s="1176"/>
      <c r="AJ1" s="1176"/>
      <c r="AK1" s="1176"/>
      <c r="AL1" s="1176"/>
      <c r="AM1" s="1176"/>
      <c r="AN1" s="1176"/>
      <c r="AO1" s="1176"/>
      <c r="AP1" s="1176"/>
      <c r="AQ1" s="1176"/>
      <c r="AR1" s="1176"/>
      <c r="AS1" s="1176"/>
      <c r="AT1" s="1176"/>
      <c r="AU1" s="1176"/>
      <c r="AV1" s="1176"/>
      <c r="AW1" s="1176"/>
      <c r="AX1" s="1176"/>
      <c r="AY1" s="1176"/>
      <c r="AZ1" s="1176"/>
      <c r="BA1" s="1176"/>
      <c r="BB1" s="1176"/>
      <c r="BC1" s="1176"/>
      <c r="BD1" s="1176"/>
      <c r="BE1" s="1176"/>
      <c r="BF1" s="1176"/>
      <c r="BG1" s="1176"/>
      <c r="BH1" s="1176"/>
      <c r="BI1" s="1176"/>
      <c r="BJ1" s="1176"/>
      <c r="BK1" s="1176"/>
      <c r="BL1" s="1176"/>
      <c r="BM1" s="1176"/>
      <c r="BN1" s="1176"/>
      <c r="BO1" s="1176"/>
      <c r="BP1" s="1176"/>
      <c r="BQ1" s="1176"/>
      <c r="BR1" s="1176"/>
      <c r="BS1" s="1176"/>
      <c r="BT1" s="1176"/>
      <c r="BU1" s="1176"/>
      <c r="BV1" s="1176"/>
      <c r="BW1" s="1176"/>
      <c r="BX1" s="1176"/>
      <c r="BY1" s="1176"/>
      <c r="BZ1" s="1176"/>
      <c r="CA1" s="1176"/>
      <c r="CB1" s="1176"/>
      <c r="CC1" s="1176"/>
      <c r="CD1" s="1176"/>
      <c r="CE1" s="1176"/>
      <c r="CF1" s="1176"/>
      <c r="CG1" s="1176"/>
      <c r="CH1" s="1176"/>
      <c r="CI1" s="1176"/>
      <c r="CJ1" s="1176"/>
      <c r="CK1" s="1176"/>
      <c r="CL1" s="1176"/>
      <c r="CM1" s="1176"/>
      <c r="CN1" s="1176"/>
      <c r="CO1" s="1176"/>
      <c r="CP1" s="1176"/>
      <c r="CQ1" s="1176"/>
      <c r="CR1" s="1176"/>
      <c r="CS1" s="1176"/>
      <c r="CT1" s="1176"/>
      <c r="CU1" s="1176"/>
      <c r="CV1" s="1176"/>
      <c r="CW1" s="1176"/>
      <c r="CX1" s="1176"/>
      <c r="CY1" s="1176"/>
      <c r="CZ1" s="1176"/>
      <c r="DA1" s="1176"/>
      <c r="DB1" s="1176"/>
      <c r="DC1" s="1176"/>
      <c r="DD1" s="1176"/>
      <c r="DE1" s="1176"/>
      <c r="DF1" s="1176"/>
      <c r="DG1" s="1176"/>
      <c r="DH1" s="1176"/>
      <c r="DI1" s="1176"/>
      <c r="DJ1" s="1176"/>
      <c r="DK1" s="1176"/>
      <c r="DL1" s="1176"/>
      <c r="IG1" s="752"/>
      <c r="IH1" s="752"/>
    </row>
    <row r="2" spans="1:242" s="751" customFormat="1" ht="13" x14ac:dyDescent="0.35">
      <c r="A2" s="1176"/>
      <c r="B2" s="1176"/>
      <c r="C2" s="1176"/>
      <c r="D2" s="1176"/>
      <c r="E2" s="1177" t="s">
        <v>411</v>
      </c>
      <c r="F2" s="1177"/>
      <c r="G2" s="1177"/>
      <c r="H2" s="1177"/>
      <c r="I2" s="1177"/>
      <c r="J2" s="1176"/>
      <c r="K2" s="1176"/>
      <c r="L2" s="1176"/>
      <c r="M2" s="1176"/>
      <c r="N2" s="1176"/>
      <c r="O2" s="1176"/>
      <c r="P2" s="1176"/>
      <c r="Q2" s="1176"/>
      <c r="R2" s="1176"/>
      <c r="S2" s="1176"/>
      <c r="T2" s="1176"/>
      <c r="U2" s="1176"/>
      <c r="V2" s="1176"/>
      <c r="W2" s="1176"/>
      <c r="X2" s="1176"/>
      <c r="Y2" s="1176"/>
      <c r="Z2" s="1176"/>
      <c r="AA2" s="1176"/>
      <c r="AB2" s="1176"/>
      <c r="AC2" s="1176"/>
      <c r="AD2" s="1176"/>
      <c r="AE2" s="1176"/>
      <c r="AF2" s="1176"/>
      <c r="AG2" s="1176"/>
      <c r="AH2" s="1176"/>
      <c r="AI2" s="1176"/>
      <c r="AJ2" s="1176"/>
      <c r="AK2" s="1176"/>
      <c r="AL2" s="1176"/>
      <c r="AM2" s="1176"/>
      <c r="AN2" s="1176"/>
      <c r="AO2" s="1176"/>
      <c r="AP2" s="1176"/>
      <c r="AQ2" s="1176"/>
      <c r="AR2" s="1176"/>
      <c r="AS2" s="1176"/>
      <c r="AT2" s="1176"/>
      <c r="AU2" s="1176"/>
      <c r="AV2" s="1176"/>
      <c r="AW2" s="1176"/>
      <c r="AX2" s="1176"/>
      <c r="AY2" s="1176"/>
      <c r="AZ2" s="1176"/>
      <c r="BA2" s="1176"/>
      <c r="BB2" s="1176"/>
      <c r="BC2" s="1176"/>
      <c r="BD2" s="1176"/>
      <c r="BE2" s="1176"/>
      <c r="BF2" s="1176"/>
      <c r="BG2" s="1176"/>
      <c r="BH2" s="1176"/>
      <c r="BI2" s="1176"/>
      <c r="BJ2" s="1176"/>
      <c r="BK2" s="1176"/>
      <c r="BL2" s="1176"/>
      <c r="BM2" s="1176"/>
      <c r="BN2" s="1176"/>
      <c r="BO2" s="1176"/>
      <c r="BP2" s="1176"/>
      <c r="BQ2" s="1176"/>
      <c r="BR2" s="1176"/>
      <c r="BS2" s="1176"/>
      <c r="BT2" s="1176"/>
      <c r="BU2" s="1176"/>
      <c r="BV2" s="1176"/>
      <c r="BW2" s="1176"/>
      <c r="BX2" s="1176"/>
      <c r="BY2" s="1176"/>
      <c r="BZ2" s="1176"/>
      <c r="CA2" s="1176"/>
      <c r="CB2" s="1176"/>
      <c r="CC2" s="1176"/>
      <c r="CD2" s="1176"/>
      <c r="CE2" s="1176"/>
      <c r="CF2" s="1176"/>
      <c r="CG2" s="1176"/>
      <c r="CH2" s="1176"/>
      <c r="CI2" s="1176"/>
      <c r="CJ2" s="1176"/>
      <c r="CK2" s="1176"/>
      <c r="CL2" s="1176"/>
      <c r="CM2" s="1176"/>
      <c r="CN2" s="1176"/>
      <c r="CO2" s="1176"/>
      <c r="CP2" s="1176"/>
      <c r="CQ2" s="1176"/>
      <c r="CR2" s="1176"/>
      <c r="CS2" s="1176"/>
      <c r="CT2" s="1176"/>
      <c r="CU2" s="1176"/>
      <c r="CV2" s="1176"/>
      <c r="CW2" s="1176"/>
      <c r="CX2" s="1176"/>
      <c r="CY2" s="1176"/>
      <c r="CZ2" s="1176"/>
      <c r="DA2" s="1176"/>
      <c r="DB2" s="1176"/>
      <c r="DC2" s="1176"/>
      <c r="DD2" s="1176"/>
      <c r="DE2" s="1176"/>
      <c r="DF2" s="1176"/>
      <c r="DG2" s="1176"/>
      <c r="DH2" s="1176"/>
      <c r="DI2" s="1176"/>
      <c r="DJ2" s="1176"/>
      <c r="DK2" s="1176"/>
      <c r="DL2" s="1176"/>
      <c r="IG2" s="752"/>
      <c r="IH2" s="752"/>
    </row>
    <row r="3" spans="1:242" s="751" customFormat="1" ht="13" x14ac:dyDescent="0.35">
      <c r="A3" s="1176"/>
      <c r="B3" s="1178"/>
      <c r="C3" s="1176"/>
      <c r="D3" s="1176"/>
      <c r="E3" s="1176"/>
      <c r="F3" s="1176"/>
      <c r="G3" s="1176"/>
      <c r="H3" s="1176"/>
      <c r="I3" s="1176"/>
      <c r="J3" s="1176"/>
      <c r="K3" s="1176"/>
      <c r="L3" s="1176"/>
      <c r="M3" s="1176"/>
      <c r="N3" s="1176"/>
      <c r="O3" s="1176"/>
      <c r="P3" s="1176"/>
      <c r="Q3" s="1176"/>
      <c r="R3" s="1176"/>
      <c r="S3" s="1176"/>
      <c r="T3" s="1176"/>
      <c r="U3" s="1176"/>
      <c r="V3" s="1176"/>
      <c r="W3" s="1176"/>
      <c r="X3" s="1176"/>
      <c r="Y3" s="1176"/>
      <c r="Z3" s="1176"/>
      <c r="AA3" s="1176"/>
      <c r="AB3" s="1176"/>
      <c r="AC3" s="1176"/>
      <c r="AD3" s="1176"/>
      <c r="AE3" s="1176"/>
      <c r="AF3" s="1176"/>
      <c r="AG3" s="1176"/>
      <c r="AH3" s="1176"/>
      <c r="AI3" s="1176"/>
      <c r="AJ3" s="1176"/>
      <c r="AK3" s="1176"/>
      <c r="AL3" s="1176"/>
      <c r="AM3" s="1176"/>
      <c r="AN3" s="1176"/>
      <c r="AO3" s="1176"/>
      <c r="AP3" s="1176"/>
      <c r="AQ3" s="1176"/>
      <c r="AR3" s="1176"/>
      <c r="AS3" s="1176"/>
      <c r="AT3" s="1176"/>
      <c r="AU3" s="1176"/>
      <c r="AV3" s="1176"/>
      <c r="AW3" s="1176"/>
      <c r="AX3" s="1176"/>
      <c r="AY3" s="1176"/>
      <c r="AZ3" s="1176"/>
      <c r="BA3" s="1176"/>
      <c r="BB3" s="1176"/>
      <c r="BC3" s="1176"/>
      <c r="BD3" s="1176"/>
      <c r="BE3" s="1176"/>
      <c r="BF3" s="1176"/>
      <c r="BG3" s="1176"/>
      <c r="BH3" s="1176"/>
      <c r="BI3" s="1176"/>
      <c r="BJ3" s="1176"/>
      <c r="BK3" s="1176"/>
      <c r="BL3" s="1176"/>
      <c r="BM3" s="1176"/>
      <c r="BN3" s="1176"/>
      <c r="BO3" s="1176"/>
      <c r="BP3" s="1176"/>
      <c r="BQ3" s="1176"/>
      <c r="BR3" s="1176"/>
      <c r="BS3" s="1176"/>
      <c r="BT3" s="1176"/>
      <c r="BU3" s="1176"/>
      <c r="BV3" s="1176"/>
      <c r="BW3" s="1176"/>
      <c r="BX3" s="1176"/>
      <c r="BY3" s="1176"/>
      <c r="BZ3" s="1176"/>
      <c r="CA3" s="1176"/>
      <c r="CB3" s="1176"/>
      <c r="CC3" s="1176"/>
      <c r="CD3" s="1176"/>
      <c r="CE3" s="1176"/>
      <c r="CF3" s="1176"/>
      <c r="CG3" s="1176"/>
      <c r="CH3" s="1176"/>
      <c r="CI3" s="1176"/>
      <c r="CJ3" s="1176"/>
      <c r="CK3" s="1176"/>
      <c r="CL3" s="1176"/>
      <c r="CM3" s="1176"/>
      <c r="CN3" s="1176"/>
      <c r="CO3" s="1176"/>
      <c r="CP3" s="1176"/>
      <c r="CQ3" s="1176"/>
      <c r="CR3" s="1176"/>
      <c r="CS3" s="1176"/>
      <c r="CT3" s="1176"/>
      <c r="CU3" s="1176"/>
      <c r="CV3" s="1176"/>
      <c r="CW3" s="1176"/>
      <c r="CX3" s="1176"/>
      <c r="CY3" s="1176"/>
      <c r="CZ3" s="1176"/>
      <c r="DA3" s="1176"/>
      <c r="DB3" s="1176"/>
      <c r="DC3" s="1176"/>
      <c r="DD3" s="1176"/>
      <c r="DE3" s="1176"/>
      <c r="DF3" s="1176"/>
      <c r="DG3" s="1176"/>
      <c r="DH3" s="1176"/>
      <c r="DI3" s="1176"/>
      <c r="DJ3" s="1176"/>
      <c r="DK3" s="1176"/>
      <c r="DL3" s="1176"/>
      <c r="HX3" s="752"/>
      <c r="HY3" s="752"/>
      <c r="HZ3" s="752"/>
      <c r="IA3" s="752"/>
      <c r="IB3" s="752"/>
      <c r="IC3" s="752"/>
    </row>
    <row r="4" spans="1:242" s="751" customFormat="1" ht="18.75" customHeight="1" x14ac:dyDescent="0.35">
      <c r="A4" s="1176"/>
      <c r="B4" s="1178"/>
      <c r="C4" s="1176"/>
      <c r="D4" s="1179" t="s">
        <v>1</v>
      </c>
      <c r="E4" s="1180" t="str">
        <f>+'[1]B) Reajuste Tarifas y Ocupación'!F5</f>
        <v>(DEPTO./DELEG.)</v>
      </c>
      <c r="F4" s="1181"/>
      <c r="G4" s="1182"/>
      <c r="H4" s="1182"/>
      <c r="I4" s="1182"/>
      <c r="J4" s="1182"/>
      <c r="K4" s="1176"/>
      <c r="L4" s="1176"/>
      <c r="M4" s="1176"/>
      <c r="N4" s="1176"/>
      <c r="O4" s="1189"/>
      <c r="P4" s="1176"/>
      <c r="Q4" s="1176"/>
      <c r="R4" s="1176"/>
      <c r="S4" s="1176"/>
      <c r="T4" s="1176"/>
      <c r="U4" s="1176"/>
      <c r="V4" s="1176"/>
      <c r="W4" s="1176"/>
      <c r="X4" s="1176"/>
      <c r="Y4" s="1176"/>
      <c r="Z4" s="1176"/>
      <c r="AA4" s="1176"/>
      <c r="AB4" s="1176"/>
      <c r="AC4" s="1176"/>
      <c r="AD4" s="1176"/>
      <c r="AE4" s="1176"/>
      <c r="AF4" s="1176"/>
      <c r="AG4" s="1176"/>
      <c r="AH4" s="1176"/>
      <c r="AI4" s="1176"/>
      <c r="AJ4" s="1176"/>
      <c r="AK4" s="1176"/>
      <c r="AL4" s="1176"/>
      <c r="AM4" s="1176"/>
      <c r="AN4" s="1176"/>
      <c r="AO4" s="1176"/>
      <c r="AP4" s="1176"/>
      <c r="AQ4" s="1176"/>
      <c r="AR4" s="1176"/>
      <c r="AS4" s="1176"/>
      <c r="AT4" s="1176"/>
      <c r="AU4" s="1176"/>
      <c r="AV4" s="1176"/>
      <c r="AW4" s="1176"/>
      <c r="AX4" s="1176"/>
      <c r="AY4" s="1176"/>
      <c r="AZ4" s="1176"/>
      <c r="BA4" s="1176"/>
      <c r="BB4" s="1176"/>
      <c r="BC4" s="1176"/>
      <c r="BD4" s="1176"/>
      <c r="BE4" s="1176"/>
      <c r="BF4" s="1176"/>
      <c r="BG4" s="1176"/>
      <c r="BH4" s="1176"/>
      <c r="BI4" s="1176"/>
      <c r="BJ4" s="1176"/>
      <c r="BK4" s="1176"/>
      <c r="BL4" s="1176"/>
      <c r="BM4" s="1176"/>
      <c r="BN4" s="1176"/>
      <c r="BO4" s="1176"/>
      <c r="BP4" s="1176"/>
      <c r="BQ4" s="1176"/>
      <c r="BR4" s="1176"/>
      <c r="BS4" s="1176"/>
      <c r="BT4" s="1176"/>
      <c r="BU4" s="1176"/>
      <c r="BV4" s="1176"/>
      <c r="BW4" s="1176"/>
      <c r="BX4" s="1176"/>
      <c r="BY4" s="1176"/>
      <c r="BZ4" s="1176"/>
      <c r="CA4" s="1176"/>
      <c r="CB4" s="1176"/>
      <c r="CC4" s="1176"/>
      <c r="CD4" s="1176"/>
      <c r="CE4" s="1176"/>
      <c r="CF4" s="1176"/>
      <c r="CG4" s="1176"/>
      <c r="CH4" s="1176"/>
      <c r="CI4" s="1176"/>
      <c r="CJ4" s="1176"/>
      <c r="CK4" s="1176"/>
      <c r="CL4" s="1176"/>
      <c r="CM4" s="1176"/>
      <c r="CN4" s="1176"/>
      <c r="CO4" s="1176"/>
      <c r="CP4" s="1176"/>
      <c r="CQ4" s="1176"/>
      <c r="CR4" s="1176"/>
      <c r="CS4" s="1176"/>
      <c r="CT4" s="1176"/>
      <c r="CU4" s="1176"/>
      <c r="CV4" s="1176"/>
      <c r="CW4" s="1176"/>
      <c r="CX4" s="1176"/>
      <c r="CY4" s="1176"/>
      <c r="CZ4" s="1176"/>
      <c r="DA4" s="1176"/>
      <c r="DB4" s="1176"/>
      <c r="DC4" s="1176"/>
      <c r="DD4" s="1176"/>
      <c r="DE4" s="1176"/>
      <c r="DF4" s="1176"/>
      <c r="DG4" s="1176"/>
      <c r="DH4" s="1176"/>
      <c r="DI4" s="1176"/>
      <c r="DJ4" s="1176"/>
      <c r="DK4" s="1176"/>
      <c r="DL4" s="1176"/>
      <c r="HX4" s="752"/>
      <c r="HY4" s="752"/>
      <c r="HZ4" s="752"/>
      <c r="IA4" s="752"/>
      <c r="IB4" s="752"/>
      <c r="IC4" s="752"/>
    </row>
    <row r="5" spans="1:242" s="751" customFormat="1" ht="14.5" x14ac:dyDescent="0.35">
      <c r="A5" s="1176"/>
      <c r="B5" s="1178"/>
      <c r="C5" s="1176"/>
      <c r="D5" s="1183"/>
      <c r="E5" s="1177"/>
      <c r="F5" s="1177"/>
      <c r="G5" s="1177"/>
      <c r="H5" s="1177"/>
      <c r="I5" s="1177"/>
      <c r="J5" s="1177"/>
      <c r="K5" s="1176"/>
      <c r="L5" s="1176"/>
      <c r="M5" s="1176"/>
      <c r="N5" s="1176"/>
      <c r="O5" s="1189"/>
      <c r="P5" s="1176"/>
      <c r="Q5" s="1176"/>
      <c r="R5" s="1176"/>
      <c r="S5" s="1176"/>
      <c r="T5" s="1176"/>
      <c r="U5" s="1176"/>
      <c r="V5" s="1176"/>
      <c r="W5" s="1176"/>
      <c r="X5" s="1176"/>
      <c r="Y5" s="1176"/>
      <c r="Z5" s="1176"/>
      <c r="AA5" s="1176"/>
      <c r="AB5" s="1176"/>
      <c r="AC5" s="1176"/>
      <c r="AD5" s="1176"/>
      <c r="AE5" s="1176"/>
      <c r="AF5" s="1176"/>
      <c r="AG5" s="1176"/>
      <c r="AH5" s="1176"/>
      <c r="AI5" s="1176"/>
      <c r="AJ5" s="1176"/>
      <c r="AK5" s="1176"/>
      <c r="AL5" s="1176"/>
      <c r="AM5" s="1176"/>
      <c r="AN5" s="1176"/>
      <c r="AO5" s="1176"/>
      <c r="AP5" s="1176"/>
      <c r="AQ5" s="1176"/>
      <c r="AR5" s="1176"/>
      <c r="AS5" s="1176"/>
      <c r="AT5" s="1176"/>
      <c r="AU5" s="1176"/>
      <c r="AV5" s="1176"/>
      <c r="AW5" s="1176"/>
      <c r="AX5" s="1176"/>
      <c r="AY5" s="1176"/>
      <c r="AZ5" s="1176"/>
      <c r="BA5" s="1176"/>
      <c r="BB5" s="1176"/>
      <c r="BC5" s="1176"/>
      <c r="BD5" s="1176"/>
      <c r="BE5" s="1176"/>
      <c r="BF5" s="1176"/>
      <c r="BG5" s="1176"/>
      <c r="BH5" s="1176"/>
      <c r="BI5" s="1176"/>
      <c r="BJ5" s="1176"/>
      <c r="BK5" s="1176"/>
      <c r="BL5" s="1176"/>
      <c r="BM5" s="1176"/>
      <c r="BN5" s="1176"/>
      <c r="BO5" s="1176"/>
      <c r="BP5" s="1176"/>
      <c r="BQ5" s="1176"/>
      <c r="BR5" s="1176"/>
      <c r="BS5" s="1176"/>
      <c r="BT5" s="1176"/>
      <c r="BU5" s="1176"/>
      <c r="BV5" s="1176"/>
      <c r="BW5" s="1176"/>
      <c r="BX5" s="1176"/>
      <c r="BY5" s="1176"/>
      <c r="BZ5" s="1176"/>
      <c r="CA5" s="1176"/>
      <c r="CB5" s="1176"/>
      <c r="CC5" s="1176"/>
      <c r="CD5" s="1176"/>
      <c r="CE5" s="1176"/>
      <c r="CF5" s="1176"/>
      <c r="CG5" s="1176"/>
      <c r="CH5" s="1176"/>
      <c r="CI5" s="1176"/>
      <c r="CJ5" s="1176"/>
      <c r="CK5" s="1176"/>
      <c r="CL5" s="1176"/>
      <c r="CM5" s="1176"/>
      <c r="CN5" s="1176"/>
      <c r="CO5" s="1176"/>
      <c r="CP5" s="1176"/>
      <c r="CQ5" s="1176"/>
      <c r="CR5" s="1176"/>
      <c r="CS5" s="1176"/>
      <c r="CT5" s="1176"/>
      <c r="CU5" s="1176"/>
      <c r="CV5" s="1176"/>
      <c r="CW5" s="1176"/>
      <c r="CX5" s="1176"/>
      <c r="CY5" s="1176"/>
      <c r="CZ5" s="1176"/>
      <c r="DA5" s="1176"/>
      <c r="DB5" s="1176"/>
      <c r="DC5" s="1176"/>
      <c r="DD5" s="1176"/>
      <c r="DE5" s="1176"/>
      <c r="DF5" s="1176"/>
      <c r="DG5" s="1176"/>
      <c r="DH5" s="1176"/>
      <c r="DI5" s="1176"/>
      <c r="DJ5" s="1176"/>
      <c r="DK5" s="1176"/>
      <c r="DL5" s="1176"/>
      <c r="HX5" s="752"/>
      <c r="HY5" s="752"/>
      <c r="HZ5" s="752"/>
      <c r="IA5" s="752"/>
      <c r="IB5" s="752"/>
      <c r="IC5" s="752"/>
    </row>
    <row r="6" spans="1:242" s="751" customFormat="1" ht="15" thickBot="1" x14ac:dyDescent="0.4">
      <c r="A6" s="1176"/>
      <c r="B6" s="1178"/>
      <c r="C6" s="1176"/>
      <c r="D6" s="1183"/>
      <c r="E6" s="1177"/>
      <c r="F6" s="1177"/>
      <c r="G6" s="1177"/>
      <c r="H6" s="1177"/>
      <c r="I6" s="1177"/>
      <c r="J6" s="1177"/>
      <c r="K6" s="1176"/>
      <c r="L6" s="1176"/>
      <c r="M6" s="1176"/>
      <c r="N6" s="1176"/>
      <c r="O6" s="1189"/>
      <c r="P6" s="1176"/>
      <c r="Q6" s="1176"/>
      <c r="R6" s="1176"/>
      <c r="S6" s="1176"/>
      <c r="T6" s="1176"/>
      <c r="U6" s="1176"/>
      <c r="V6" s="1176"/>
      <c r="W6" s="1176"/>
      <c r="X6" s="1176"/>
      <c r="Y6" s="1176"/>
      <c r="Z6" s="1176"/>
      <c r="AA6" s="1176"/>
      <c r="AB6" s="1176"/>
      <c r="AC6" s="1176"/>
      <c r="AD6" s="1176"/>
      <c r="AE6" s="1176"/>
      <c r="AF6" s="1176"/>
      <c r="AG6" s="1176"/>
      <c r="AH6" s="1176"/>
      <c r="AI6" s="1176"/>
      <c r="AJ6" s="1176"/>
      <c r="AK6" s="1176"/>
      <c r="AL6" s="1176"/>
      <c r="AM6" s="1176"/>
      <c r="AN6" s="1176"/>
      <c r="AO6" s="1176"/>
      <c r="AP6" s="1176"/>
      <c r="AQ6" s="1176"/>
      <c r="AR6" s="1176"/>
      <c r="AS6" s="1176"/>
      <c r="AT6" s="1176"/>
      <c r="AU6" s="1176"/>
      <c r="AV6" s="1176"/>
      <c r="AW6" s="1176"/>
      <c r="AX6" s="1176"/>
      <c r="AY6" s="1176"/>
      <c r="AZ6" s="1176"/>
      <c r="BA6" s="1176"/>
      <c r="BB6" s="1176"/>
      <c r="BC6" s="1176"/>
      <c r="BD6" s="1176"/>
      <c r="BE6" s="1176"/>
      <c r="BF6" s="1176"/>
      <c r="BG6" s="1176"/>
      <c r="BH6" s="1176"/>
      <c r="BI6" s="1176"/>
      <c r="BJ6" s="1176"/>
      <c r="BK6" s="1176"/>
      <c r="BL6" s="1176"/>
      <c r="BM6" s="1176"/>
      <c r="BN6" s="1176"/>
      <c r="BO6" s="1176"/>
      <c r="BP6" s="1176"/>
      <c r="BQ6" s="1176"/>
      <c r="BR6" s="1176"/>
      <c r="BS6" s="1176"/>
      <c r="BT6" s="1176"/>
      <c r="BU6" s="1176"/>
      <c r="BV6" s="1176"/>
      <c r="BW6" s="1176"/>
      <c r="BX6" s="1176"/>
      <c r="BY6" s="1176"/>
      <c r="BZ6" s="1176"/>
      <c r="CA6" s="1176"/>
      <c r="CB6" s="1176"/>
      <c r="CC6" s="1176"/>
      <c r="CD6" s="1176"/>
      <c r="CE6" s="1176"/>
      <c r="CF6" s="1176"/>
      <c r="CG6" s="1176"/>
      <c r="CH6" s="1176"/>
      <c r="CI6" s="1176"/>
      <c r="CJ6" s="1176"/>
      <c r="CK6" s="1176"/>
      <c r="CL6" s="1176"/>
      <c r="CM6" s="1176"/>
      <c r="CN6" s="1176"/>
      <c r="CO6" s="1176"/>
      <c r="CP6" s="1176"/>
      <c r="CQ6" s="1176"/>
      <c r="CR6" s="1176"/>
      <c r="CS6" s="1176"/>
      <c r="CT6" s="1176"/>
      <c r="CU6" s="1176"/>
      <c r="CV6" s="1176"/>
      <c r="CW6" s="1176"/>
      <c r="CX6" s="1176"/>
      <c r="CY6" s="1176"/>
      <c r="CZ6" s="1176"/>
      <c r="DA6" s="1176"/>
      <c r="DB6" s="1176"/>
      <c r="DC6" s="1176"/>
      <c r="DD6" s="1176"/>
      <c r="DE6" s="1176"/>
      <c r="DF6" s="1176"/>
      <c r="DG6" s="1176"/>
      <c r="DH6" s="1176"/>
      <c r="DI6" s="1176"/>
      <c r="DJ6" s="1176"/>
      <c r="DK6" s="1176"/>
      <c r="DL6" s="1176"/>
      <c r="HX6" s="752"/>
      <c r="HY6" s="752"/>
      <c r="HZ6" s="752"/>
      <c r="IA6" s="752"/>
      <c r="IB6" s="752"/>
      <c r="IC6" s="752"/>
    </row>
    <row r="7" spans="1:242" ht="13" x14ac:dyDescent="0.25">
      <c r="A7" s="1184"/>
      <c r="B7" s="1185"/>
      <c r="C7" s="1185"/>
      <c r="D7" s="1185"/>
      <c r="E7" s="1185"/>
      <c r="F7" s="1185"/>
      <c r="G7" s="1185"/>
      <c r="H7" s="1185"/>
      <c r="I7" s="1185"/>
      <c r="J7" s="1186"/>
      <c r="K7" s="1186"/>
      <c r="L7" s="1186"/>
      <c r="M7" s="755"/>
      <c r="N7" s="755"/>
      <c r="O7" s="755"/>
      <c r="P7" s="755"/>
      <c r="Q7" s="755"/>
      <c r="R7" s="755"/>
      <c r="Y7" s="756"/>
      <c r="Z7" s="757"/>
      <c r="AA7" s="757"/>
      <c r="AB7" s="757"/>
      <c r="AC7" s="757"/>
      <c r="AD7" s="757"/>
      <c r="AE7" s="757"/>
      <c r="AF7" s="757"/>
      <c r="AG7" s="757"/>
      <c r="AH7" s="757"/>
      <c r="AI7" s="757"/>
      <c r="AJ7" s="757"/>
      <c r="AK7" s="757"/>
      <c r="AL7" s="757"/>
      <c r="AM7" s="757"/>
      <c r="AN7" s="757"/>
      <c r="AO7" s="757"/>
      <c r="AP7" s="757"/>
      <c r="AQ7" s="757"/>
      <c r="AR7" s="757"/>
      <c r="AS7" s="757"/>
      <c r="AT7" s="758"/>
    </row>
    <row r="8" spans="1:242" ht="13" x14ac:dyDescent="0.25">
      <c r="A8" s="1184"/>
      <c r="B8" s="1185"/>
      <c r="C8" s="1185"/>
      <c r="D8" s="1185"/>
      <c r="E8" s="1185"/>
      <c r="F8" s="1185"/>
      <c r="G8" s="1185"/>
      <c r="H8" s="1185"/>
      <c r="I8" s="1185"/>
      <c r="J8" s="1186"/>
      <c r="K8" s="1186"/>
      <c r="L8" s="1186"/>
      <c r="M8" s="755"/>
      <c r="N8" s="755"/>
      <c r="O8" s="755"/>
      <c r="P8" s="755"/>
      <c r="Q8" s="755"/>
      <c r="R8" s="755"/>
      <c r="Y8" s="759"/>
      <c r="AT8" s="760"/>
    </row>
    <row r="9" spans="1:242" ht="15.75" customHeight="1" x14ac:dyDescent="0.25">
      <c r="A9" s="1558" t="s">
        <v>379</v>
      </c>
      <c r="B9" s="1558"/>
      <c r="C9" s="1558"/>
      <c r="D9" s="1558"/>
      <c r="E9" s="1558"/>
      <c r="F9" s="1558"/>
      <c r="G9" s="1558"/>
      <c r="H9" s="1558"/>
      <c r="I9" s="1187"/>
      <c r="J9" s="1187"/>
      <c r="K9" s="1187"/>
      <c r="L9" s="1187"/>
      <c r="M9" s="1523" t="s">
        <v>380</v>
      </c>
      <c r="N9" s="1523"/>
      <c r="O9" s="1523"/>
      <c r="P9" s="1523"/>
      <c r="Q9" s="1523"/>
      <c r="R9" s="1523"/>
      <c r="S9" s="1523"/>
      <c r="U9" s="1523" t="s">
        <v>381</v>
      </c>
      <c r="V9" s="1523"/>
      <c r="W9" s="1523"/>
      <c r="X9" s="761"/>
      <c r="Y9" s="762"/>
      <c r="Z9" s="1523" t="s">
        <v>382</v>
      </c>
      <c r="AA9" s="1523"/>
      <c r="AB9" s="1523"/>
      <c r="AC9" s="1523"/>
      <c r="AD9" s="1523"/>
      <c r="AE9" s="1523"/>
      <c r="AF9" s="761"/>
      <c r="AG9" s="1523" t="s">
        <v>383</v>
      </c>
      <c r="AH9" s="1523"/>
      <c r="AI9" s="1523"/>
      <c r="AJ9" s="1523"/>
      <c r="AK9" s="1523"/>
      <c r="AL9" s="1523"/>
      <c r="AN9" s="1523" t="s">
        <v>194</v>
      </c>
      <c r="AO9" s="1523"/>
      <c r="AP9" s="1523"/>
      <c r="AQ9" s="1523"/>
      <c r="AR9" s="1523"/>
      <c r="AS9" s="1523"/>
      <c r="AT9" s="760"/>
    </row>
    <row r="10" spans="1:242" ht="13.5" customHeight="1" x14ac:dyDescent="0.25">
      <c r="A10" s="1184"/>
      <c r="B10" s="1178"/>
      <c r="C10" s="1183"/>
      <c r="D10" s="1183"/>
      <c r="E10" s="1177"/>
      <c r="F10" s="1177"/>
      <c r="G10" s="1177"/>
      <c r="H10" s="1177"/>
      <c r="I10" s="1177"/>
      <c r="J10" s="1177"/>
      <c r="K10" s="1184"/>
      <c r="L10" s="1184"/>
      <c r="M10" s="1523"/>
      <c r="N10" s="1523"/>
      <c r="O10" s="1523"/>
      <c r="P10" s="1523"/>
      <c r="Q10" s="1523"/>
      <c r="R10" s="1523"/>
      <c r="S10" s="1523"/>
      <c r="U10" s="1523"/>
      <c r="V10" s="1523"/>
      <c r="W10" s="1523"/>
      <c r="Y10" s="759"/>
      <c r="Z10" s="1523"/>
      <c r="AA10" s="1523"/>
      <c r="AB10" s="1523"/>
      <c r="AC10" s="1523"/>
      <c r="AD10" s="1523"/>
      <c r="AE10" s="1523"/>
      <c r="AG10" s="1523"/>
      <c r="AH10" s="1523"/>
      <c r="AI10" s="1523"/>
      <c r="AJ10" s="1523"/>
      <c r="AK10" s="1523"/>
      <c r="AL10" s="1523"/>
      <c r="AN10" s="1523"/>
      <c r="AO10" s="1523"/>
      <c r="AP10" s="1523"/>
      <c r="AQ10" s="1523"/>
      <c r="AR10" s="1523"/>
      <c r="AS10" s="1523"/>
      <c r="AT10" s="760"/>
    </row>
    <row r="11" spans="1:242" ht="13" x14ac:dyDescent="0.25">
      <c r="A11" s="1184"/>
      <c r="B11" s="1184"/>
      <c r="C11" s="1184"/>
      <c r="D11" s="1184"/>
      <c r="E11" s="1184"/>
      <c r="F11" s="1184"/>
      <c r="G11" s="1184"/>
      <c r="H11" s="1184"/>
      <c r="I11" s="1184"/>
      <c r="J11" s="1270" t="s">
        <v>23</v>
      </c>
      <c r="K11" s="1188">
        <v>4.4999999999999998E-2</v>
      </c>
      <c r="L11" s="1184"/>
      <c r="Y11" s="759"/>
      <c r="AT11" s="760"/>
    </row>
    <row r="12" spans="1:242" ht="12.75" customHeight="1" thickBot="1" x14ac:dyDescent="0.3">
      <c r="A12" s="1184"/>
      <c r="B12" s="1184"/>
      <c r="C12" s="1184"/>
      <c r="D12" s="1184"/>
      <c r="E12" s="1184"/>
      <c r="F12" s="1184"/>
      <c r="G12" s="1184"/>
      <c r="H12" s="1184"/>
      <c r="I12" s="1184"/>
      <c r="J12" s="1184"/>
      <c r="K12" s="1184"/>
      <c r="L12" s="1184"/>
      <c r="M12" s="1559"/>
      <c r="N12" s="1559"/>
      <c r="O12" s="1559"/>
      <c r="P12" s="1559"/>
      <c r="Q12" s="1559"/>
      <c r="R12" s="1559"/>
      <c r="Y12" s="759"/>
      <c r="AT12" s="760"/>
    </row>
    <row r="13" spans="1:242" ht="21.75" customHeight="1" x14ac:dyDescent="0.25">
      <c r="A13" s="1560" t="s">
        <v>384</v>
      </c>
      <c r="B13" s="1561"/>
      <c r="C13" s="1552" t="s">
        <v>180</v>
      </c>
      <c r="D13" s="1552" t="s">
        <v>181</v>
      </c>
      <c r="E13" s="1530" t="s">
        <v>182</v>
      </c>
      <c r="F13" s="1530" t="s">
        <v>72</v>
      </c>
      <c r="G13" s="1564" t="s">
        <v>402</v>
      </c>
      <c r="H13" s="1565"/>
      <c r="I13" s="1565"/>
      <c r="J13" s="1566"/>
      <c r="K13" s="1539" t="s">
        <v>403</v>
      </c>
      <c r="L13" s="755"/>
      <c r="M13" s="1524" t="s">
        <v>192</v>
      </c>
      <c r="N13" s="1567"/>
      <c r="O13" s="1526" t="s">
        <v>193</v>
      </c>
      <c r="P13" s="1527"/>
      <c r="Q13" s="1574" t="s">
        <v>191</v>
      </c>
      <c r="R13" s="1574"/>
      <c r="S13" s="1532" t="s">
        <v>187</v>
      </c>
      <c r="U13" s="1534" t="s">
        <v>95</v>
      </c>
      <c r="V13" s="1536" t="s">
        <v>96</v>
      </c>
      <c r="W13" s="1538" t="s">
        <v>404</v>
      </c>
      <c r="Y13" s="759"/>
      <c r="Z13" s="1554" t="s">
        <v>192</v>
      </c>
      <c r="AA13" s="1555"/>
      <c r="AB13" s="1556" t="s">
        <v>193</v>
      </c>
      <c r="AC13" s="1557"/>
      <c r="AD13" s="1541" t="s">
        <v>191</v>
      </c>
      <c r="AE13" s="1542"/>
      <c r="AG13" s="1524" t="s">
        <v>192</v>
      </c>
      <c r="AH13" s="1525"/>
      <c r="AI13" s="1526" t="s">
        <v>193</v>
      </c>
      <c r="AJ13" s="1527"/>
      <c r="AK13" s="1528" t="s">
        <v>191</v>
      </c>
      <c r="AL13" s="1529"/>
      <c r="AN13" s="1524" t="s">
        <v>192</v>
      </c>
      <c r="AO13" s="1525"/>
      <c r="AP13" s="1526" t="s">
        <v>193</v>
      </c>
      <c r="AQ13" s="1527"/>
      <c r="AR13" s="1528" t="s">
        <v>191</v>
      </c>
      <c r="AS13" s="1529"/>
      <c r="AT13" s="760"/>
    </row>
    <row r="14" spans="1:242" ht="39.5" thickBot="1" x14ac:dyDescent="0.3">
      <c r="A14" s="1562"/>
      <c r="B14" s="1563"/>
      <c r="C14" s="1553"/>
      <c r="D14" s="1553"/>
      <c r="E14" s="1531"/>
      <c r="F14" s="1531"/>
      <c r="G14" s="763" t="s">
        <v>385</v>
      </c>
      <c r="H14" s="764" t="s">
        <v>183</v>
      </c>
      <c r="I14" s="763" t="s">
        <v>184</v>
      </c>
      <c r="J14" s="765" t="s">
        <v>410</v>
      </c>
      <c r="K14" s="1540"/>
      <c r="L14" s="755"/>
      <c r="M14" s="766" t="s">
        <v>185</v>
      </c>
      <c r="N14" s="767" t="s">
        <v>186</v>
      </c>
      <c r="O14" s="768" t="s">
        <v>185</v>
      </c>
      <c r="P14" s="769" t="s">
        <v>186</v>
      </c>
      <c r="Q14" s="770" t="s">
        <v>185</v>
      </c>
      <c r="R14" s="771" t="s">
        <v>186</v>
      </c>
      <c r="S14" s="1533"/>
      <c r="U14" s="1535"/>
      <c r="V14" s="1537"/>
      <c r="W14" s="1538"/>
      <c r="Y14" s="759"/>
      <c r="Z14" s="772" t="s">
        <v>185</v>
      </c>
      <c r="AA14" s="767" t="s">
        <v>186</v>
      </c>
      <c r="AB14" s="773" t="s">
        <v>185</v>
      </c>
      <c r="AC14" s="769" t="s">
        <v>186</v>
      </c>
      <c r="AD14" s="774" t="s">
        <v>185</v>
      </c>
      <c r="AE14" s="775" t="s">
        <v>186</v>
      </c>
      <c r="AG14" s="766" t="s">
        <v>185</v>
      </c>
      <c r="AH14" s="776" t="s">
        <v>186</v>
      </c>
      <c r="AI14" s="768" t="s">
        <v>185</v>
      </c>
      <c r="AJ14" s="777" t="s">
        <v>186</v>
      </c>
      <c r="AK14" s="778" t="s">
        <v>185</v>
      </c>
      <c r="AL14" s="779" t="s">
        <v>186</v>
      </c>
      <c r="AN14" s="1543" t="s">
        <v>195</v>
      </c>
      <c r="AO14" s="1544"/>
      <c r="AP14" s="1545" t="s">
        <v>195</v>
      </c>
      <c r="AQ14" s="1546"/>
      <c r="AR14" s="1547" t="s">
        <v>196</v>
      </c>
      <c r="AS14" s="1548"/>
      <c r="AT14" s="760"/>
    </row>
    <row r="15" spans="1:242" ht="12.75" customHeight="1" thickBot="1" x14ac:dyDescent="0.3">
      <c r="A15" s="1581" t="s">
        <v>173</v>
      </c>
      <c r="B15" s="1583" t="s">
        <v>175</v>
      </c>
      <c r="C15" s="780" t="s">
        <v>341</v>
      </c>
      <c r="D15" s="781" t="s">
        <v>342</v>
      </c>
      <c r="E15" s="782" t="s">
        <v>343</v>
      </c>
      <c r="F15" s="783" t="s">
        <v>344</v>
      </c>
      <c r="G15" s="1292">
        <v>31830436</v>
      </c>
      <c r="H15" s="1292">
        <v>199557</v>
      </c>
      <c r="I15" s="1293">
        <v>161212</v>
      </c>
      <c r="J15" s="1286">
        <f>SUM(G15:I15)</f>
        <v>32191205</v>
      </c>
      <c r="K15" s="784">
        <f>+J15*(1+$K$11)</f>
        <v>33639809.224999994</v>
      </c>
      <c r="L15" s="755"/>
      <c r="M15" s="785">
        <v>0.55000000000000004</v>
      </c>
      <c r="N15" s="786">
        <f t="shared" ref="N15:N61" si="0">+$K15*M15</f>
        <v>18501895.073749997</v>
      </c>
      <c r="O15" s="785"/>
      <c r="P15" s="786">
        <f t="shared" ref="P15:P61" si="1">+$K15*O15</f>
        <v>0</v>
      </c>
      <c r="Q15" s="787"/>
      <c r="R15" s="786">
        <f t="shared" ref="R15:R61" si="2">+$K15*Q15</f>
        <v>0</v>
      </c>
      <c r="S15" s="788">
        <f>+M15+O15+Q15</f>
        <v>0.55000000000000004</v>
      </c>
      <c r="U15" s="789"/>
      <c r="V15" s="790" t="s">
        <v>103</v>
      </c>
      <c r="W15" s="791">
        <f>SUM(W16,W20)</f>
        <v>19018000</v>
      </c>
      <c r="Y15" s="759"/>
      <c r="Z15" s="792">
        <f t="shared" ref="Z15:AE15" si="3">+M62</f>
        <v>0.55000000000000004</v>
      </c>
      <c r="AA15" s="793">
        <f t="shared" si="3"/>
        <v>67393489.487499997</v>
      </c>
      <c r="AB15" s="792">
        <f t="shared" si="3"/>
        <v>0</v>
      </c>
      <c r="AC15" s="794">
        <f t="shared" si="3"/>
        <v>0</v>
      </c>
      <c r="AD15" s="795">
        <f t="shared" si="3"/>
        <v>0</v>
      </c>
      <c r="AE15" s="794">
        <f t="shared" si="3"/>
        <v>0</v>
      </c>
      <c r="AG15" s="796">
        <f>+Z15</f>
        <v>0.55000000000000004</v>
      </c>
      <c r="AH15" s="797">
        <f>+AG15*W80</f>
        <v>19644900</v>
      </c>
      <c r="AI15" s="798">
        <f>+AB15</f>
        <v>0</v>
      </c>
      <c r="AJ15" s="797">
        <f>+AI15*W80</f>
        <v>0</v>
      </c>
      <c r="AK15" s="799">
        <f>+AD15</f>
        <v>0</v>
      </c>
      <c r="AL15" s="800">
        <f>+AK15*W80</f>
        <v>0</v>
      </c>
      <c r="AN15" s="1549">
        <f>+AH15+AA15+K78</f>
        <v>87038389.487499997</v>
      </c>
      <c r="AO15" s="1550"/>
      <c r="AP15" s="1549">
        <f>+AJ15+AC15+K70</f>
        <v>0</v>
      </c>
      <c r="AQ15" s="1550"/>
      <c r="AR15" s="1549">
        <f>+AL15+AE15+K85</f>
        <v>0</v>
      </c>
      <c r="AS15" s="1551"/>
      <c r="AT15" s="760"/>
    </row>
    <row r="16" spans="1:242" ht="14.5" x14ac:dyDescent="0.25">
      <c r="A16" s="1581"/>
      <c r="B16" s="1584"/>
      <c r="C16" s="801" t="s">
        <v>345</v>
      </c>
      <c r="D16" s="802" t="s">
        <v>346</v>
      </c>
      <c r="E16" s="803" t="s">
        <v>347</v>
      </c>
      <c r="F16" s="804" t="s">
        <v>344</v>
      </c>
      <c r="G16" s="1294">
        <v>13198440</v>
      </c>
      <c r="H16" s="1294">
        <v>320040</v>
      </c>
      <c r="I16" s="1295">
        <v>162000</v>
      </c>
      <c r="J16" s="807">
        <f t="shared" ref="J16:J69" si="4">SUM(G16:I16)</f>
        <v>13680480</v>
      </c>
      <c r="K16" s="808">
        <f t="shared" ref="K16:K69" si="5">+J16*(1+$K$11)</f>
        <v>14296101.6</v>
      </c>
      <c r="L16" s="755"/>
      <c r="M16" s="809">
        <v>0.55000000000000004</v>
      </c>
      <c r="N16" s="810">
        <f t="shared" si="0"/>
        <v>7862855.8800000008</v>
      </c>
      <c r="O16" s="809"/>
      <c r="P16" s="810">
        <f t="shared" si="1"/>
        <v>0</v>
      </c>
      <c r="Q16" s="811"/>
      <c r="R16" s="810">
        <f t="shared" si="2"/>
        <v>0</v>
      </c>
      <c r="S16" s="788">
        <f t="shared" ref="S16:S61" si="6">+M16+O16+Q16</f>
        <v>0.55000000000000004</v>
      </c>
      <c r="U16" s="812"/>
      <c r="V16" s="813" t="s">
        <v>104</v>
      </c>
      <c r="W16" s="814">
        <f>SUM(W17:W19)</f>
        <v>600000</v>
      </c>
      <c r="Y16" s="759"/>
      <c r="AT16" s="760"/>
    </row>
    <row r="17" spans="1:46" ht="12.75" customHeight="1" x14ac:dyDescent="0.25">
      <c r="A17" s="1581"/>
      <c r="B17" s="1584"/>
      <c r="C17" s="801" t="s">
        <v>348</v>
      </c>
      <c r="D17" s="802" t="s">
        <v>349</v>
      </c>
      <c r="E17" s="803" t="s">
        <v>350</v>
      </c>
      <c r="F17" s="804" t="s">
        <v>344</v>
      </c>
      <c r="G17" s="1294">
        <v>10644955</v>
      </c>
      <c r="H17" s="1294">
        <v>320040</v>
      </c>
      <c r="I17" s="1295">
        <v>162000</v>
      </c>
      <c r="J17" s="807">
        <f t="shared" si="4"/>
        <v>11126995</v>
      </c>
      <c r="K17" s="808">
        <f t="shared" si="5"/>
        <v>11627709.774999999</v>
      </c>
      <c r="L17" s="755"/>
      <c r="M17" s="809">
        <v>0.55000000000000004</v>
      </c>
      <c r="N17" s="810">
        <f t="shared" si="0"/>
        <v>6395240.3762499997</v>
      </c>
      <c r="O17" s="809"/>
      <c r="P17" s="810">
        <f t="shared" si="1"/>
        <v>0</v>
      </c>
      <c r="Q17" s="811"/>
      <c r="R17" s="810">
        <f t="shared" si="2"/>
        <v>0</v>
      </c>
      <c r="S17" s="788">
        <f t="shared" si="6"/>
        <v>0.55000000000000004</v>
      </c>
      <c r="U17" s="815">
        <v>53103050000000</v>
      </c>
      <c r="V17" s="816" t="s">
        <v>106</v>
      </c>
      <c r="W17" s="817">
        <v>0</v>
      </c>
      <c r="Y17" s="759"/>
      <c r="AT17" s="760"/>
    </row>
    <row r="18" spans="1:46" ht="13.5" customHeight="1" thickBot="1" x14ac:dyDescent="0.3">
      <c r="A18" s="1581"/>
      <c r="B18" s="1584"/>
      <c r="C18" s="801" t="s">
        <v>351</v>
      </c>
      <c r="D18" s="802" t="s">
        <v>352</v>
      </c>
      <c r="E18" s="803" t="s">
        <v>353</v>
      </c>
      <c r="F18" s="804" t="s">
        <v>344</v>
      </c>
      <c r="G18" s="1294">
        <v>9665725</v>
      </c>
      <c r="H18" s="1294">
        <v>320040</v>
      </c>
      <c r="I18" s="1295">
        <v>162000</v>
      </c>
      <c r="J18" s="807">
        <f t="shared" si="4"/>
        <v>10147765</v>
      </c>
      <c r="K18" s="808">
        <f t="shared" si="5"/>
        <v>10604414.424999999</v>
      </c>
      <c r="L18" s="755"/>
      <c r="M18" s="809">
        <v>0.55000000000000004</v>
      </c>
      <c r="N18" s="810">
        <f t="shared" si="0"/>
        <v>5832427.9337499999</v>
      </c>
      <c r="O18" s="809"/>
      <c r="P18" s="810">
        <f t="shared" si="1"/>
        <v>0</v>
      </c>
      <c r="Q18" s="811"/>
      <c r="R18" s="810">
        <f t="shared" si="2"/>
        <v>0</v>
      </c>
      <c r="S18" s="788">
        <f t="shared" si="6"/>
        <v>0.55000000000000004</v>
      </c>
      <c r="U18" s="815">
        <v>53103060000000</v>
      </c>
      <c r="V18" s="816" t="s">
        <v>107</v>
      </c>
      <c r="W18" s="817">
        <v>0</v>
      </c>
      <c r="Y18" s="818"/>
      <c r="Z18" s="819"/>
      <c r="AA18" s="819"/>
      <c r="AB18" s="819"/>
      <c r="AC18" s="819"/>
      <c r="AD18" s="819"/>
      <c r="AE18" s="819"/>
      <c r="AF18" s="819"/>
      <c r="AG18" s="819"/>
      <c r="AH18" s="819"/>
      <c r="AI18" s="819"/>
      <c r="AJ18" s="819"/>
      <c r="AK18" s="819"/>
      <c r="AL18" s="819"/>
      <c r="AM18" s="819"/>
      <c r="AN18" s="819"/>
      <c r="AO18" s="819"/>
      <c r="AP18" s="819"/>
      <c r="AQ18" s="819"/>
      <c r="AR18" s="819"/>
      <c r="AS18" s="819"/>
      <c r="AT18" s="820"/>
    </row>
    <row r="19" spans="1:46" ht="14.5" x14ac:dyDescent="0.25">
      <c r="A19" s="1581"/>
      <c r="B19" s="1584"/>
      <c r="C19" s="801" t="s">
        <v>430</v>
      </c>
      <c r="D19" s="802" t="s">
        <v>431</v>
      </c>
      <c r="E19" s="803" t="s">
        <v>354</v>
      </c>
      <c r="F19" s="804" t="s">
        <v>344</v>
      </c>
      <c r="G19" s="1294">
        <v>4494196</v>
      </c>
      <c r="H19" s="1294">
        <v>320040</v>
      </c>
      <c r="I19" s="1295">
        <v>164286</v>
      </c>
      <c r="J19" s="807">
        <f t="shared" si="4"/>
        <v>4978522</v>
      </c>
      <c r="K19" s="808">
        <f t="shared" si="5"/>
        <v>5202555.4899999993</v>
      </c>
      <c r="L19" s="755"/>
      <c r="M19" s="809">
        <v>0.55000000000000004</v>
      </c>
      <c r="N19" s="810">
        <f t="shared" si="0"/>
        <v>2861405.5194999999</v>
      </c>
      <c r="O19" s="809"/>
      <c r="P19" s="810">
        <f t="shared" si="1"/>
        <v>0</v>
      </c>
      <c r="Q19" s="811"/>
      <c r="R19" s="810">
        <f t="shared" si="2"/>
        <v>0</v>
      </c>
      <c r="S19" s="788">
        <f t="shared" si="6"/>
        <v>0.55000000000000004</v>
      </c>
      <c r="U19" s="815">
        <v>53103080010000</v>
      </c>
      <c r="V19" s="816" t="s">
        <v>108</v>
      </c>
      <c r="W19" s="817">
        <v>600000</v>
      </c>
    </row>
    <row r="20" spans="1:46" ht="14.5" x14ac:dyDescent="0.25">
      <c r="A20" s="1581"/>
      <c r="B20" s="1584"/>
      <c r="C20" s="801"/>
      <c r="D20" s="802"/>
      <c r="E20" s="803"/>
      <c r="F20" s="804"/>
      <c r="G20" s="1294"/>
      <c r="H20" s="1294"/>
      <c r="I20" s="1295"/>
      <c r="J20" s="807">
        <f t="shared" si="4"/>
        <v>0</v>
      </c>
      <c r="K20" s="808">
        <f t="shared" si="5"/>
        <v>0</v>
      </c>
      <c r="L20" s="755"/>
      <c r="M20" s="809"/>
      <c r="N20" s="810">
        <f t="shared" si="0"/>
        <v>0</v>
      </c>
      <c r="O20" s="809"/>
      <c r="P20" s="810">
        <f t="shared" si="1"/>
        <v>0</v>
      </c>
      <c r="Q20" s="811"/>
      <c r="R20" s="810">
        <f t="shared" si="2"/>
        <v>0</v>
      </c>
      <c r="S20" s="788">
        <f t="shared" si="6"/>
        <v>0</v>
      </c>
      <c r="U20" s="812"/>
      <c r="V20" s="813" t="s">
        <v>111</v>
      </c>
      <c r="W20" s="821">
        <f>SUM(W21:W39)</f>
        <v>18418000</v>
      </c>
    </row>
    <row r="21" spans="1:46" ht="14.5" x14ac:dyDescent="0.25">
      <c r="A21" s="1581"/>
      <c r="B21" s="1584"/>
      <c r="C21" s="801"/>
      <c r="D21" s="802"/>
      <c r="E21" s="803"/>
      <c r="F21" s="804"/>
      <c r="G21" s="1294"/>
      <c r="H21" s="1294"/>
      <c r="I21" s="1295"/>
      <c r="J21" s="807">
        <f t="shared" si="4"/>
        <v>0</v>
      </c>
      <c r="K21" s="808">
        <f t="shared" si="5"/>
        <v>0</v>
      </c>
      <c r="L21" s="755"/>
      <c r="M21" s="809"/>
      <c r="N21" s="810">
        <f t="shared" si="0"/>
        <v>0</v>
      </c>
      <c r="O21" s="809"/>
      <c r="P21" s="810">
        <f t="shared" si="1"/>
        <v>0</v>
      </c>
      <c r="Q21" s="811"/>
      <c r="R21" s="810">
        <f t="shared" si="2"/>
        <v>0</v>
      </c>
      <c r="S21" s="788">
        <f t="shared" si="6"/>
        <v>0</v>
      </c>
      <c r="U21" s="815">
        <v>53201010100000</v>
      </c>
      <c r="V21" s="816" t="s">
        <v>112</v>
      </c>
      <c r="W21" s="817">
        <v>4158000</v>
      </c>
    </row>
    <row r="22" spans="1:46" ht="14.5" x14ac:dyDescent="0.25">
      <c r="A22" s="1581"/>
      <c r="B22" s="1584"/>
      <c r="C22" s="801"/>
      <c r="D22" s="802"/>
      <c r="E22" s="803"/>
      <c r="F22" s="804"/>
      <c r="G22" s="1294"/>
      <c r="H22" s="1294"/>
      <c r="I22" s="1295"/>
      <c r="J22" s="807">
        <f t="shared" si="4"/>
        <v>0</v>
      </c>
      <c r="K22" s="808">
        <f t="shared" si="5"/>
        <v>0</v>
      </c>
      <c r="L22" s="755"/>
      <c r="M22" s="809"/>
      <c r="N22" s="810">
        <f t="shared" si="0"/>
        <v>0</v>
      </c>
      <c r="O22" s="809"/>
      <c r="P22" s="810">
        <f t="shared" si="1"/>
        <v>0</v>
      </c>
      <c r="Q22" s="811"/>
      <c r="R22" s="810">
        <f t="shared" si="2"/>
        <v>0</v>
      </c>
      <c r="S22" s="788">
        <f t="shared" si="6"/>
        <v>0</v>
      </c>
      <c r="U22" s="815">
        <v>53202010100000</v>
      </c>
      <c r="V22" s="816" t="s">
        <v>113</v>
      </c>
      <c r="W22" s="817">
        <v>0</v>
      </c>
    </row>
    <row r="23" spans="1:46" ht="14.5" x14ac:dyDescent="0.25">
      <c r="A23" s="1581"/>
      <c r="B23" s="1584"/>
      <c r="C23" s="801"/>
      <c r="D23" s="802"/>
      <c r="E23" s="803"/>
      <c r="F23" s="804"/>
      <c r="G23" s="1294"/>
      <c r="H23" s="1294"/>
      <c r="I23" s="1295"/>
      <c r="J23" s="807">
        <f t="shared" si="4"/>
        <v>0</v>
      </c>
      <c r="K23" s="808">
        <f t="shared" si="5"/>
        <v>0</v>
      </c>
      <c r="L23" s="755"/>
      <c r="M23" s="809"/>
      <c r="N23" s="810">
        <f t="shared" si="0"/>
        <v>0</v>
      </c>
      <c r="O23" s="809"/>
      <c r="P23" s="810">
        <f t="shared" si="1"/>
        <v>0</v>
      </c>
      <c r="Q23" s="811"/>
      <c r="R23" s="810">
        <f t="shared" si="2"/>
        <v>0</v>
      </c>
      <c r="S23" s="788">
        <f t="shared" si="6"/>
        <v>0</v>
      </c>
      <c r="U23" s="815">
        <v>53203010100000</v>
      </c>
      <c r="V23" s="816" t="s">
        <v>114</v>
      </c>
      <c r="W23" s="817">
        <v>3400000</v>
      </c>
    </row>
    <row r="24" spans="1:46" ht="15" thickBot="1" x14ac:dyDescent="0.3">
      <c r="A24" s="1581"/>
      <c r="B24" s="1585"/>
      <c r="C24" s="822"/>
      <c r="D24" s="823"/>
      <c r="E24" s="824"/>
      <c r="F24" s="825"/>
      <c r="G24" s="1296"/>
      <c r="H24" s="1296"/>
      <c r="I24" s="1297"/>
      <c r="J24" s="828">
        <f t="shared" si="4"/>
        <v>0</v>
      </c>
      <c r="K24" s="829">
        <f t="shared" si="5"/>
        <v>0</v>
      </c>
      <c r="L24" s="755"/>
      <c r="M24" s="830"/>
      <c r="N24" s="831">
        <f t="shared" si="0"/>
        <v>0</v>
      </c>
      <c r="O24" s="830"/>
      <c r="P24" s="831">
        <f t="shared" si="1"/>
        <v>0</v>
      </c>
      <c r="Q24" s="832"/>
      <c r="R24" s="831">
        <f t="shared" si="2"/>
        <v>0</v>
      </c>
      <c r="S24" s="833">
        <f t="shared" si="6"/>
        <v>0</v>
      </c>
      <c r="U24" s="815">
        <v>53203030000000</v>
      </c>
      <c r="V24" s="816" t="s">
        <v>115</v>
      </c>
      <c r="W24" s="817">
        <v>0</v>
      </c>
    </row>
    <row r="25" spans="1:46" ht="12.75" customHeight="1" x14ac:dyDescent="0.25">
      <c r="A25" s="1581"/>
      <c r="B25" s="1586" t="s">
        <v>176</v>
      </c>
      <c r="C25" s="834" t="s">
        <v>355</v>
      </c>
      <c r="D25" s="835" t="s">
        <v>356</v>
      </c>
      <c r="E25" s="836" t="s">
        <v>357</v>
      </c>
      <c r="F25" s="837" t="s">
        <v>344</v>
      </c>
      <c r="G25" s="1298">
        <v>25742376</v>
      </c>
      <c r="H25" s="1292">
        <v>199557</v>
      </c>
      <c r="I25" s="1293">
        <v>162000</v>
      </c>
      <c r="J25" s="839">
        <f t="shared" si="4"/>
        <v>26103933</v>
      </c>
      <c r="K25" s="784">
        <f t="shared" si="5"/>
        <v>27278609.984999999</v>
      </c>
      <c r="L25" s="755"/>
      <c r="M25" s="840">
        <v>0.55000000000000004</v>
      </c>
      <c r="N25" s="841">
        <f t="shared" si="0"/>
        <v>15003235.49175</v>
      </c>
      <c r="O25" s="840"/>
      <c r="P25" s="842">
        <f t="shared" si="1"/>
        <v>0</v>
      </c>
      <c r="Q25" s="843"/>
      <c r="R25" s="841">
        <f t="shared" si="2"/>
        <v>0</v>
      </c>
      <c r="S25" s="844">
        <f t="shared" si="6"/>
        <v>0.55000000000000004</v>
      </c>
      <c r="U25" s="815">
        <v>53204030000000</v>
      </c>
      <c r="V25" s="816" t="s">
        <v>116</v>
      </c>
      <c r="W25" s="817">
        <v>0</v>
      </c>
    </row>
    <row r="26" spans="1:46" ht="12.75" customHeight="1" x14ac:dyDescent="0.25">
      <c r="A26" s="1581"/>
      <c r="B26" s="1584"/>
      <c r="C26" s="801"/>
      <c r="D26" s="802"/>
      <c r="E26" s="803"/>
      <c r="F26" s="804"/>
      <c r="G26" s="1294"/>
      <c r="H26" s="1294"/>
      <c r="I26" s="1295"/>
      <c r="J26" s="807">
        <f t="shared" si="4"/>
        <v>0</v>
      </c>
      <c r="K26" s="808">
        <f t="shared" si="5"/>
        <v>0</v>
      </c>
      <c r="L26" s="755"/>
      <c r="M26" s="845"/>
      <c r="N26" s="846">
        <f t="shared" si="0"/>
        <v>0</v>
      </c>
      <c r="O26" s="845"/>
      <c r="P26" s="847">
        <f t="shared" si="1"/>
        <v>0</v>
      </c>
      <c r="Q26" s="848"/>
      <c r="R26" s="846">
        <f t="shared" si="2"/>
        <v>0</v>
      </c>
      <c r="S26" s="788">
        <f t="shared" si="6"/>
        <v>0</v>
      </c>
      <c r="U26" s="815">
        <v>53204100100001</v>
      </c>
      <c r="V26" s="816" t="s">
        <v>117</v>
      </c>
      <c r="W26" s="817">
        <v>1500000</v>
      </c>
    </row>
    <row r="27" spans="1:46" ht="12.75" customHeight="1" x14ac:dyDescent="0.25">
      <c r="A27" s="1581"/>
      <c r="B27" s="1584"/>
      <c r="C27" s="801"/>
      <c r="D27" s="802"/>
      <c r="E27" s="803"/>
      <c r="F27" s="804"/>
      <c r="G27" s="1294"/>
      <c r="H27" s="1294"/>
      <c r="I27" s="1295"/>
      <c r="J27" s="807">
        <f t="shared" si="4"/>
        <v>0</v>
      </c>
      <c r="K27" s="808">
        <f t="shared" si="5"/>
        <v>0</v>
      </c>
      <c r="L27" s="755"/>
      <c r="M27" s="845"/>
      <c r="N27" s="846">
        <f t="shared" si="0"/>
        <v>0</v>
      </c>
      <c r="O27" s="845"/>
      <c r="P27" s="847">
        <f t="shared" si="1"/>
        <v>0</v>
      </c>
      <c r="Q27" s="848"/>
      <c r="R27" s="846">
        <f t="shared" si="2"/>
        <v>0</v>
      </c>
      <c r="S27" s="788">
        <f t="shared" si="6"/>
        <v>0</v>
      </c>
      <c r="U27" s="815">
        <v>53204130100000</v>
      </c>
      <c r="V27" s="816" t="s">
        <v>118</v>
      </c>
      <c r="W27" s="817">
        <v>0</v>
      </c>
    </row>
    <row r="28" spans="1:46" ht="12.75" customHeight="1" x14ac:dyDescent="0.25">
      <c r="A28" s="1581"/>
      <c r="B28" s="1584"/>
      <c r="C28" s="801"/>
      <c r="D28" s="802"/>
      <c r="E28" s="803"/>
      <c r="F28" s="804"/>
      <c r="G28" s="1294"/>
      <c r="H28" s="1294"/>
      <c r="I28" s="1295"/>
      <c r="J28" s="807">
        <f t="shared" si="4"/>
        <v>0</v>
      </c>
      <c r="K28" s="808">
        <f t="shared" si="5"/>
        <v>0</v>
      </c>
      <c r="L28" s="755"/>
      <c r="M28" s="845"/>
      <c r="N28" s="846">
        <f t="shared" si="0"/>
        <v>0</v>
      </c>
      <c r="O28" s="845"/>
      <c r="P28" s="847">
        <f t="shared" si="1"/>
        <v>0</v>
      </c>
      <c r="Q28" s="848"/>
      <c r="R28" s="846">
        <f t="shared" si="2"/>
        <v>0</v>
      </c>
      <c r="S28" s="788">
        <f t="shared" si="6"/>
        <v>0</v>
      </c>
      <c r="U28" s="815">
        <v>53205010100000</v>
      </c>
      <c r="V28" s="816" t="s">
        <v>119</v>
      </c>
      <c r="W28" s="817">
        <v>400000</v>
      </c>
    </row>
    <row r="29" spans="1:46" ht="12.75" customHeight="1" x14ac:dyDescent="0.25">
      <c r="A29" s="1581"/>
      <c r="B29" s="1584"/>
      <c r="C29" s="801"/>
      <c r="D29" s="802"/>
      <c r="E29" s="803"/>
      <c r="F29" s="804"/>
      <c r="G29" s="1294"/>
      <c r="H29" s="1294"/>
      <c r="I29" s="1295"/>
      <c r="J29" s="807">
        <f t="shared" si="4"/>
        <v>0</v>
      </c>
      <c r="K29" s="808">
        <f t="shared" si="5"/>
        <v>0</v>
      </c>
      <c r="L29" s="755"/>
      <c r="M29" s="845"/>
      <c r="N29" s="846">
        <f t="shared" si="0"/>
        <v>0</v>
      </c>
      <c r="O29" s="845"/>
      <c r="P29" s="847">
        <f t="shared" si="1"/>
        <v>0</v>
      </c>
      <c r="Q29" s="848"/>
      <c r="R29" s="846">
        <f t="shared" si="2"/>
        <v>0</v>
      </c>
      <c r="S29" s="788">
        <f t="shared" si="6"/>
        <v>0</v>
      </c>
      <c r="U29" s="815">
        <v>53205020100000</v>
      </c>
      <c r="V29" s="816" t="s">
        <v>120</v>
      </c>
      <c r="W29" s="817">
        <v>500000</v>
      </c>
    </row>
    <row r="30" spans="1:46" ht="12.75" customHeight="1" x14ac:dyDescent="0.25">
      <c r="A30" s="1581"/>
      <c r="B30" s="1584"/>
      <c r="C30" s="801"/>
      <c r="D30" s="802"/>
      <c r="E30" s="803"/>
      <c r="F30" s="804"/>
      <c r="G30" s="1294"/>
      <c r="H30" s="1294"/>
      <c r="I30" s="1295"/>
      <c r="J30" s="807">
        <f t="shared" si="4"/>
        <v>0</v>
      </c>
      <c r="K30" s="808">
        <f t="shared" si="5"/>
        <v>0</v>
      </c>
      <c r="L30" s="755"/>
      <c r="M30" s="845"/>
      <c r="N30" s="846">
        <f t="shared" si="0"/>
        <v>0</v>
      </c>
      <c r="O30" s="845"/>
      <c r="P30" s="847">
        <f t="shared" si="1"/>
        <v>0</v>
      </c>
      <c r="Q30" s="848"/>
      <c r="R30" s="846">
        <f t="shared" si="2"/>
        <v>0</v>
      </c>
      <c r="S30" s="788">
        <f t="shared" si="6"/>
        <v>0</v>
      </c>
      <c r="U30" s="815">
        <v>53205030100000</v>
      </c>
      <c r="V30" s="816" t="s">
        <v>121</v>
      </c>
      <c r="W30" s="817">
        <v>300000</v>
      </c>
    </row>
    <row r="31" spans="1:46" ht="12.75" customHeight="1" x14ac:dyDescent="0.25">
      <c r="A31" s="1581"/>
      <c r="B31" s="1584"/>
      <c r="C31" s="801"/>
      <c r="D31" s="802"/>
      <c r="E31" s="803"/>
      <c r="F31" s="804"/>
      <c r="G31" s="1294"/>
      <c r="H31" s="1294"/>
      <c r="I31" s="1295"/>
      <c r="J31" s="807">
        <f t="shared" si="4"/>
        <v>0</v>
      </c>
      <c r="K31" s="808">
        <f t="shared" si="5"/>
        <v>0</v>
      </c>
      <c r="L31" s="755"/>
      <c r="M31" s="845"/>
      <c r="N31" s="846">
        <f t="shared" si="0"/>
        <v>0</v>
      </c>
      <c r="O31" s="845"/>
      <c r="P31" s="847">
        <f t="shared" si="1"/>
        <v>0</v>
      </c>
      <c r="Q31" s="848"/>
      <c r="R31" s="846">
        <f t="shared" si="2"/>
        <v>0</v>
      </c>
      <c r="S31" s="788">
        <f t="shared" si="6"/>
        <v>0</v>
      </c>
      <c r="U31" s="815">
        <v>53205050100000</v>
      </c>
      <c r="V31" s="816" t="s">
        <v>122</v>
      </c>
      <c r="W31" s="817">
        <v>0</v>
      </c>
    </row>
    <row r="32" spans="1:46" ht="12.75" customHeight="1" x14ac:dyDescent="0.25">
      <c r="A32" s="1581"/>
      <c r="B32" s="1584"/>
      <c r="C32" s="801"/>
      <c r="D32" s="802"/>
      <c r="E32" s="803"/>
      <c r="F32" s="804"/>
      <c r="G32" s="1294"/>
      <c r="H32" s="1294"/>
      <c r="I32" s="1295"/>
      <c r="J32" s="807">
        <f t="shared" si="4"/>
        <v>0</v>
      </c>
      <c r="K32" s="808">
        <f t="shared" si="5"/>
        <v>0</v>
      </c>
      <c r="L32" s="755"/>
      <c r="M32" s="845"/>
      <c r="N32" s="846">
        <f t="shared" si="0"/>
        <v>0</v>
      </c>
      <c r="O32" s="845"/>
      <c r="P32" s="847">
        <f t="shared" si="1"/>
        <v>0</v>
      </c>
      <c r="Q32" s="848"/>
      <c r="R32" s="846">
        <f t="shared" si="2"/>
        <v>0</v>
      </c>
      <c r="S32" s="788">
        <f t="shared" si="6"/>
        <v>0</v>
      </c>
      <c r="U32" s="815">
        <v>53205060100000</v>
      </c>
      <c r="V32" s="816" t="s">
        <v>123</v>
      </c>
      <c r="W32" s="817">
        <v>0</v>
      </c>
    </row>
    <row r="33" spans="1:23" ht="12.75" customHeight="1" x14ac:dyDescent="0.25">
      <c r="A33" s="1581"/>
      <c r="B33" s="1584"/>
      <c r="C33" s="801"/>
      <c r="D33" s="802"/>
      <c r="E33" s="803"/>
      <c r="F33" s="804"/>
      <c r="G33" s="1294"/>
      <c r="H33" s="1294"/>
      <c r="I33" s="1295"/>
      <c r="J33" s="807">
        <f t="shared" si="4"/>
        <v>0</v>
      </c>
      <c r="K33" s="808">
        <f t="shared" si="5"/>
        <v>0</v>
      </c>
      <c r="L33" s="755"/>
      <c r="M33" s="845"/>
      <c r="N33" s="846">
        <f t="shared" si="0"/>
        <v>0</v>
      </c>
      <c r="O33" s="845"/>
      <c r="P33" s="847">
        <f t="shared" si="1"/>
        <v>0</v>
      </c>
      <c r="Q33" s="848"/>
      <c r="R33" s="846">
        <f t="shared" si="2"/>
        <v>0</v>
      </c>
      <c r="S33" s="788">
        <f t="shared" si="6"/>
        <v>0</v>
      </c>
      <c r="U33" s="815">
        <v>53205070100000</v>
      </c>
      <c r="V33" s="816" t="s">
        <v>124</v>
      </c>
      <c r="W33" s="817">
        <v>0</v>
      </c>
    </row>
    <row r="34" spans="1:23" ht="12.75" customHeight="1" thickBot="1" x14ac:dyDescent="0.3">
      <c r="A34" s="1581"/>
      <c r="B34" s="1585"/>
      <c r="C34" s="822"/>
      <c r="D34" s="823"/>
      <c r="E34" s="824"/>
      <c r="F34" s="825"/>
      <c r="G34" s="1296"/>
      <c r="H34" s="1296"/>
      <c r="I34" s="1297"/>
      <c r="J34" s="828">
        <f t="shared" si="4"/>
        <v>0</v>
      </c>
      <c r="K34" s="829">
        <f t="shared" si="5"/>
        <v>0</v>
      </c>
      <c r="L34" s="755"/>
      <c r="M34" s="849"/>
      <c r="N34" s="850">
        <f t="shared" si="0"/>
        <v>0</v>
      </c>
      <c r="O34" s="849"/>
      <c r="P34" s="851">
        <f t="shared" si="1"/>
        <v>0</v>
      </c>
      <c r="Q34" s="852"/>
      <c r="R34" s="850">
        <f t="shared" si="2"/>
        <v>0</v>
      </c>
      <c r="S34" s="833">
        <f t="shared" si="6"/>
        <v>0</v>
      </c>
      <c r="U34" s="815">
        <v>53208010100000</v>
      </c>
      <c r="V34" s="816" t="s">
        <v>125</v>
      </c>
      <c r="W34" s="817">
        <v>60000</v>
      </c>
    </row>
    <row r="35" spans="1:23" ht="12.75" customHeight="1" x14ac:dyDescent="0.25">
      <c r="A35" s="1581"/>
      <c r="B35" s="1586" t="s">
        <v>177</v>
      </c>
      <c r="C35" s="834" t="s">
        <v>358</v>
      </c>
      <c r="D35" s="835" t="s">
        <v>359</v>
      </c>
      <c r="E35" s="836" t="s">
        <v>360</v>
      </c>
      <c r="F35" s="837" t="s">
        <v>344</v>
      </c>
      <c r="G35" s="1298">
        <v>16911418</v>
      </c>
      <c r="H35" s="1298">
        <v>320040</v>
      </c>
      <c r="I35" s="1299">
        <v>161212</v>
      </c>
      <c r="J35" s="839">
        <f t="shared" si="4"/>
        <v>17392670</v>
      </c>
      <c r="K35" s="784">
        <f t="shared" si="5"/>
        <v>18175340.149999999</v>
      </c>
      <c r="L35" s="755"/>
      <c r="M35" s="845">
        <v>0.55000000000000004</v>
      </c>
      <c r="N35" s="841">
        <f t="shared" si="0"/>
        <v>9996437.0824999996</v>
      </c>
      <c r="O35" s="854"/>
      <c r="P35" s="842">
        <f t="shared" si="1"/>
        <v>0</v>
      </c>
      <c r="Q35" s="855"/>
      <c r="R35" s="841">
        <f t="shared" si="2"/>
        <v>0</v>
      </c>
      <c r="S35" s="844">
        <f t="shared" si="6"/>
        <v>0.55000000000000004</v>
      </c>
      <c r="U35" s="815">
        <v>53208070100001</v>
      </c>
      <c r="V35" s="816" t="s">
        <v>126</v>
      </c>
      <c r="W35" s="817">
        <v>600000</v>
      </c>
    </row>
    <row r="36" spans="1:23" ht="12.75" customHeight="1" x14ac:dyDescent="0.25">
      <c r="A36" s="1581"/>
      <c r="B36" s="1584"/>
      <c r="C36" s="801"/>
      <c r="D36" s="802"/>
      <c r="E36" s="803"/>
      <c r="F36" s="804"/>
      <c r="G36" s="1294"/>
      <c r="H36" s="1294"/>
      <c r="I36" s="1295"/>
      <c r="J36" s="807">
        <f t="shared" si="4"/>
        <v>0</v>
      </c>
      <c r="K36" s="808">
        <f t="shared" si="5"/>
        <v>0</v>
      </c>
      <c r="L36" s="755"/>
      <c r="M36" s="845"/>
      <c r="N36" s="846">
        <f t="shared" si="0"/>
        <v>0</v>
      </c>
      <c r="O36" s="845"/>
      <c r="P36" s="847">
        <f t="shared" si="1"/>
        <v>0</v>
      </c>
      <c r="Q36" s="848"/>
      <c r="R36" s="846">
        <f t="shared" si="2"/>
        <v>0</v>
      </c>
      <c r="S36" s="788">
        <f t="shared" si="6"/>
        <v>0</v>
      </c>
      <c r="U36" s="815">
        <v>53208100100001</v>
      </c>
      <c r="V36" s="816" t="s">
        <v>127</v>
      </c>
      <c r="W36" s="817">
        <v>0</v>
      </c>
    </row>
    <row r="37" spans="1:23" ht="12.75" customHeight="1" x14ac:dyDescent="0.25">
      <c r="A37" s="1581"/>
      <c r="B37" s="1584"/>
      <c r="C37" s="801"/>
      <c r="D37" s="802"/>
      <c r="E37" s="803"/>
      <c r="F37" s="804"/>
      <c r="G37" s="1294"/>
      <c r="H37" s="1294"/>
      <c r="I37" s="1295"/>
      <c r="J37" s="807">
        <f t="shared" si="4"/>
        <v>0</v>
      </c>
      <c r="K37" s="808">
        <f t="shared" si="5"/>
        <v>0</v>
      </c>
      <c r="L37" s="755"/>
      <c r="M37" s="845"/>
      <c r="N37" s="846">
        <f t="shared" si="0"/>
        <v>0</v>
      </c>
      <c r="O37" s="845"/>
      <c r="P37" s="847">
        <f t="shared" si="1"/>
        <v>0</v>
      </c>
      <c r="Q37" s="848"/>
      <c r="R37" s="846">
        <f t="shared" si="2"/>
        <v>0</v>
      </c>
      <c r="S37" s="788">
        <f t="shared" si="6"/>
        <v>0</v>
      </c>
      <c r="U37" s="815">
        <v>53211030000000</v>
      </c>
      <c r="V37" s="816" t="s">
        <v>128</v>
      </c>
      <c r="W37" s="817">
        <v>0</v>
      </c>
    </row>
    <row r="38" spans="1:23" ht="12.75" customHeight="1" x14ac:dyDescent="0.25">
      <c r="A38" s="1581"/>
      <c r="B38" s="1584"/>
      <c r="C38" s="801"/>
      <c r="D38" s="802"/>
      <c r="E38" s="803"/>
      <c r="F38" s="804"/>
      <c r="G38" s="1294"/>
      <c r="H38" s="1294"/>
      <c r="I38" s="1295"/>
      <c r="J38" s="807">
        <f t="shared" si="4"/>
        <v>0</v>
      </c>
      <c r="K38" s="808">
        <f t="shared" si="5"/>
        <v>0</v>
      </c>
      <c r="L38" s="755"/>
      <c r="M38" s="845"/>
      <c r="N38" s="846">
        <f t="shared" si="0"/>
        <v>0</v>
      </c>
      <c r="O38" s="845"/>
      <c r="P38" s="847">
        <f t="shared" si="1"/>
        <v>0</v>
      </c>
      <c r="Q38" s="848"/>
      <c r="R38" s="846">
        <f t="shared" si="2"/>
        <v>0</v>
      </c>
      <c r="S38" s="788">
        <f t="shared" si="6"/>
        <v>0</v>
      </c>
      <c r="U38" s="815">
        <v>53212020100000</v>
      </c>
      <c r="V38" s="816" t="s">
        <v>129</v>
      </c>
      <c r="W38" s="817">
        <v>7500000</v>
      </c>
    </row>
    <row r="39" spans="1:23" ht="12.75" customHeight="1" thickBot="1" x14ac:dyDescent="0.3">
      <c r="A39" s="1581"/>
      <c r="B39" s="1585"/>
      <c r="C39" s="856"/>
      <c r="D39" s="857"/>
      <c r="E39" s="858"/>
      <c r="F39" s="859"/>
      <c r="G39" s="1300"/>
      <c r="H39" s="1300"/>
      <c r="I39" s="1301"/>
      <c r="J39" s="828">
        <f t="shared" si="4"/>
        <v>0</v>
      </c>
      <c r="K39" s="829">
        <f t="shared" si="5"/>
        <v>0</v>
      </c>
      <c r="L39" s="755"/>
      <c r="M39" s="849"/>
      <c r="N39" s="850">
        <f t="shared" si="0"/>
        <v>0</v>
      </c>
      <c r="O39" s="849"/>
      <c r="P39" s="851">
        <f t="shared" si="1"/>
        <v>0</v>
      </c>
      <c r="Q39" s="852"/>
      <c r="R39" s="850">
        <f t="shared" si="2"/>
        <v>0</v>
      </c>
      <c r="S39" s="833">
        <f t="shared" si="6"/>
        <v>0</v>
      </c>
      <c r="U39" s="815">
        <v>53214020000000</v>
      </c>
      <c r="V39" s="816" t="s">
        <v>130</v>
      </c>
      <c r="W39" s="817">
        <v>0</v>
      </c>
    </row>
    <row r="40" spans="1:23" ht="12.75" customHeight="1" x14ac:dyDescent="0.25">
      <c r="A40" s="1581"/>
      <c r="B40" s="1587" t="s">
        <v>178</v>
      </c>
      <c r="C40" s="860" t="s">
        <v>361</v>
      </c>
      <c r="D40" s="835" t="s">
        <v>362</v>
      </c>
      <c r="E40" s="836" t="s">
        <v>363</v>
      </c>
      <c r="F40" s="836" t="s">
        <v>364</v>
      </c>
      <c r="G40" s="1298">
        <v>545160</v>
      </c>
      <c r="H40" s="1298"/>
      <c r="I40" s="1302"/>
      <c r="J40" s="1287">
        <f>SUM(G40:I40)</f>
        <v>545160</v>
      </c>
      <c r="K40" s="1288">
        <f t="shared" si="5"/>
        <v>569692.19999999995</v>
      </c>
      <c r="L40" s="755"/>
      <c r="M40" s="854">
        <v>0.55000000000000004</v>
      </c>
      <c r="N40" s="841">
        <f t="shared" si="0"/>
        <v>313330.71000000002</v>
      </c>
      <c r="O40" s="854"/>
      <c r="P40" s="842">
        <f t="shared" si="1"/>
        <v>0</v>
      </c>
      <c r="Q40" s="855"/>
      <c r="R40" s="841">
        <f t="shared" si="2"/>
        <v>0</v>
      </c>
      <c r="S40" s="844">
        <f t="shared" si="6"/>
        <v>0.55000000000000004</v>
      </c>
      <c r="U40" s="789"/>
      <c r="V40" s="790" t="s">
        <v>131</v>
      </c>
      <c r="W40" s="791">
        <f>SUM(W41,W46,W49,W60,W70,W78)</f>
        <v>16700000</v>
      </c>
    </row>
    <row r="41" spans="1:23" ht="12.75" customHeight="1" x14ac:dyDescent="0.25">
      <c r="A41" s="1581"/>
      <c r="B41" s="1588"/>
      <c r="C41" s="861" t="s">
        <v>365</v>
      </c>
      <c r="D41" s="802" t="s">
        <v>366</v>
      </c>
      <c r="E41" s="803" t="s">
        <v>367</v>
      </c>
      <c r="F41" s="803" t="s">
        <v>364</v>
      </c>
      <c r="G41" s="1294">
        <v>545160</v>
      </c>
      <c r="H41" s="1294"/>
      <c r="I41" s="1303"/>
      <c r="J41" s="1289">
        <f t="shared" ref="J41:J48" si="7">SUM(G41:I41)</f>
        <v>545160</v>
      </c>
      <c r="K41" s="1290">
        <f t="shared" si="5"/>
        <v>569692.19999999995</v>
      </c>
      <c r="L41" s="755"/>
      <c r="M41" s="845">
        <v>0.55000000000000004</v>
      </c>
      <c r="N41" s="846">
        <f t="shared" si="0"/>
        <v>313330.71000000002</v>
      </c>
      <c r="O41" s="845"/>
      <c r="P41" s="847">
        <f t="shared" si="1"/>
        <v>0</v>
      </c>
      <c r="Q41" s="848"/>
      <c r="R41" s="846">
        <f t="shared" si="2"/>
        <v>0</v>
      </c>
      <c r="S41" s="788">
        <f t="shared" si="6"/>
        <v>0.55000000000000004</v>
      </c>
      <c r="U41" s="812"/>
      <c r="V41" s="813" t="s">
        <v>132</v>
      </c>
      <c r="W41" s="814">
        <f>SUM(W42:W45)</f>
        <v>600000</v>
      </c>
    </row>
    <row r="42" spans="1:23" ht="12.75" customHeight="1" x14ac:dyDescent="0.25">
      <c r="A42" s="1581"/>
      <c r="B42" s="1588"/>
      <c r="C42" s="861" t="s">
        <v>368</v>
      </c>
      <c r="D42" s="802" t="s">
        <v>369</v>
      </c>
      <c r="E42" s="803" t="s">
        <v>370</v>
      </c>
      <c r="F42" s="803" t="s">
        <v>344</v>
      </c>
      <c r="G42" s="1294">
        <v>545160</v>
      </c>
      <c r="H42" s="1294"/>
      <c r="I42" s="1303"/>
      <c r="J42" s="1289">
        <f t="shared" si="7"/>
        <v>545160</v>
      </c>
      <c r="K42" s="1290">
        <f t="shared" si="5"/>
        <v>569692.19999999995</v>
      </c>
      <c r="L42" s="755"/>
      <c r="M42" s="845">
        <v>0.55000000000000004</v>
      </c>
      <c r="N42" s="846">
        <f t="shared" si="0"/>
        <v>313330.71000000002</v>
      </c>
      <c r="O42" s="845"/>
      <c r="P42" s="847">
        <f t="shared" si="1"/>
        <v>0</v>
      </c>
      <c r="Q42" s="848"/>
      <c r="R42" s="846">
        <f t="shared" si="2"/>
        <v>0</v>
      </c>
      <c r="S42" s="788">
        <f t="shared" si="6"/>
        <v>0.55000000000000004</v>
      </c>
      <c r="U42" s="815">
        <v>53202020100000</v>
      </c>
      <c r="V42" s="816" t="s">
        <v>133</v>
      </c>
      <c r="W42" s="817">
        <v>300000</v>
      </c>
    </row>
    <row r="43" spans="1:23" ht="12.75" customHeight="1" x14ac:dyDescent="0.25">
      <c r="A43" s="1581"/>
      <c r="B43" s="1588"/>
      <c r="C43" s="861"/>
      <c r="D43" s="802"/>
      <c r="E43" s="803"/>
      <c r="F43" s="803"/>
      <c r="G43" s="1294"/>
      <c r="H43" s="1294"/>
      <c r="I43" s="1303"/>
      <c r="J43" s="1289">
        <f t="shared" si="7"/>
        <v>0</v>
      </c>
      <c r="K43" s="1290">
        <f t="shared" si="5"/>
        <v>0</v>
      </c>
      <c r="L43" s="755"/>
      <c r="M43" s="845"/>
      <c r="N43" s="846">
        <f t="shared" si="0"/>
        <v>0</v>
      </c>
      <c r="O43" s="845"/>
      <c r="P43" s="847">
        <f t="shared" si="1"/>
        <v>0</v>
      </c>
      <c r="Q43" s="848"/>
      <c r="R43" s="846">
        <f t="shared" si="2"/>
        <v>0</v>
      </c>
      <c r="S43" s="788">
        <f t="shared" si="6"/>
        <v>0</v>
      </c>
      <c r="U43" s="815">
        <v>53202030000000</v>
      </c>
      <c r="V43" s="816" t="s">
        <v>134</v>
      </c>
      <c r="W43" s="817">
        <v>0</v>
      </c>
    </row>
    <row r="44" spans="1:23" ht="12.75" customHeight="1" x14ac:dyDescent="0.25">
      <c r="A44" s="1581"/>
      <c r="B44" s="1588"/>
      <c r="C44" s="861"/>
      <c r="D44" s="802"/>
      <c r="E44" s="803"/>
      <c r="F44" s="803"/>
      <c r="G44" s="1294"/>
      <c r="H44" s="1294"/>
      <c r="I44" s="1303"/>
      <c r="J44" s="1289">
        <f t="shared" si="7"/>
        <v>0</v>
      </c>
      <c r="K44" s="1290">
        <f t="shared" si="5"/>
        <v>0</v>
      </c>
      <c r="L44" s="755"/>
      <c r="M44" s="845"/>
      <c r="N44" s="846">
        <f t="shared" si="0"/>
        <v>0</v>
      </c>
      <c r="O44" s="845"/>
      <c r="P44" s="847">
        <f t="shared" si="1"/>
        <v>0</v>
      </c>
      <c r="Q44" s="848"/>
      <c r="R44" s="846">
        <f t="shared" si="2"/>
        <v>0</v>
      </c>
      <c r="S44" s="788">
        <f t="shared" si="6"/>
        <v>0</v>
      </c>
      <c r="U44" s="815">
        <v>53211020000000</v>
      </c>
      <c r="V44" s="816" t="s">
        <v>135</v>
      </c>
      <c r="W44" s="817">
        <v>0</v>
      </c>
    </row>
    <row r="45" spans="1:23" ht="12.75" customHeight="1" x14ac:dyDescent="0.25">
      <c r="A45" s="1581"/>
      <c r="B45" s="1588"/>
      <c r="C45" s="861"/>
      <c r="D45" s="802"/>
      <c r="E45" s="803"/>
      <c r="F45" s="803"/>
      <c r="G45" s="1294"/>
      <c r="H45" s="1294"/>
      <c r="I45" s="1303"/>
      <c r="J45" s="1289">
        <f t="shared" si="7"/>
        <v>0</v>
      </c>
      <c r="K45" s="1290">
        <f t="shared" si="5"/>
        <v>0</v>
      </c>
      <c r="L45" s="755"/>
      <c r="M45" s="845"/>
      <c r="N45" s="846">
        <f t="shared" si="0"/>
        <v>0</v>
      </c>
      <c r="O45" s="845"/>
      <c r="P45" s="847">
        <f t="shared" si="1"/>
        <v>0</v>
      </c>
      <c r="Q45" s="848"/>
      <c r="R45" s="846">
        <f t="shared" si="2"/>
        <v>0</v>
      </c>
      <c r="S45" s="788">
        <f t="shared" si="6"/>
        <v>0</v>
      </c>
      <c r="U45" s="815">
        <v>53101004030000</v>
      </c>
      <c r="V45" s="816" t="s">
        <v>136</v>
      </c>
      <c r="W45" s="817">
        <v>300000</v>
      </c>
    </row>
    <row r="46" spans="1:23" ht="12.75" customHeight="1" x14ac:dyDescent="0.25">
      <c r="A46" s="1581"/>
      <c r="B46" s="1588"/>
      <c r="C46" s="861"/>
      <c r="D46" s="802"/>
      <c r="E46" s="803"/>
      <c r="F46" s="803"/>
      <c r="G46" s="1294"/>
      <c r="H46" s="1294"/>
      <c r="I46" s="1303"/>
      <c r="J46" s="1289">
        <f t="shared" si="7"/>
        <v>0</v>
      </c>
      <c r="K46" s="1290">
        <f t="shared" si="5"/>
        <v>0</v>
      </c>
      <c r="L46" s="755"/>
      <c r="M46" s="845"/>
      <c r="N46" s="846">
        <f t="shared" si="0"/>
        <v>0</v>
      </c>
      <c r="O46" s="845"/>
      <c r="P46" s="847">
        <f t="shared" si="1"/>
        <v>0</v>
      </c>
      <c r="Q46" s="848"/>
      <c r="R46" s="846">
        <f t="shared" si="2"/>
        <v>0</v>
      </c>
      <c r="S46" s="788">
        <f t="shared" si="6"/>
        <v>0</v>
      </c>
      <c r="U46" s="812"/>
      <c r="V46" s="813" t="s">
        <v>137</v>
      </c>
      <c r="W46" s="814">
        <f>SUM(W47:W48)</f>
        <v>0</v>
      </c>
    </row>
    <row r="47" spans="1:23" ht="12.75" customHeight="1" x14ac:dyDescent="0.25">
      <c r="A47" s="1581"/>
      <c r="B47" s="1588"/>
      <c r="C47" s="861"/>
      <c r="D47" s="802"/>
      <c r="E47" s="803"/>
      <c r="F47" s="803"/>
      <c r="G47" s="1294"/>
      <c r="H47" s="1294"/>
      <c r="I47" s="1303"/>
      <c r="J47" s="1289">
        <f t="shared" si="7"/>
        <v>0</v>
      </c>
      <c r="K47" s="1290">
        <f t="shared" si="5"/>
        <v>0</v>
      </c>
      <c r="L47" s="755"/>
      <c r="M47" s="845"/>
      <c r="N47" s="846">
        <f t="shared" si="0"/>
        <v>0</v>
      </c>
      <c r="O47" s="845"/>
      <c r="P47" s="847">
        <f t="shared" si="1"/>
        <v>0</v>
      </c>
      <c r="Q47" s="848"/>
      <c r="R47" s="846">
        <f t="shared" si="2"/>
        <v>0</v>
      </c>
      <c r="S47" s="788">
        <f t="shared" si="6"/>
        <v>0</v>
      </c>
      <c r="U47" s="815">
        <v>53205080000000</v>
      </c>
      <c r="V47" s="816" t="s">
        <v>138</v>
      </c>
      <c r="W47" s="817">
        <v>0</v>
      </c>
    </row>
    <row r="48" spans="1:23" ht="12.75" customHeight="1" x14ac:dyDescent="0.25">
      <c r="A48" s="1581"/>
      <c r="B48" s="1588"/>
      <c r="C48" s="861"/>
      <c r="D48" s="802"/>
      <c r="E48" s="803"/>
      <c r="F48" s="803"/>
      <c r="G48" s="1294"/>
      <c r="H48" s="1294"/>
      <c r="I48" s="1303"/>
      <c r="J48" s="1289">
        <f t="shared" si="7"/>
        <v>0</v>
      </c>
      <c r="K48" s="1290">
        <f t="shared" si="5"/>
        <v>0</v>
      </c>
      <c r="L48" s="755"/>
      <c r="M48" s="845"/>
      <c r="N48" s="846">
        <f t="shared" si="0"/>
        <v>0</v>
      </c>
      <c r="O48" s="845"/>
      <c r="P48" s="847">
        <f t="shared" si="1"/>
        <v>0</v>
      </c>
      <c r="Q48" s="848"/>
      <c r="R48" s="846">
        <f t="shared" si="2"/>
        <v>0</v>
      </c>
      <c r="S48" s="788">
        <f t="shared" si="6"/>
        <v>0</v>
      </c>
      <c r="U48" s="815">
        <v>53205990000000</v>
      </c>
      <c r="V48" s="816" t="s">
        <v>139</v>
      </c>
      <c r="W48" s="817">
        <v>0</v>
      </c>
    </row>
    <row r="49" spans="1:23" ht="12.75" customHeight="1" x14ac:dyDescent="0.25">
      <c r="A49" s="1581"/>
      <c r="B49" s="1588"/>
      <c r="C49" s="861"/>
      <c r="D49" s="802"/>
      <c r="E49" s="803"/>
      <c r="F49" s="803"/>
      <c r="G49" s="1294"/>
      <c r="H49" s="1294"/>
      <c r="I49" s="1303"/>
      <c r="J49" s="1289">
        <f t="shared" ref="J49:J61" si="8">SUM(G49:I49)</f>
        <v>0</v>
      </c>
      <c r="K49" s="1290">
        <f t="shared" si="5"/>
        <v>0</v>
      </c>
      <c r="L49" s="755"/>
      <c r="M49" s="845"/>
      <c r="N49" s="846">
        <f t="shared" si="0"/>
        <v>0</v>
      </c>
      <c r="O49" s="845"/>
      <c r="P49" s="847">
        <f t="shared" si="1"/>
        <v>0</v>
      </c>
      <c r="Q49" s="848"/>
      <c r="R49" s="846">
        <f t="shared" si="2"/>
        <v>0</v>
      </c>
      <c r="S49" s="788">
        <f t="shared" si="6"/>
        <v>0</v>
      </c>
      <c r="U49" s="812"/>
      <c r="V49" s="813" t="s">
        <v>140</v>
      </c>
      <c r="W49" s="814">
        <f>SUM(W50:W59)</f>
        <v>8000000</v>
      </c>
    </row>
    <row r="50" spans="1:23" ht="12.75" customHeight="1" x14ac:dyDescent="0.25">
      <c r="A50" s="1581"/>
      <c r="B50" s="1588"/>
      <c r="C50" s="861"/>
      <c r="D50" s="802"/>
      <c r="E50" s="803"/>
      <c r="F50" s="803"/>
      <c r="G50" s="1294"/>
      <c r="H50" s="1294"/>
      <c r="I50" s="1303"/>
      <c r="J50" s="1289">
        <f t="shared" si="8"/>
        <v>0</v>
      </c>
      <c r="K50" s="1290">
        <f t="shared" si="5"/>
        <v>0</v>
      </c>
      <c r="L50" s="755"/>
      <c r="M50" s="845"/>
      <c r="N50" s="846">
        <f t="shared" si="0"/>
        <v>0</v>
      </c>
      <c r="O50" s="845"/>
      <c r="P50" s="847">
        <f t="shared" si="1"/>
        <v>0</v>
      </c>
      <c r="Q50" s="848"/>
      <c r="R50" s="846">
        <f t="shared" si="2"/>
        <v>0</v>
      </c>
      <c r="S50" s="788">
        <f t="shared" si="6"/>
        <v>0</v>
      </c>
      <c r="U50" s="815">
        <v>53203010200000</v>
      </c>
      <c r="V50" s="816" t="s">
        <v>141</v>
      </c>
      <c r="W50" s="817">
        <v>0</v>
      </c>
    </row>
    <row r="51" spans="1:23" ht="12.75" customHeight="1" x14ac:dyDescent="0.25">
      <c r="A51" s="1581"/>
      <c r="B51" s="1588"/>
      <c r="C51" s="861"/>
      <c r="D51" s="802"/>
      <c r="E51" s="803"/>
      <c r="F51" s="803"/>
      <c r="G51" s="1294"/>
      <c r="H51" s="1294"/>
      <c r="I51" s="1303"/>
      <c r="J51" s="1289">
        <f t="shared" si="8"/>
        <v>0</v>
      </c>
      <c r="K51" s="1290">
        <f t="shared" si="5"/>
        <v>0</v>
      </c>
      <c r="L51" s="755"/>
      <c r="M51" s="845"/>
      <c r="N51" s="846">
        <f t="shared" si="0"/>
        <v>0</v>
      </c>
      <c r="O51" s="845"/>
      <c r="P51" s="847">
        <f t="shared" si="1"/>
        <v>0</v>
      </c>
      <c r="Q51" s="848"/>
      <c r="R51" s="846">
        <f t="shared" si="2"/>
        <v>0</v>
      </c>
      <c r="S51" s="788">
        <f t="shared" si="6"/>
        <v>0</v>
      </c>
      <c r="U51" s="815">
        <v>53204010000000</v>
      </c>
      <c r="V51" s="816" t="s">
        <v>142</v>
      </c>
      <c r="W51" s="817">
        <v>2200000</v>
      </c>
    </row>
    <row r="52" spans="1:23" ht="12.75" customHeight="1" x14ac:dyDescent="0.25">
      <c r="A52" s="1581"/>
      <c r="B52" s="1588"/>
      <c r="C52" s="861"/>
      <c r="D52" s="802"/>
      <c r="E52" s="803"/>
      <c r="F52" s="803"/>
      <c r="G52" s="1294"/>
      <c r="H52" s="1294"/>
      <c r="I52" s="1303"/>
      <c r="J52" s="1289">
        <f t="shared" si="8"/>
        <v>0</v>
      </c>
      <c r="K52" s="1290">
        <f t="shared" si="5"/>
        <v>0</v>
      </c>
      <c r="L52" s="755"/>
      <c r="M52" s="845"/>
      <c r="N52" s="846">
        <f t="shared" si="0"/>
        <v>0</v>
      </c>
      <c r="O52" s="845"/>
      <c r="P52" s="847">
        <f t="shared" si="1"/>
        <v>0</v>
      </c>
      <c r="Q52" s="848"/>
      <c r="R52" s="846">
        <f t="shared" si="2"/>
        <v>0</v>
      </c>
      <c r="S52" s="788">
        <f t="shared" si="6"/>
        <v>0</v>
      </c>
      <c r="U52" s="815">
        <v>53204040200000</v>
      </c>
      <c r="V52" s="816" t="s">
        <v>143</v>
      </c>
      <c r="W52" s="817">
        <v>0</v>
      </c>
    </row>
    <row r="53" spans="1:23" ht="12.75" customHeight="1" x14ac:dyDescent="0.25">
      <c r="A53" s="1581"/>
      <c r="B53" s="1588"/>
      <c r="C53" s="861"/>
      <c r="D53" s="802"/>
      <c r="E53" s="803"/>
      <c r="F53" s="803"/>
      <c r="G53" s="1294"/>
      <c r="H53" s="1294"/>
      <c r="I53" s="1303"/>
      <c r="J53" s="1289">
        <f t="shared" si="8"/>
        <v>0</v>
      </c>
      <c r="K53" s="1290">
        <f t="shared" si="5"/>
        <v>0</v>
      </c>
      <c r="L53" s="755"/>
      <c r="M53" s="845"/>
      <c r="N53" s="846">
        <f t="shared" si="0"/>
        <v>0</v>
      </c>
      <c r="O53" s="845"/>
      <c r="P53" s="847">
        <f t="shared" si="1"/>
        <v>0</v>
      </c>
      <c r="Q53" s="848"/>
      <c r="R53" s="846">
        <f t="shared" si="2"/>
        <v>0</v>
      </c>
      <c r="S53" s="788">
        <f t="shared" si="6"/>
        <v>0</v>
      </c>
      <c r="U53" s="815">
        <v>53204060000000</v>
      </c>
      <c r="V53" s="816" t="s">
        <v>144</v>
      </c>
      <c r="W53" s="817">
        <v>0</v>
      </c>
    </row>
    <row r="54" spans="1:23" ht="12.75" customHeight="1" x14ac:dyDescent="0.25">
      <c r="A54" s="1581"/>
      <c r="B54" s="1588"/>
      <c r="C54" s="861"/>
      <c r="D54" s="802"/>
      <c r="E54" s="803"/>
      <c r="F54" s="803"/>
      <c r="G54" s="1294"/>
      <c r="H54" s="1294"/>
      <c r="I54" s="1303"/>
      <c r="J54" s="1289">
        <f t="shared" si="8"/>
        <v>0</v>
      </c>
      <c r="K54" s="1290">
        <f t="shared" si="5"/>
        <v>0</v>
      </c>
      <c r="L54" s="755"/>
      <c r="M54" s="845"/>
      <c r="N54" s="846">
        <f t="shared" si="0"/>
        <v>0</v>
      </c>
      <c r="O54" s="845"/>
      <c r="P54" s="847">
        <f t="shared" si="1"/>
        <v>0</v>
      </c>
      <c r="Q54" s="848"/>
      <c r="R54" s="846">
        <f t="shared" si="2"/>
        <v>0</v>
      </c>
      <c r="S54" s="788">
        <f t="shared" si="6"/>
        <v>0</v>
      </c>
      <c r="U54" s="815">
        <v>53204070000000</v>
      </c>
      <c r="V54" s="816" t="s">
        <v>188</v>
      </c>
      <c r="W54" s="817">
        <v>4000000</v>
      </c>
    </row>
    <row r="55" spans="1:23" ht="12.75" customHeight="1" x14ac:dyDescent="0.25">
      <c r="A55" s="1581"/>
      <c r="B55" s="1588"/>
      <c r="C55" s="861"/>
      <c r="D55" s="802"/>
      <c r="E55" s="803"/>
      <c r="F55" s="803"/>
      <c r="G55" s="1294"/>
      <c r="H55" s="1294"/>
      <c r="I55" s="1303"/>
      <c r="J55" s="1289">
        <f t="shared" si="8"/>
        <v>0</v>
      </c>
      <c r="K55" s="1290">
        <f t="shared" si="5"/>
        <v>0</v>
      </c>
      <c r="L55" s="755"/>
      <c r="M55" s="845"/>
      <c r="N55" s="846">
        <f t="shared" si="0"/>
        <v>0</v>
      </c>
      <c r="O55" s="845"/>
      <c r="P55" s="847">
        <f t="shared" si="1"/>
        <v>0</v>
      </c>
      <c r="Q55" s="848"/>
      <c r="R55" s="846">
        <f t="shared" si="2"/>
        <v>0</v>
      </c>
      <c r="S55" s="788">
        <f t="shared" si="6"/>
        <v>0</v>
      </c>
      <c r="U55" s="815">
        <v>53204080000000</v>
      </c>
      <c r="V55" s="816" t="s">
        <v>146</v>
      </c>
      <c r="W55" s="817">
        <v>300000</v>
      </c>
    </row>
    <row r="56" spans="1:23" ht="12.75" customHeight="1" x14ac:dyDescent="0.25">
      <c r="A56" s="1581"/>
      <c r="B56" s="1588"/>
      <c r="C56" s="861"/>
      <c r="D56" s="802"/>
      <c r="E56" s="803"/>
      <c r="F56" s="803"/>
      <c r="G56" s="1294"/>
      <c r="H56" s="1294"/>
      <c r="I56" s="1303"/>
      <c r="J56" s="1289">
        <f t="shared" si="8"/>
        <v>0</v>
      </c>
      <c r="K56" s="1290">
        <f t="shared" si="5"/>
        <v>0</v>
      </c>
      <c r="L56" s="755"/>
      <c r="M56" s="845"/>
      <c r="N56" s="846">
        <f t="shared" si="0"/>
        <v>0</v>
      </c>
      <c r="O56" s="845"/>
      <c r="P56" s="847">
        <f t="shared" si="1"/>
        <v>0</v>
      </c>
      <c r="Q56" s="848"/>
      <c r="R56" s="846">
        <f t="shared" si="2"/>
        <v>0</v>
      </c>
      <c r="S56" s="788">
        <f t="shared" si="6"/>
        <v>0</v>
      </c>
      <c r="U56" s="815">
        <v>53214010000000</v>
      </c>
      <c r="V56" s="816" t="s">
        <v>147</v>
      </c>
      <c r="W56" s="817">
        <v>800000</v>
      </c>
    </row>
    <row r="57" spans="1:23" ht="12.75" customHeight="1" x14ac:dyDescent="0.25">
      <c r="A57" s="1581"/>
      <c r="B57" s="1588"/>
      <c r="C57" s="861"/>
      <c r="D57" s="802"/>
      <c r="E57" s="803"/>
      <c r="F57" s="803"/>
      <c r="G57" s="1294"/>
      <c r="H57" s="1294"/>
      <c r="I57" s="1303"/>
      <c r="J57" s="1289">
        <f t="shared" si="8"/>
        <v>0</v>
      </c>
      <c r="K57" s="1290">
        <f t="shared" si="5"/>
        <v>0</v>
      </c>
      <c r="L57" s="755"/>
      <c r="M57" s="845"/>
      <c r="N57" s="846">
        <f t="shared" si="0"/>
        <v>0</v>
      </c>
      <c r="O57" s="845"/>
      <c r="P57" s="847">
        <f t="shared" si="1"/>
        <v>0</v>
      </c>
      <c r="Q57" s="848"/>
      <c r="R57" s="846">
        <f t="shared" si="2"/>
        <v>0</v>
      </c>
      <c r="S57" s="788">
        <f t="shared" si="6"/>
        <v>0</v>
      </c>
      <c r="U57" s="815">
        <v>53214040000000</v>
      </c>
      <c r="V57" s="816" t="s">
        <v>148</v>
      </c>
      <c r="W57" s="817">
        <v>700000</v>
      </c>
    </row>
    <row r="58" spans="1:23" ht="12.75" customHeight="1" x14ac:dyDescent="0.25">
      <c r="A58" s="1581"/>
      <c r="B58" s="1588"/>
      <c r="C58" s="861"/>
      <c r="D58" s="802"/>
      <c r="E58" s="803"/>
      <c r="F58" s="803"/>
      <c r="G58" s="1294"/>
      <c r="H58" s="1294"/>
      <c r="I58" s="1303"/>
      <c r="J58" s="1289">
        <f t="shared" si="8"/>
        <v>0</v>
      </c>
      <c r="K58" s="1290">
        <f t="shared" si="5"/>
        <v>0</v>
      </c>
      <c r="L58" s="755"/>
      <c r="M58" s="845"/>
      <c r="N58" s="846">
        <f t="shared" si="0"/>
        <v>0</v>
      </c>
      <c r="O58" s="845"/>
      <c r="P58" s="847">
        <f t="shared" si="1"/>
        <v>0</v>
      </c>
      <c r="Q58" s="848"/>
      <c r="R58" s="846">
        <f t="shared" si="2"/>
        <v>0</v>
      </c>
      <c r="S58" s="788">
        <f t="shared" si="6"/>
        <v>0</v>
      </c>
      <c r="U58" s="815">
        <v>55201010100004</v>
      </c>
      <c r="V58" s="816" t="s">
        <v>149</v>
      </c>
      <c r="W58" s="817">
        <v>0</v>
      </c>
    </row>
    <row r="59" spans="1:23" ht="12.75" customHeight="1" x14ac:dyDescent="0.25">
      <c r="A59" s="1581"/>
      <c r="B59" s="1588"/>
      <c r="C59" s="861"/>
      <c r="D59" s="802"/>
      <c r="E59" s="803"/>
      <c r="F59" s="803"/>
      <c r="G59" s="1294"/>
      <c r="H59" s="1294"/>
      <c r="I59" s="1303"/>
      <c r="J59" s="1289">
        <f t="shared" si="8"/>
        <v>0</v>
      </c>
      <c r="K59" s="1290">
        <f t="shared" si="5"/>
        <v>0</v>
      </c>
      <c r="L59" s="755"/>
      <c r="M59" s="845"/>
      <c r="N59" s="846">
        <f t="shared" si="0"/>
        <v>0</v>
      </c>
      <c r="O59" s="845"/>
      <c r="P59" s="847">
        <f t="shared" si="1"/>
        <v>0</v>
      </c>
      <c r="Q59" s="848"/>
      <c r="R59" s="846">
        <f t="shared" si="2"/>
        <v>0</v>
      </c>
      <c r="S59" s="788">
        <f t="shared" si="6"/>
        <v>0</v>
      </c>
      <c r="U59" s="815">
        <v>55201010100005</v>
      </c>
      <c r="V59" s="816" t="s">
        <v>150</v>
      </c>
      <c r="W59" s="817">
        <v>0</v>
      </c>
    </row>
    <row r="60" spans="1:23" ht="12.75" customHeight="1" x14ac:dyDescent="0.25">
      <c r="A60" s="1581"/>
      <c r="B60" s="1588"/>
      <c r="C60" s="861"/>
      <c r="D60" s="802"/>
      <c r="E60" s="803"/>
      <c r="F60" s="803"/>
      <c r="G60" s="1294"/>
      <c r="H60" s="1294"/>
      <c r="I60" s="1303"/>
      <c r="J60" s="1289">
        <f t="shared" si="8"/>
        <v>0</v>
      </c>
      <c r="K60" s="1290">
        <f t="shared" si="5"/>
        <v>0</v>
      </c>
      <c r="L60" s="755"/>
      <c r="M60" s="845"/>
      <c r="N60" s="846">
        <f t="shared" si="0"/>
        <v>0</v>
      </c>
      <c r="O60" s="845"/>
      <c r="P60" s="847">
        <f t="shared" si="1"/>
        <v>0</v>
      </c>
      <c r="Q60" s="848"/>
      <c r="R60" s="846">
        <f t="shared" si="2"/>
        <v>0</v>
      </c>
      <c r="S60" s="788">
        <f t="shared" si="6"/>
        <v>0</v>
      </c>
      <c r="U60" s="812"/>
      <c r="V60" s="813" t="s">
        <v>151</v>
      </c>
      <c r="W60" s="814">
        <f>SUM(W61:W69)</f>
        <v>5700000</v>
      </c>
    </row>
    <row r="61" spans="1:23" ht="12.75" customHeight="1" thickBot="1" x14ac:dyDescent="0.3">
      <c r="A61" s="1582"/>
      <c r="B61" s="1589"/>
      <c r="C61" s="862"/>
      <c r="D61" s="823"/>
      <c r="E61" s="824"/>
      <c r="F61" s="824"/>
      <c r="G61" s="1296"/>
      <c r="H61" s="1296"/>
      <c r="I61" s="1304"/>
      <c r="J61" s="1291">
        <f t="shared" si="8"/>
        <v>0</v>
      </c>
      <c r="K61" s="829">
        <f t="shared" si="5"/>
        <v>0</v>
      </c>
      <c r="L61" s="755"/>
      <c r="M61" s="863"/>
      <c r="N61" s="864">
        <f t="shared" si="0"/>
        <v>0</v>
      </c>
      <c r="O61" s="863"/>
      <c r="P61" s="865">
        <f t="shared" si="1"/>
        <v>0</v>
      </c>
      <c r="Q61" s="866"/>
      <c r="R61" s="864">
        <f t="shared" si="2"/>
        <v>0</v>
      </c>
      <c r="S61" s="833">
        <f t="shared" si="6"/>
        <v>0</v>
      </c>
      <c r="U61" s="815">
        <v>53207010000000</v>
      </c>
      <c r="V61" s="816" t="s">
        <v>152</v>
      </c>
      <c r="W61" s="817">
        <v>0</v>
      </c>
    </row>
    <row r="62" spans="1:23" ht="12.75" customHeight="1" thickBot="1" x14ac:dyDescent="0.3">
      <c r="K62" s="1305">
        <f>SUM(K15:K61)</f>
        <v>122533617.24999999</v>
      </c>
      <c r="M62" s="867">
        <f>+N62/$K$62</f>
        <v>0.55000000000000004</v>
      </c>
      <c r="N62" s="868">
        <f>SUM(N15:N61)</f>
        <v>67393489.487499997</v>
      </c>
      <c r="O62" s="867">
        <f>+P62/$K$62</f>
        <v>0</v>
      </c>
      <c r="P62" s="868">
        <f>SUM(P15:P61)</f>
        <v>0</v>
      </c>
      <c r="Q62" s="867">
        <f>+R62/$K$62</f>
        <v>0</v>
      </c>
      <c r="R62" s="868">
        <f>SUM(R15:R61)</f>
        <v>0</v>
      </c>
      <c r="U62" s="815">
        <v>53207020000000</v>
      </c>
      <c r="V62" s="816" t="s">
        <v>153</v>
      </c>
      <c r="W62" s="817">
        <v>2500000</v>
      </c>
    </row>
    <row r="63" spans="1:23" ht="12.75" customHeight="1" x14ac:dyDescent="0.25">
      <c r="K63" s="869">
        <v>1</v>
      </c>
      <c r="U63" s="815">
        <v>53208020000000</v>
      </c>
      <c r="V63" s="816" t="s">
        <v>154</v>
      </c>
      <c r="W63" s="817">
        <v>0</v>
      </c>
    </row>
    <row r="64" spans="1:23" ht="12.75" customHeight="1" thickBot="1" x14ac:dyDescent="0.3">
      <c r="U64" s="815">
        <v>53208990000000</v>
      </c>
      <c r="V64" s="816" t="s">
        <v>155</v>
      </c>
      <c r="W64" s="817">
        <v>300000</v>
      </c>
    </row>
    <row r="65" spans="1:23" ht="12.75" customHeight="1" x14ac:dyDescent="0.25">
      <c r="A65" s="1568" t="s">
        <v>386</v>
      </c>
      <c r="B65" s="1571" t="s">
        <v>387</v>
      </c>
      <c r="C65" s="834"/>
      <c r="D65" s="835"/>
      <c r="E65" s="836"/>
      <c r="F65" s="837" t="s">
        <v>388</v>
      </c>
      <c r="G65" s="838">
        <v>0</v>
      </c>
      <c r="H65" s="838">
        <v>0</v>
      </c>
      <c r="I65" s="853">
        <v>0</v>
      </c>
      <c r="J65" s="839">
        <f t="shared" si="4"/>
        <v>0</v>
      </c>
      <c r="K65" s="784">
        <f t="shared" si="5"/>
        <v>0</v>
      </c>
      <c r="L65" s="755"/>
      <c r="U65" s="815">
        <v>53209010000000</v>
      </c>
      <c r="V65" s="816" t="s">
        <v>156</v>
      </c>
      <c r="W65" s="817">
        <v>0</v>
      </c>
    </row>
    <row r="66" spans="1:23" ht="12.75" customHeight="1" x14ac:dyDescent="0.25">
      <c r="A66" s="1569"/>
      <c r="B66" s="1572"/>
      <c r="C66" s="780"/>
      <c r="D66" s="781"/>
      <c r="E66" s="782"/>
      <c r="F66" s="783" t="s">
        <v>388</v>
      </c>
      <c r="G66" s="805">
        <v>0</v>
      </c>
      <c r="H66" s="805">
        <v>0</v>
      </c>
      <c r="I66" s="806">
        <v>0</v>
      </c>
      <c r="J66" s="807">
        <f t="shared" si="4"/>
        <v>0</v>
      </c>
      <c r="K66" s="808">
        <f t="shared" si="5"/>
        <v>0</v>
      </c>
      <c r="L66" s="755"/>
      <c r="O66" s="870"/>
      <c r="U66" s="815">
        <v>53209040000000</v>
      </c>
      <c r="V66" s="816" t="s">
        <v>157</v>
      </c>
      <c r="W66" s="817">
        <v>0</v>
      </c>
    </row>
    <row r="67" spans="1:23" ht="12.75" customHeight="1" x14ac:dyDescent="0.25">
      <c r="A67" s="1569"/>
      <c r="B67" s="1572"/>
      <c r="C67" s="780"/>
      <c r="D67" s="781"/>
      <c r="E67" s="782"/>
      <c r="F67" s="783" t="s">
        <v>388</v>
      </c>
      <c r="G67" s="805">
        <v>0</v>
      </c>
      <c r="H67" s="805">
        <v>0</v>
      </c>
      <c r="I67" s="806">
        <v>0</v>
      </c>
      <c r="J67" s="807">
        <f t="shared" si="4"/>
        <v>0</v>
      </c>
      <c r="K67" s="808">
        <f t="shared" si="5"/>
        <v>0</v>
      </c>
      <c r="L67" s="755"/>
      <c r="U67" s="815">
        <v>53209050000000</v>
      </c>
      <c r="V67" s="816" t="s">
        <v>158</v>
      </c>
      <c r="W67" s="817">
        <v>2900000</v>
      </c>
    </row>
    <row r="68" spans="1:23" ht="12.75" customHeight="1" x14ac:dyDescent="0.25">
      <c r="A68" s="1569"/>
      <c r="B68" s="1572"/>
      <c r="C68" s="801"/>
      <c r="D68" s="802"/>
      <c r="E68" s="803"/>
      <c r="F68" s="804" t="s">
        <v>388</v>
      </c>
      <c r="G68" s="805">
        <v>0</v>
      </c>
      <c r="H68" s="805">
        <v>0</v>
      </c>
      <c r="I68" s="806">
        <v>0</v>
      </c>
      <c r="J68" s="807">
        <f t="shared" si="4"/>
        <v>0</v>
      </c>
      <c r="K68" s="808">
        <f t="shared" si="5"/>
        <v>0</v>
      </c>
      <c r="L68" s="755"/>
      <c r="U68" s="815">
        <v>53209990000000</v>
      </c>
      <c r="V68" s="816" t="s">
        <v>159</v>
      </c>
      <c r="W68" s="817">
        <v>0</v>
      </c>
    </row>
    <row r="69" spans="1:23" ht="12.75" customHeight="1" thickBot="1" x14ac:dyDescent="0.3">
      <c r="A69" s="1570"/>
      <c r="B69" s="1573"/>
      <c r="C69" s="822"/>
      <c r="D69" s="823"/>
      <c r="E69" s="824"/>
      <c r="F69" s="825" t="s">
        <v>388</v>
      </c>
      <c r="G69" s="826">
        <v>0</v>
      </c>
      <c r="H69" s="826">
        <v>0</v>
      </c>
      <c r="I69" s="827">
        <v>0</v>
      </c>
      <c r="J69" s="828">
        <f t="shared" si="4"/>
        <v>0</v>
      </c>
      <c r="K69" s="829">
        <f t="shared" si="5"/>
        <v>0</v>
      </c>
      <c r="L69" s="755"/>
      <c r="U69" s="815">
        <v>53210020100000</v>
      </c>
      <c r="V69" s="816" t="s">
        <v>160</v>
      </c>
      <c r="W69" s="817">
        <v>0</v>
      </c>
    </row>
    <row r="70" spans="1:23" ht="15.5" x14ac:dyDescent="0.25">
      <c r="C70" s="754"/>
      <c r="D70" s="754"/>
      <c r="E70" s="870"/>
      <c r="F70" s="870"/>
      <c r="G70" s="870"/>
      <c r="H70" s="870"/>
      <c r="I70" s="870"/>
      <c r="K70" s="871">
        <f>SUM(K65:K69)</f>
        <v>0</v>
      </c>
      <c r="L70" s="755"/>
      <c r="U70" s="812"/>
      <c r="V70" s="813" t="s">
        <v>161</v>
      </c>
      <c r="W70" s="814">
        <f>SUM(W71:W77)</f>
        <v>2400000</v>
      </c>
    </row>
    <row r="71" spans="1:23" ht="14.5" x14ac:dyDescent="0.25">
      <c r="K71" s="869">
        <v>1</v>
      </c>
      <c r="L71" s="755"/>
      <c r="M71" s="872"/>
      <c r="O71" s="872"/>
      <c r="Q71" s="872"/>
      <c r="U71" s="815">
        <v>53206030000000</v>
      </c>
      <c r="V71" s="816" t="s">
        <v>162</v>
      </c>
      <c r="W71" s="817">
        <v>0</v>
      </c>
    </row>
    <row r="72" spans="1:23" ht="15" thickBot="1" x14ac:dyDescent="0.3">
      <c r="L72" s="755"/>
      <c r="U72" s="815">
        <v>53206040000000</v>
      </c>
      <c r="V72" s="816" t="s">
        <v>163</v>
      </c>
      <c r="W72" s="817">
        <v>0</v>
      </c>
    </row>
    <row r="73" spans="1:23" ht="15" customHeight="1" x14ac:dyDescent="0.35">
      <c r="A73" s="1575" t="s">
        <v>174</v>
      </c>
      <c r="B73" s="1578" t="s">
        <v>179</v>
      </c>
      <c r="C73" s="741"/>
      <c r="D73" s="740"/>
      <c r="E73" s="740"/>
      <c r="F73" s="196"/>
      <c r="G73" s="873"/>
      <c r="H73" s="873"/>
      <c r="I73" s="873"/>
      <c r="J73" s="874">
        <f>SUM(G73:I73)</f>
        <v>0</v>
      </c>
      <c r="K73" s="326">
        <f>(G73*($K$11+1))*$K$12+H73+I73</f>
        <v>0</v>
      </c>
      <c r="U73" s="815">
        <v>53206060000000</v>
      </c>
      <c r="V73" s="816" t="s">
        <v>164</v>
      </c>
      <c r="W73" s="817">
        <v>400000</v>
      </c>
    </row>
    <row r="74" spans="1:23" ht="15" customHeight="1" x14ac:dyDescent="0.35">
      <c r="A74" s="1576"/>
      <c r="B74" s="1579"/>
      <c r="C74" s="194"/>
      <c r="D74" s="549"/>
      <c r="E74" s="549"/>
      <c r="F74" s="875"/>
      <c r="G74" s="876"/>
      <c r="H74" s="876"/>
      <c r="I74" s="876"/>
      <c r="J74" s="324">
        <f>SUM(G74:I74)</f>
        <v>0</v>
      </c>
      <c r="K74" s="877">
        <f>(G74*($K$11+1))*$K$12+H74+I74</f>
        <v>0</v>
      </c>
      <c r="U74" s="815">
        <v>53206070000000</v>
      </c>
      <c r="V74" s="816" t="s">
        <v>165</v>
      </c>
      <c r="W74" s="817">
        <v>0</v>
      </c>
    </row>
    <row r="75" spans="1:23" ht="15.75" customHeight="1" x14ac:dyDescent="0.35">
      <c r="A75" s="1576"/>
      <c r="B75" s="1579"/>
      <c r="C75" s="87"/>
      <c r="D75" s="590"/>
      <c r="E75" s="878"/>
      <c r="F75" s="875"/>
      <c r="G75" s="876"/>
      <c r="H75" s="876"/>
      <c r="I75" s="879"/>
      <c r="J75" s="324">
        <f>SUM(G75:I75)</f>
        <v>0</v>
      </c>
      <c r="K75" s="877">
        <f>(G75*($K$11+1))*$K$12+H75+I75</f>
        <v>0</v>
      </c>
      <c r="U75" s="815">
        <v>53206990000000</v>
      </c>
      <c r="V75" s="816" t="s">
        <v>166</v>
      </c>
      <c r="W75" s="817">
        <v>2000000</v>
      </c>
    </row>
    <row r="76" spans="1:23" ht="15" customHeight="1" x14ac:dyDescent="0.35">
      <c r="A76" s="1576"/>
      <c r="B76" s="1579"/>
      <c r="C76" s="194"/>
      <c r="D76" s="549"/>
      <c r="E76" s="739"/>
      <c r="F76" s="880"/>
      <c r="G76" s="876"/>
      <c r="H76" s="876"/>
      <c r="I76" s="879"/>
      <c r="J76" s="324">
        <f>SUM(G76:I76)</f>
        <v>0</v>
      </c>
      <c r="K76" s="877">
        <f>(G76*($K$11+1))*$K$12+H76+I76</f>
        <v>0</v>
      </c>
      <c r="U76" s="815">
        <v>53208030000000</v>
      </c>
      <c r="V76" s="816" t="s">
        <v>167</v>
      </c>
      <c r="W76" s="817">
        <v>0</v>
      </c>
    </row>
    <row r="77" spans="1:23" ht="15" customHeight="1" thickBot="1" x14ac:dyDescent="0.4">
      <c r="A77" s="1577"/>
      <c r="B77" s="1580"/>
      <c r="C77" s="86"/>
      <c r="D77" s="247"/>
      <c r="E77" s="881"/>
      <c r="F77" s="882"/>
      <c r="G77" s="883"/>
      <c r="H77" s="883"/>
      <c r="I77" s="884"/>
      <c r="J77" s="325">
        <f>SUM(G77:I77)</f>
        <v>0</v>
      </c>
      <c r="K77" s="57">
        <f>(G77*($K$11+1))*$K$12+H77+I77</f>
        <v>0</v>
      </c>
      <c r="U77" s="815">
        <v>53212060000000</v>
      </c>
      <c r="V77" s="816" t="s">
        <v>168</v>
      </c>
      <c r="W77" s="817">
        <v>0</v>
      </c>
    </row>
    <row r="78" spans="1:23" ht="15.75" customHeight="1" thickBot="1" x14ac:dyDescent="0.4">
      <c r="A78" s="56"/>
      <c r="B78" s="56"/>
      <c r="C78" s="59"/>
      <c r="D78" s="59"/>
      <c r="E78" s="67"/>
      <c r="F78" s="67"/>
      <c r="G78" s="67"/>
      <c r="H78" s="67"/>
      <c r="I78" s="67"/>
      <c r="J78" s="56"/>
      <c r="K78" s="327">
        <f>SUM(K73:K77)</f>
        <v>0</v>
      </c>
      <c r="U78" s="812"/>
      <c r="V78" s="813" t="s">
        <v>169</v>
      </c>
      <c r="W78" s="814">
        <f>SUM(W79:W79)</f>
        <v>0</v>
      </c>
    </row>
    <row r="79" spans="1:23" ht="15" thickBot="1" x14ac:dyDescent="0.4">
      <c r="A79" s="56"/>
      <c r="B79" s="56"/>
      <c r="C79" s="56"/>
      <c r="D79" s="56"/>
      <c r="E79" s="56"/>
      <c r="F79" s="56"/>
      <c r="G79" s="56"/>
      <c r="H79" s="56"/>
      <c r="I79" s="56"/>
      <c r="J79" s="56"/>
      <c r="K79" s="58">
        <v>1</v>
      </c>
      <c r="U79" s="815">
        <v>53204999000000</v>
      </c>
      <c r="V79" s="816" t="s">
        <v>171</v>
      </c>
      <c r="W79" s="817">
        <v>0</v>
      </c>
    </row>
    <row r="80" spans="1:23" ht="14.5" x14ac:dyDescent="0.25">
      <c r="A80" s="1568" t="s">
        <v>386</v>
      </c>
      <c r="B80" s="1571" t="s">
        <v>389</v>
      </c>
      <c r="C80" s="834"/>
      <c r="D80" s="835"/>
      <c r="E80" s="836"/>
      <c r="F80" s="837" t="s">
        <v>388</v>
      </c>
      <c r="G80" s="838">
        <v>0</v>
      </c>
      <c r="H80" s="838">
        <v>0</v>
      </c>
      <c r="I80" s="853">
        <v>0</v>
      </c>
      <c r="J80" s="839">
        <f>SUM(G80:I80)</f>
        <v>0</v>
      </c>
      <c r="K80" s="784">
        <f>+J80*(1+$K$11)</f>
        <v>0</v>
      </c>
      <c r="U80" s="885"/>
      <c r="V80" s="886" t="s">
        <v>189</v>
      </c>
      <c r="W80" s="887">
        <f>+W40+W15</f>
        <v>35718000</v>
      </c>
    </row>
    <row r="81" spans="1:11" ht="14.5" x14ac:dyDescent="0.25">
      <c r="A81" s="1569"/>
      <c r="B81" s="1572"/>
      <c r="C81" s="780"/>
      <c r="D81" s="781"/>
      <c r="E81" s="782"/>
      <c r="F81" s="783" t="s">
        <v>388</v>
      </c>
      <c r="G81" s="805">
        <v>0</v>
      </c>
      <c r="H81" s="805">
        <v>0</v>
      </c>
      <c r="I81" s="806">
        <v>0</v>
      </c>
      <c r="J81" s="807">
        <f>SUM(G81:I81)</f>
        <v>0</v>
      </c>
      <c r="K81" s="808">
        <f>+J81*(1+$K$11)</f>
        <v>0</v>
      </c>
    </row>
    <row r="82" spans="1:11" ht="14.5" x14ac:dyDescent="0.25">
      <c r="A82" s="1569"/>
      <c r="B82" s="1572"/>
      <c r="C82" s="780"/>
      <c r="D82" s="781"/>
      <c r="E82" s="782"/>
      <c r="F82" s="783" t="s">
        <v>388</v>
      </c>
      <c r="G82" s="805">
        <v>0</v>
      </c>
      <c r="H82" s="805">
        <v>0</v>
      </c>
      <c r="I82" s="806">
        <v>0</v>
      </c>
      <c r="J82" s="807">
        <f>SUM(G82:I82)</f>
        <v>0</v>
      </c>
      <c r="K82" s="808">
        <f>+J82*(1+$K$11)</f>
        <v>0</v>
      </c>
    </row>
    <row r="83" spans="1:11" ht="15.75" customHeight="1" x14ac:dyDescent="0.25">
      <c r="A83" s="1569"/>
      <c r="B83" s="1572"/>
      <c r="C83" s="801"/>
      <c r="D83" s="802"/>
      <c r="E83" s="803"/>
      <c r="F83" s="804" t="s">
        <v>388</v>
      </c>
      <c r="G83" s="805">
        <v>0</v>
      </c>
      <c r="H83" s="805">
        <v>0</v>
      </c>
      <c r="I83" s="806">
        <v>0</v>
      </c>
      <c r="J83" s="807">
        <f>SUM(G83:I83)</f>
        <v>0</v>
      </c>
      <c r="K83" s="808">
        <f>+J83*(1+$K$11)</f>
        <v>0</v>
      </c>
    </row>
    <row r="84" spans="1:11" ht="15" thickBot="1" x14ac:dyDescent="0.3">
      <c r="A84" s="1570"/>
      <c r="B84" s="1573"/>
      <c r="C84" s="822"/>
      <c r="D84" s="823"/>
      <c r="E84" s="824"/>
      <c r="F84" s="825" t="s">
        <v>388</v>
      </c>
      <c r="G84" s="826">
        <v>0</v>
      </c>
      <c r="H84" s="826">
        <v>0</v>
      </c>
      <c r="I84" s="827">
        <v>0</v>
      </c>
      <c r="J84" s="828">
        <f>SUM(G84:I84)</f>
        <v>0</v>
      </c>
      <c r="K84" s="829">
        <f>+J84*(1+$K$11)</f>
        <v>0</v>
      </c>
    </row>
    <row r="85" spans="1:11" ht="15.5" x14ac:dyDescent="0.25">
      <c r="C85" s="754"/>
      <c r="D85" s="754"/>
      <c r="E85" s="870"/>
      <c r="F85" s="870"/>
      <c r="G85" s="870"/>
      <c r="H85" s="870"/>
      <c r="I85" s="870"/>
      <c r="K85" s="871">
        <f>SUM(K80:K84)</f>
        <v>0</v>
      </c>
    </row>
    <row r="86" spans="1:11" ht="13" x14ac:dyDescent="0.25">
      <c r="K86" s="869">
        <v>1</v>
      </c>
    </row>
    <row r="97" spans="11:12" x14ac:dyDescent="0.25">
      <c r="L97" s="888"/>
    </row>
    <row r="99" spans="11:12" ht="14.5" x14ac:dyDescent="0.35">
      <c r="K99" s="889"/>
    </row>
    <row r="101" spans="11:12" x14ac:dyDescent="0.25">
      <c r="K101" s="890"/>
    </row>
  </sheetData>
  <mergeCells count="47">
    <mergeCell ref="A80:A84"/>
    <mergeCell ref="B80:B84"/>
    <mergeCell ref="O13:P13"/>
    <mergeCell ref="Q13:R13"/>
    <mergeCell ref="A65:A69"/>
    <mergeCell ref="B65:B69"/>
    <mergeCell ref="A73:A77"/>
    <mergeCell ref="B73:B77"/>
    <mergeCell ref="A15:A61"/>
    <mergeCell ref="B15:B24"/>
    <mergeCell ref="B25:B34"/>
    <mergeCell ref="B35:B39"/>
    <mergeCell ref="B40:B61"/>
    <mergeCell ref="Z9:AE10"/>
    <mergeCell ref="C13:C14"/>
    <mergeCell ref="D13:D14"/>
    <mergeCell ref="Z13:AA13"/>
    <mergeCell ref="AB13:AC13"/>
    <mergeCell ref="A9:H9"/>
    <mergeCell ref="M9:S10"/>
    <mergeCell ref="U9:W10"/>
    <mergeCell ref="M12:R12"/>
    <mergeCell ref="A13:B14"/>
    <mergeCell ref="G13:J13"/>
    <mergeCell ref="M13:N13"/>
    <mergeCell ref="AN14:AO14"/>
    <mergeCell ref="AP14:AQ14"/>
    <mergeCell ref="AR14:AS14"/>
    <mergeCell ref="AN15:AO15"/>
    <mergeCell ref="AP15:AQ15"/>
    <mergeCell ref="AR15:AS15"/>
    <mergeCell ref="AN9:AS10"/>
    <mergeCell ref="AN13:AO13"/>
    <mergeCell ref="AP13:AQ13"/>
    <mergeCell ref="AR13:AS13"/>
    <mergeCell ref="E13:E14"/>
    <mergeCell ref="F13:F14"/>
    <mergeCell ref="S13:S14"/>
    <mergeCell ref="U13:U14"/>
    <mergeCell ref="V13:V14"/>
    <mergeCell ref="W13:W14"/>
    <mergeCell ref="K13:K14"/>
    <mergeCell ref="AG9:AL10"/>
    <mergeCell ref="AD13:AE13"/>
    <mergeCell ref="AG13:AH13"/>
    <mergeCell ref="AI13:AJ13"/>
    <mergeCell ref="AK13:AL13"/>
  </mergeCells>
  <conditionalFormatting sqref="S15:S61">
    <cfRule type="cellIs" dxfId="19" priority="1" operator="equal">
      <formula>1</formula>
    </cfRule>
  </conditionalFormatting>
  <pageMargins left="0.7" right="0.7" top="0.75" bottom="0.75" header="0.3" footer="0.3"/>
  <ignoredErrors>
    <ignoredError sqref="W20" unlockedFormula="1"/>
  </ignoredError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249977111117893"/>
  </sheetPr>
  <dimension ref="A1:R68"/>
  <sheetViews>
    <sheetView topLeftCell="A2" workbookViewId="0">
      <selection activeCell="L87" sqref="L87"/>
    </sheetView>
  </sheetViews>
  <sheetFormatPr baseColWidth="10" defaultRowHeight="14.5" x14ac:dyDescent="0.35"/>
  <cols>
    <col min="1" max="1" width="28" style="4" customWidth="1"/>
    <col min="2" max="2" width="42.26953125" style="4" bestFit="1" customWidth="1"/>
    <col min="3" max="3" width="14.1796875" style="4" customWidth="1"/>
    <col min="4" max="4" width="14.1796875" style="4" bestFit="1" customWidth="1"/>
    <col min="5" max="18" width="14.1796875" style="4" customWidth="1"/>
  </cols>
  <sheetData>
    <row r="1" spans="1:18" x14ac:dyDescent="0.35">
      <c r="A1" s="2"/>
      <c r="B1" s="69"/>
      <c r="C1" s="2"/>
      <c r="D1" s="2"/>
      <c r="E1" s="2"/>
      <c r="F1" s="3"/>
      <c r="G1" s="2"/>
      <c r="H1" s="2"/>
      <c r="I1" s="2"/>
      <c r="J1" s="2"/>
      <c r="K1" s="2"/>
      <c r="L1" s="2"/>
      <c r="M1" s="2"/>
      <c r="N1" s="2"/>
      <c r="O1" s="2"/>
      <c r="P1" s="2"/>
      <c r="Q1" s="2"/>
      <c r="R1" s="2"/>
    </row>
    <row r="2" spans="1:18" x14ac:dyDescent="0.35">
      <c r="A2" s="2"/>
      <c r="B2" s="1"/>
      <c r="C2" s="2"/>
      <c r="D2" s="2"/>
      <c r="E2" s="2"/>
      <c r="F2" s="3" t="s">
        <v>197</v>
      </c>
      <c r="G2" s="2"/>
      <c r="H2" s="2"/>
      <c r="I2" s="2"/>
      <c r="J2" s="2"/>
      <c r="K2" s="2"/>
      <c r="L2" s="76"/>
      <c r="M2" s="2"/>
      <c r="N2" s="2"/>
      <c r="O2" s="2"/>
      <c r="P2" s="2"/>
      <c r="Q2" s="2"/>
      <c r="R2" s="2"/>
    </row>
    <row r="3" spans="1:18" x14ac:dyDescent="0.35">
      <c r="A3" s="2"/>
      <c r="C3" s="2"/>
      <c r="D3" s="2"/>
      <c r="E3" s="2"/>
      <c r="F3" s="2"/>
      <c r="G3" s="2"/>
      <c r="H3" s="2"/>
      <c r="I3" s="2"/>
      <c r="J3" s="2"/>
      <c r="K3" s="2"/>
      <c r="L3" s="2"/>
      <c r="M3" s="77"/>
      <c r="N3" s="2"/>
      <c r="O3" s="2"/>
      <c r="P3" s="2"/>
      <c r="Q3" s="2"/>
      <c r="R3" s="2"/>
    </row>
    <row r="4" spans="1:18" ht="15.5" x14ac:dyDescent="0.35">
      <c r="A4" s="2"/>
      <c r="C4" s="5"/>
      <c r="D4" s="2"/>
      <c r="E4" s="5" t="s">
        <v>1</v>
      </c>
      <c r="F4" s="1521" t="s">
        <v>20</v>
      </c>
      <c r="G4" s="1522"/>
      <c r="H4" s="5"/>
      <c r="I4" s="5"/>
      <c r="J4" s="5"/>
      <c r="K4" s="5"/>
      <c r="L4" s="5"/>
      <c r="M4" s="5"/>
      <c r="N4" s="5"/>
      <c r="O4" s="5"/>
      <c r="P4" s="5"/>
      <c r="Q4" s="5"/>
      <c r="R4" s="5"/>
    </row>
    <row r="5" spans="1:18" x14ac:dyDescent="0.35">
      <c r="A5" s="2"/>
      <c r="C5" s="5"/>
      <c r="D5" s="2"/>
      <c r="E5" s="5"/>
      <c r="F5" s="3"/>
      <c r="G5" s="3"/>
      <c r="H5" s="5"/>
      <c r="I5" s="5"/>
      <c r="J5" s="5"/>
      <c r="K5" s="5"/>
      <c r="L5" s="5"/>
      <c r="M5" s="5"/>
      <c r="N5" s="5"/>
      <c r="O5" s="5"/>
      <c r="P5" s="5"/>
      <c r="Q5" s="5"/>
      <c r="R5" s="5"/>
    </row>
    <row r="6" spans="1:18" ht="15.5" x14ac:dyDescent="0.35">
      <c r="A6" s="1590" t="s">
        <v>198</v>
      </c>
      <c r="B6" s="1590"/>
      <c r="C6" s="5"/>
      <c r="D6" s="2"/>
      <c r="E6" s="5"/>
      <c r="F6" s="3"/>
      <c r="G6" s="3"/>
      <c r="H6" s="5"/>
      <c r="I6" s="5"/>
      <c r="J6" s="5"/>
      <c r="K6" s="5"/>
      <c r="L6" s="5"/>
      <c r="M6" s="5"/>
      <c r="N6" s="5"/>
      <c r="O6" s="5"/>
      <c r="P6" s="5"/>
      <c r="Q6" s="5"/>
      <c r="R6" s="5"/>
    </row>
    <row r="7" spans="1:18" ht="15" thickBot="1" x14ac:dyDescent="0.4">
      <c r="A7" s="2"/>
      <c r="B7" s="3"/>
      <c r="C7" s="3"/>
      <c r="D7" s="3"/>
      <c r="E7" s="3"/>
      <c r="F7" s="3"/>
      <c r="G7" s="3"/>
      <c r="H7" s="3"/>
      <c r="I7" s="3"/>
      <c r="J7" s="3"/>
      <c r="K7" s="3"/>
      <c r="L7" s="3"/>
      <c r="M7" s="3"/>
      <c r="N7" s="3"/>
      <c r="O7" s="2"/>
      <c r="P7" s="2"/>
      <c r="Q7" s="3"/>
      <c r="R7" s="3"/>
    </row>
    <row r="8" spans="1:18" ht="16" thickBot="1" x14ac:dyDescent="0.4">
      <c r="A8" s="1591" t="s">
        <v>3</v>
      </c>
      <c r="B8" s="1593" t="s">
        <v>21</v>
      </c>
      <c r="C8" s="1595" t="s">
        <v>405</v>
      </c>
      <c r="D8" s="1595"/>
      <c r="E8" s="1595"/>
      <c r="F8" s="1595"/>
      <c r="G8" s="1602" t="s">
        <v>406</v>
      </c>
      <c r="H8" s="1603"/>
      <c r="I8" s="1603"/>
      <c r="J8" s="1604"/>
      <c r="K8" s="1603" t="s">
        <v>202</v>
      </c>
      <c r="L8" s="1603"/>
      <c r="M8" s="1603"/>
      <c r="N8" s="1603"/>
      <c r="O8" s="1602" t="s">
        <v>203</v>
      </c>
      <c r="P8" s="1603"/>
      <c r="Q8" s="1603"/>
      <c r="R8" s="1604"/>
    </row>
    <row r="9" spans="1:18" ht="15" thickBot="1" x14ac:dyDescent="0.4">
      <c r="A9" s="1592" t="e">
        <f>NA()</f>
        <v>#N/A</v>
      </c>
      <c r="B9" s="1594" t="e">
        <f>NA()</f>
        <v>#N/A</v>
      </c>
      <c r="C9" s="70" t="s">
        <v>73</v>
      </c>
      <c r="D9" s="71" t="s">
        <v>199</v>
      </c>
      <c r="E9" s="71" t="s">
        <v>200</v>
      </c>
      <c r="F9" s="72" t="s">
        <v>201</v>
      </c>
      <c r="G9" s="321" t="s">
        <v>73</v>
      </c>
      <c r="H9" s="322" t="s">
        <v>199</v>
      </c>
      <c r="I9" s="322" t="s">
        <v>200</v>
      </c>
      <c r="J9" s="323" t="s">
        <v>201</v>
      </c>
      <c r="K9" s="79" t="s">
        <v>73</v>
      </c>
      <c r="L9" s="78" t="s">
        <v>199</v>
      </c>
      <c r="M9" s="78" t="s">
        <v>200</v>
      </c>
      <c r="N9" s="80" t="s">
        <v>201</v>
      </c>
      <c r="O9" s="81" t="s">
        <v>73</v>
      </c>
      <c r="P9" s="82" t="s">
        <v>199</v>
      </c>
      <c r="Q9" s="82" t="s">
        <v>200</v>
      </c>
      <c r="R9" s="83" t="s">
        <v>201</v>
      </c>
    </row>
    <row r="10" spans="1:18" x14ac:dyDescent="0.35">
      <c r="A10" s="1596" t="str">
        <f>+'B) Reajuste Tarifas y Ocupación'!A9</f>
        <v>C. R. Faro Limar</v>
      </c>
      <c r="B10" s="256" t="str">
        <f>+'B) Reajuste Tarifas y Ocupación'!B9</f>
        <v>Cabañas</v>
      </c>
      <c r="C10" s="477">
        <f>+'B) Reajuste Tarifas y Ocupación'!L9</f>
        <v>43400</v>
      </c>
      <c r="D10" s="478">
        <f>+'B) Reajuste Tarifas y Ocupación'!M9</f>
        <v>66700</v>
      </c>
      <c r="E10" s="478">
        <f>+'B) Reajuste Tarifas y Ocupación'!N9</f>
        <v>90700</v>
      </c>
      <c r="F10" s="479">
        <f>+'B) Reajuste Tarifas y Ocupación'!O9</f>
        <v>98300</v>
      </c>
      <c r="G10" s="480">
        <f>+'B) Reajuste Tarifas y Ocupación'!E9</f>
        <v>41500</v>
      </c>
      <c r="H10" s="481">
        <f>+'B) Reajuste Tarifas y Ocupación'!F9</f>
        <v>63800</v>
      </c>
      <c r="I10" s="481">
        <f>+'B) Reajuste Tarifas y Ocupación'!G9</f>
        <v>86700</v>
      </c>
      <c r="J10" s="482">
        <f>+'B) Reajuste Tarifas y Ocupación'!H9</f>
        <v>94000</v>
      </c>
      <c r="K10" s="444">
        <f>C10-G10</f>
        <v>1900</v>
      </c>
      <c r="L10" s="445">
        <f>D10-H10</f>
        <v>2900</v>
      </c>
      <c r="M10" s="445">
        <f>E10-I10</f>
        <v>4000</v>
      </c>
      <c r="N10" s="446">
        <f>F10-J10</f>
        <v>4300</v>
      </c>
      <c r="O10" s="447">
        <f>+P10</f>
        <v>4.4999999999999998E-2</v>
      </c>
      <c r="P10" s="483">
        <f>+'B) Reajuste Tarifas y Ocupación'!I9</f>
        <v>4.4999999999999998E-2</v>
      </c>
      <c r="Q10" s="483">
        <f>'B) Reajuste Tarifas y Ocupación'!J9</f>
        <v>4.4999999999999998E-2</v>
      </c>
      <c r="R10" s="483">
        <f>+'B) Reajuste Tarifas y Ocupación'!K9</f>
        <v>4.4999999999999998E-2</v>
      </c>
    </row>
    <row r="11" spans="1:18" x14ac:dyDescent="0.35">
      <c r="A11" s="1597"/>
      <c r="B11" s="257" t="str">
        <f>+'B) Reajuste Tarifas y Ocupación'!B10</f>
        <v>Late check-out o early check-in</v>
      </c>
      <c r="C11" s="484"/>
      <c r="D11" s="485"/>
      <c r="E11" s="485"/>
      <c r="F11" s="486"/>
      <c r="G11" s="487"/>
      <c r="H11" s="488"/>
      <c r="I11" s="488"/>
      <c r="J11" s="489"/>
      <c r="K11" s="448"/>
      <c r="L11" s="449"/>
      <c r="M11" s="449"/>
      <c r="N11" s="450"/>
      <c r="O11" s="1605"/>
      <c r="P11" s="1606"/>
      <c r="Q11" s="1606"/>
      <c r="R11" s="1607"/>
    </row>
    <row r="12" spans="1:18" x14ac:dyDescent="0.35">
      <c r="A12" s="1597"/>
      <c r="B12" s="258" t="str">
        <f>+'B) Reajuste Tarifas y Ocupación'!B11</f>
        <v>Cabaña</v>
      </c>
      <c r="C12" s="484"/>
      <c r="D12" s="490">
        <f>+'B) Reajuste Tarifas y Ocupación'!M11</f>
        <v>20100</v>
      </c>
      <c r="E12" s="490">
        <f>+'B) Reajuste Tarifas y Ocupación'!N11</f>
        <v>27300</v>
      </c>
      <c r="F12" s="491">
        <f>+'B) Reajuste Tarifas y Ocupación'!O11</f>
        <v>29500</v>
      </c>
      <c r="G12" s="487"/>
      <c r="H12" s="492">
        <f>+'B) Reajuste Tarifas y Ocupación'!F11</f>
        <v>19200</v>
      </c>
      <c r="I12" s="492">
        <f>+'B) Reajuste Tarifas y Ocupación'!G11</f>
        <v>26100</v>
      </c>
      <c r="J12" s="493">
        <f>+'B) Reajuste Tarifas y Ocupación'!H11</f>
        <v>28200</v>
      </c>
      <c r="K12" s="448"/>
      <c r="L12" s="451">
        <f t="shared" ref="L12:N23" si="0">D12-H12</f>
        <v>900</v>
      </c>
      <c r="M12" s="451">
        <f t="shared" si="0"/>
        <v>1200</v>
      </c>
      <c r="N12" s="452">
        <f t="shared" si="0"/>
        <v>1300</v>
      </c>
      <c r="O12" s="453"/>
      <c r="P12" s="494"/>
      <c r="Q12" s="494"/>
      <c r="R12" s="495"/>
    </row>
    <row r="13" spans="1:18" x14ac:dyDescent="0.35">
      <c r="A13" s="1597"/>
      <c r="B13" s="258" t="str">
        <f>+'B) Reajuste Tarifas y Ocupación'!B12</f>
        <v>Camping 5 P.</v>
      </c>
      <c r="C13" s="496">
        <f>+'B) Reajuste Tarifas y Ocupación'!L12</f>
        <v>24600</v>
      </c>
      <c r="D13" s="497">
        <f>+'B) Reajuste Tarifas y Ocupación'!M12</f>
        <v>37700</v>
      </c>
      <c r="E13" s="497">
        <f>+'B) Reajuste Tarifas y Ocupación'!N12</f>
        <v>51200</v>
      </c>
      <c r="F13" s="498">
        <f>+'B) Reajuste Tarifas y Ocupación'!O12</f>
        <v>55400</v>
      </c>
      <c r="G13" s="499">
        <f>+'B) Reajuste Tarifas y Ocupación'!E12</f>
        <v>23400</v>
      </c>
      <c r="H13" s="492">
        <f>+'B) Reajuste Tarifas y Ocupación'!F12</f>
        <v>36000</v>
      </c>
      <c r="I13" s="492">
        <f>+'B) Reajuste Tarifas y Ocupación'!G12</f>
        <v>48900</v>
      </c>
      <c r="J13" s="493">
        <f>+'B) Reajuste Tarifas y Ocupación'!H12</f>
        <v>53000</v>
      </c>
      <c r="K13" s="454">
        <f t="shared" ref="K13:K21" si="1">C13-G13</f>
        <v>1200</v>
      </c>
      <c r="L13" s="451">
        <f t="shared" si="0"/>
        <v>1700</v>
      </c>
      <c r="M13" s="451">
        <f t="shared" si="0"/>
        <v>2300</v>
      </c>
      <c r="N13" s="452">
        <f t="shared" si="0"/>
        <v>2400</v>
      </c>
      <c r="O13" s="455">
        <f>+P13</f>
        <v>4.4999999999999998E-2</v>
      </c>
      <c r="P13" s="500">
        <f>+'B) Reajuste Tarifas y Ocupación'!I12</f>
        <v>4.4999999999999998E-2</v>
      </c>
      <c r="Q13" s="500">
        <f>+'B) Reajuste Tarifas y Ocupación'!J12</f>
        <v>4.4999999999999998E-2</v>
      </c>
      <c r="R13" s="1279">
        <f>+'B) Reajuste Tarifas y Ocupación'!K12</f>
        <v>4.4999999999999998E-2</v>
      </c>
    </row>
    <row r="14" spans="1:18" x14ac:dyDescent="0.35">
      <c r="A14" s="1597"/>
      <c r="B14" s="258" t="str">
        <f>+'B) Reajuste Tarifas y Ocupación'!B13</f>
        <v>Camping  (P. adicional)</v>
      </c>
      <c r="C14" s="496">
        <f>+'B) Reajuste Tarifas y Ocupación'!L13</f>
        <v>4300</v>
      </c>
      <c r="D14" s="497">
        <f>+'B) Reajuste Tarifas y Ocupación'!M13</f>
        <v>6600</v>
      </c>
      <c r="E14" s="497">
        <f>+'B) Reajuste Tarifas y Ocupación'!N13</f>
        <v>9000</v>
      </c>
      <c r="F14" s="498">
        <f>+'B) Reajuste Tarifas y Ocupación'!O13</f>
        <v>9800</v>
      </c>
      <c r="G14" s="499">
        <f>+'B) Reajuste Tarifas y Ocupación'!E13</f>
        <v>4100</v>
      </c>
      <c r="H14" s="492">
        <f>+'B) Reajuste Tarifas y Ocupación'!F13</f>
        <v>6300</v>
      </c>
      <c r="I14" s="492">
        <f>+'B) Reajuste Tarifas y Ocupación'!G13</f>
        <v>8600</v>
      </c>
      <c r="J14" s="493">
        <f>+'B) Reajuste Tarifas y Ocupación'!H13</f>
        <v>9300</v>
      </c>
      <c r="K14" s="454">
        <f t="shared" si="1"/>
        <v>200</v>
      </c>
      <c r="L14" s="451">
        <f t="shared" si="0"/>
        <v>300</v>
      </c>
      <c r="M14" s="451">
        <f t="shared" si="0"/>
        <v>400</v>
      </c>
      <c r="N14" s="452">
        <f t="shared" si="0"/>
        <v>500</v>
      </c>
      <c r="O14" s="455">
        <f>+P14</f>
        <v>4.4999999999999998E-2</v>
      </c>
      <c r="P14" s="500">
        <f>+'B) Reajuste Tarifas y Ocupación'!I13</f>
        <v>4.4999999999999998E-2</v>
      </c>
      <c r="Q14" s="500">
        <f>+'B) Reajuste Tarifas y Ocupación'!J13</f>
        <v>4.4999999999999998E-2</v>
      </c>
      <c r="R14" s="1279">
        <f>+'B) Reajuste Tarifas y Ocupación'!K13</f>
        <v>4.4999999999999998E-2</v>
      </c>
    </row>
    <row r="15" spans="1:18" x14ac:dyDescent="0.35">
      <c r="A15" s="1597"/>
      <c r="B15" s="258" t="str">
        <f>+'B) Reajuste Tarifas y Ocupación'!B14</f>
        <v>Quincho chico 8 P.</v>
      </c>
      <c r="C15" s="496">
        <f>+'B) Reajuste Tarifas y Ocupación'!L14</f>
        <v>6200</v>
      </c>
      <c r="D15" s="497">
        <f>+'B) Reajuste Tarifas y Ocupación'!M14</f>
        <v>9400</v>
      </c>
      <c r="E15" s="497">
        <f>+'B) Reajuste Tarifas y Ocupación'!N14</f>
        <v>12600</v>
      </c>
      <c r="F15" s="498">
        <f>+'B) Reajuste Tarifas y Ocupación'!O14</f>
        <v>13600</v>
      </c>
      <c r="G15" s="499">
        <f>+'B) Reajuste Tarifas y Ocupación'!E14</f>
        <v>5800</v>
      </c>
      <c r="H15" s="492">
        <f>+'B) Reajuste Tarifas y Ocupación'!F14</f>
        <v>8900</v>
      </c>
      <c r="I15" s="492">
        <f>+'B) Reajuste Tarifas y Ocupación'!G14</f>
        <v>12000</v>
      </c>
      <c r="J15" s="493">
        <f>+'B) Reajuste Tarifas y Ocupación'!H14</f>
        <v>13000</v>
      </c>
      <c r="K15" s="454">
        <f t="shared" si="1"/>
        <v>400</v>
      </c>
      <c r="L15" s="451">
        <f t="shared" si="0"/>
        <v>500</v>
      </c>
      <c r="M15" s="451">
        <f t="shared" si="0"/>
        <v>600</v>
      </c>
      <c r="N15" s="452">
        <f t="shared" si="0"/>
        <v>600</v>
      </c>
      <c r="O15" s="455">
        <f>+P15</f>
        <v>4.4999999999999998E-2</v>
      </c>
      <c r="P15" s="500">
        <f>+'B) Reajuste Tarifas y Ocupación'!I14</f>
        <v>4.4999999999999998E-2</v>
      </c>
      <c r="Q15" s="500">
        <f>+'B) Reajuste Tarifas y Ocupación'!J14</f>
        <v>4.4999999999999998E-2</v>
      </c>
      <c r="R15" s="1279">
        <f>+'B) Reajuste Tarifas y Ocupación'!K14</f>
        <v>4.4999999999999998E-2</v>
      </c>
    </row>
    <row r="16" spans="1:18" x14ac:dyDescent="0.35">
      <c r="A16" s="1597"/>
      <c r="B16" s="258" t="str">
        <f>+'B) Reajuste Tarifas y Ocupación'!B15</f>
        <v>Quincho chico (P. adicional)</v>
      </c>
      <c r="C16" s="496">
        <f>+'B) Reajuste Tarifas y Ocupación'!L15</f>
        <v>1200</v>
      </c>
      <c r="D16" s="497">
        <f>+'B) Reajuste Tarifas y Ocupación'!M15</f>
        <v>1700</v>
      </c>
      <c r="E16" s="497">
        <f>+'B) Reajuste Tarifas y Ocupación'!N15</f>
        <v>2300</v>
      </c>
      <c r="F16" s="498">
        <f>+'B) Reajuste Tarifas y Ocupación'!O15</f>
        <v>2600</v>
      </c>
      <c r="G16" s="499">
        <f>+'B) Reajuste Tarifas y Ocupación'!E15</f>
        <v>1100</v>
      </c>
      <c r="H16" s="492">
        <f>+'B) Reajuste Tarifas y Ocupación'!F15</f>
        <v>1600</v>
      </c>
      <c r="I16" s="492">
        <f>+'B) Reajuste Tarifas y Ocupación'!G15</f>
        <v>2200</v>
      </c>
      <c r="J16" s="493">
        <f>+'B) Reajuste Tarifas y Ocupación'!H15</f>
        <v>2400</v>
      </c>
      <c r="K16" s="454">
        <f t="shared" si="1"/>
        <v>100</v>
      </c>
      <c r="L16" s="451">
        <f t="shared" si="0"/>
        <v>100</v>
      </c>
      <c r="M16" s="451">
        <f t="shared" si="0"/>
        <v>100</v>
      </c>
      <c r="N16" s="452">
        <f t="shared" si="0"/>
        <v>200</v>
      </c>
      <c r="O16" s="455">
        <f>+P16</f>
        <v>4.4999999999999998E-2</v>
      </c>
      <c r="P16" s="500">
        <f>+'B) Reajuste Tarifas y Ocupación'!I15</f>
        <v>4.4999999999999998E-2</v>
      </c>
      <c r="Q16" s="500">
        <f>+'B) Reajuste Tarifas y Ocupación'!J15</f>
        <v>4.4999999999999998E-2</v>
      </c>
      <c r="R16" s="1279">
        <f>+'B) Reajuste Tarifas y Ocupación'!K15</f>
        <v>4.4999999999999998E-2</v>
      </c>
    </row>
    <row r="17" spans="1:18" x14ac:dyDescent="0.35">
      <c r="A17" s="1597"/>
      <c r="B17" s="258" t="str">
        <f>+'B) Reajuste Tarifas y Ocupación'!B16</f>
        <v>Pérgola OF 60 P. Día</v>
      </c>
      <c r="C17" s="501"/>
      <c r="D17" s="497">
        <f>+'B) Reajuste Tarifas y Ocupación'!M16</f>
        <v>72200</v>
      </c>
      <c r="E17" s="497">
        <f>+'B) Reajuste Tarifas y Ocupación'!N16</f>
        <v>98200</v>
      </c>
      <c r="F17" s="498">
        <f>+'B) Reajuste Tarifas y Ocupación'!O16</f>
        <v>106300</v>
      </c>
      <c r="G17" s="487"/>
      <c r="H17" s="492">
        <f>+'B) Reajuste Tarifas y Ocupación'!F16</f>
        <v>69000</v>
      </c>
      <c r="I17" s="492">
        <f>+'B) Reajuste Tarifas y Ocupación'!G16</f>
        <v>93900</v>
      </c>
      <c r="J17" s="493">
        <f>+'B) Reajuste Tarifas y Ocupación'!H16</f>
        <v>101700</v>
      </c>
      <c r="K17" s="448"/>
      <c r="L17" s="451">
        <f t="shared" si="0"/>
        <v>3200</v>
      </c>
      <c r="M17" s="451">
        <f t="shared" si="0"/>
        <v>4300</v>
      </c>
      <c r="N17" s="452">
        <f t="shared" si="0"/>
        <v>4600</v>
      </c>
      <c r="O17" s="456"/>
      <c r="P17" s="500">
        <f>+'B) Reajuste Tarifas y Ocupación'!I16</f>
        <v>4.4999999999999998E-2</v>
      </c>
      <c r="Q17" s="500">
        <f>+'B) Reajuste Tarifas y Ocupación'!J16</f>
        <v>4.4999999999999998E-2</v>
      </c>
      <c r="R17" s="1279">
        <f>+'B) Reajuste Tarifas y Ocupación'!K16</f>
        <v>4.4999999999999998E-2</v>
      </c>
    </row>
    <row r="18" spans="1:18" ht="15" thickBot="1" x14ac:dyDescent="0.4">
      <c r="A18" s="1598"/>
      <c r="B18" s="259" t="str">
        <f>+'B) Reajuste Tarifas y Ocupación'!B17</f>
        <v>Pérgola OF 60 P. Noche</v>
      </c>
      <c r="C18" s="502"/>
      <c r="D18" s="503">
        <f>+'B) Reajuste Tarifas y Ocupación'!M17</f>
        <v>138200</v>
      </c>
      <c r="E18" s="503">
        <f>+'B) Reajuste Tarifas y Ocupación'!N17</f>
        <v>187900</v>
      </c>
      <c r="F18" s="504">
        <f>+'B) Reajuste Tarifas y Ocupación'!O17</f>
        <v>203600</v>
      </c>
      <c r="G18" s="505"/>
      <c r="H18" s="506">
        <f>+'B) Reajuste Tarifas y Ocupación'!F17</f>
        <v>132200</v>
      </c>
      <c r="I18" s="506">
        <f>+'B) Reajuste Tarifas y Ocupación'!G17</f>
        <v>179800</v>
      </c>
      <c r="J18" s="507">
        <f>+'B) Reajuste Tarifas y Ocupación'!H17</f>
        <v>194800</v>
      </c>
      <c r="K18" s="457"/>
      <c r="L18" s="458">
        <f t="shared" si="0"/>
        <v>6000</v>
      </c>
      <c r="M18" s="458">
        <f t="shared" si="0"/>
        <v>8100</v>
      </c>
      <c r="N18" s="459">
        <f t="shared" si="0"/>
        <v>8800</v>
      </c>
      <c r="O18" s="460"/>
      <c r="P18" s="508">
        <f>+'B) Reajuste Tarifas y Ocupación'!I17</f>
        <v>4.4999999999999998E-2</v>
      </c>
      <c r="Q18" s="508">
        <f>+'B) Reajuste Tarifas y Ocupación'!J17</f>
        <v>4.4999999999999998E-2</v>
      </c>
      <c r="R18" s="1280">
        <f>+'B) Reajuste Tarifas y Ocupación'!K17</f>
        <v>4.4999999999999998E-2</v>
      </c>
    </row>
    <row r="19" spans="1:18" x14ac:dyDescent="0.35">
      <c r="A19" s="1611" t="str">
        <f>+'B) Reajuste Tarifas y Ocupación'!A18</f>
        <v>Piscina C.R. Faro Limar</v>
      </c>
      <c r="B19" s="269" t="str">
        <f>+'B) Reajuste Tarifas y Ocupación'!B18</f>
        <v>Piscina adultos</v>
      </c>
      <c r="C19" s="509"/>
      <c r="D19" s="510">
        <f>+'B) Reajuste Tarifas y Ocupación'!M18</f>
        <v>6500</v>
      </c>
      <c r="E19" s="510">
        <f>+'B) Reajuste Tarifas y Ocupación'!N18</f>
        <v>8900</v>
      </c>
      <c r="F19" s="511">
        <f>+'B) Reajuste Tarifas y Ocupación'!O18</f>
        <v>9700</v>
      </c>
      <c r="G19" s="512"/>
      <c r="H19" s="513">
        <f>+'B) Reajuste Tarifas y Ocupación'!F18</f>
        <v>6200</v>
      </c>
      <c r="I19" s="513">
        <f>+'B) Reajuste Tarifas y Ocupación'!G18</f>
        <v>8500</v>
      </c>
      <c r="J19" s="514">
        <f>+'B) Reajuste Tarifas y Ocupación'!H18</f>
        <v>9200</v>
      </c>
      <c r="K19" s="461"/>
      <c r="L19" s="462">
        <f t="shared" si="0"/>
        <v>300</v>
      </c>
      <c r="M19" s="462">
        <f t="shared" si="0"/>
        <v>400</v>
      </c>
      <c r="N19" s="463">
        <f t="shared" si="0"/>
        <v>500</v>
      </c>
      <c r="O19" s="464"/>
      <c r="P19" s="483">
        <f>+'B) Reajuste Tarifas y Ocupación'!I18</f>
        <v>4.4999999999999998E-2</v>
      </c>
      <c r="Q19" s="483">
        <f>+'B) Reajuste Tarifas y Ocupación'!J18</f>
        <v>4.4999999999999998E-2</v>
      </c>
      <c r="R19" s="1281">
        <f>+'B) Reajuste Tarifas y Ocupación'!K18</f>
        <v>4.4999999999999998E-2</v>
      </c>
    </row>
    <row r="20" spans="1:18" ht="15" thickBot="1" x14ac:dyDescent="0.4">
      <c r="A20" s="1613"/>
      <c r="B20" s="259" t="str">
        <f>+'B) Reajuste Tarifas y Ocupación'!B19</f>
        <v>Piscina niños</v>
      </c>
      <c r="C20" s="502"/>
      <c r="D20" s="503">
        <f>+'B) Reajuste Tarifas y Ocupación'!M19</f>
        <v>5100</v>
      </c>
      <c r="E20" s="503">
        <f>+'B) Reajuste Tarifas y Ocupación'!N19</f>
        <v>6800</v>
      </c>
      <c r="F20" s="515">
        <f>+'B) Reajuste Tarifas y Ocupación'!O19</f>
        <v>7400</v>
      </c>
      <c r="G20" s="505"/>
      <c r="H20" s="506">
        <f>+'B) Reajuste Tarifas y Ocupación'!F19</f>
        <v>4800</v>
      </c>
      <c r="I20" s="506">
        <f>+'B) Reajuste Tarifas y Ocupación'!G19</f>
        <v>6500</v>
      </c>
      <c r="J20" s="507">
        <f>+'B) Reajuste Tarifas y Ocupación'!H19</f>
        <v>7000</v>
      </c>
      <c r="K20" s="465"/>
      <c r="L20" s="466">
        <f t="shared" si="0"/>
        <v>300</v>
      </c>
      <c r="M20" s="466">
        <f t="shared" si="0"/>
        <v>300</v>
      </c>
      <c r="N20" s="467">
        <f t="shared" si="0"/>
        <v>400</v>
      </c>
      <c r="O20" s="468"/>
      <c r="P20" s="508">
        <f>+'B) Reajuste Tarifas y Ocupación'!I19</f>
        <v>4.4999999999999998E-2</v>
      </c>
      <c r="Q20" s="508">
        <f>+'B) Reajuste Tarifas y Ocupación'!J19</f>
        <v>4.4999999999999998E-2</v>
      </c>
      <c r="R20" s="1280">
        <f>+'B) Reajuste Tarifas y Ocupación'!K19</f>
        <v>4.4999999999999998E-2</v>
      </c>
    </row>
    <row r="21" spans="1:18" x14ac:dyDescent="0.35">
      <c r="A21" s="1608" t="str">
        <f>+'B) Reajuste Tarifas y Ocupación'!A20</f>
        <v>Cabañas Mamiña</v>
      </c>
      <c r="B21" s="255" t="str">
        <f>+'B) Reajuste Tarifas y Ocupación'!B20</f>
        <v>Cabaña Mamiña</v>
      </c>
      <c r="C21" s="516">
        <f>+'B) Reajuste Tarifas y Ocupación'!L20</f>
        <v>36100</v>
      </c>
      <c r="D21" s="516">
        <f>+'B) Reajuste Tarifas y Ocupación'!M20</f>
        <v>55500</v>
      </c>
      <c r="E21" s="516">
        <f>+'B) Reajuste Tarifas y Ocupación'!N20</f>
        <v>75500</v>
      </c>
      <c r="F21" s="516">
        <f>+'B) Reajuste Tarifas y Ocupación'!O20</f>
        <v>81800</v>
      </c>
      <c r="G21" s="517">
        <f>+'B) Reajuste Tarifas y Ocupación'!E20</f>
        <v>34600</v>
      </c>
      <c r="H21" s="481">
        <f>+'B) Reajuste Tarifas y Ocupación'!F20</f>
        <v>53100</v>
      </c>
      <c r="I21" s="481">
        <f>+'B) Reajuste Tarifas y Ocupación'!G20</f>
        <v>72200</v>
      </c>
      <c r="J21" s="482">
        <f>+'B) Reajuste Tarifas y Ocupación'!H20</f>
        <v>78200</v>
      </c>
      <c r="K21" s="444">
        <f t="shared" si="1"/>
        <v>1500</v>
      </c>
      <c r="L21" s="445">
        <f t="shared" si="0"/>
        <v>2400</v>
      </c>
      <c r="M21" s="445">
        <f t="shared" si="0"/>
        <v>3300</v>
      </c>
      <c r="N21" s="446">
        <f t="shared" si="0"/>
        <v>3600</v>
      </c>
      <c r="O21" s="447">
        <f>+P21</f>
        <v>4.4999999999999998E-2</v>
      </c>
      <c r="P21" s="483">
        <f>+'B) Reajuste Tarifas y Ocupación'!I20</f>
        <v>4.4999999999999998E-2</v>
      </c>
      <c r="Q21" s="483">
        <f>+'B) Reajuste Tarifas y Ocupación'!J20</f>
        <v>4.4999999999999998E-2</v>
      </c>
      <c r="R21" s="1281">
        <f>+'B) Reajuste Tarifas y Ocupación'!K20</f>
        <v>4.4999999999999998E-2</v>
      </c>
    </row>
    <row r="22" spans="1:18" x14ac:dyDescent="0.35">
      <c r="A22" s="1609"/>
      <c r="B22" s="73" t="str">
        <f>+'B) Reajuste Tarifas y Ocupación'!B21</f>
        <v>Early check-in/Late check-out</v>
      </c>
      <c r="C22" s="518"/>
      <c r="D22" s="519"/>
      <c r="E22" s="519"/>
      <c r="F22" s="520"/>
      <c r="G22" s="487"/>
      <c r="H22" s="488"/>
      <c r="I22" s="488"/>
      <c r="J22" s="489"/>
      <c r="K22" s="448"/>
      <c r="L22" s="449"/>
      <c r="M22" s="449"/>
      <c r="N22" s="450"/>
      <c r="O22" s="1605"/>
      <c r="P22" s="1606"/>
      <c r="Q22" s="1606"/>
      <c r="R22" s="1607"/>
    </row>
    <row r="23" spans="1:18" ht="15" thickBot="1" x14ac:dyDescent="0.4">
      <c r="A23" s="1610"/>
      <c r="B23" s="272" t="str">
        <f>+'B) Reajuste Tarifas y Ocupación'!B22</f>
        <v>Cabaña</v>
      </c>
      <c r="C23" s="521"/>
      <c r="D23" s="522">
        <f>+'B) Reajuste Tarifas y Ocupación'!M22</f>
        <v>16700</v>
      </c>
      <c r="E23" s="522">
        <f>+'B) Reajuste Tarifas y Ocupación'!N22</f>
        <v>22700</v>
      </c>
      <c r="F23" s="522">
        <f>+'B) Reajuste Tarifas y Ocupación'!O22</f>
        <v>24600</v>
      </c>
      <c r="G23" s="523"/>
      <c r="H23" s="524">
        <f>+'B) Reajuste Tarifas y Ocupación'!F22</f>
        <v>16000</v>
      </c>
      <c r="I23" s="524">
        <f>+'B) Reajuste Tarifas y Ocupación'!G22</f>
        <v>21700</v>
      </c>
      <c r="J23" s="525">
        <f>+'B) Reajuste Tarifas y Ocupación'!H22</f>
        <v>23500</v>
      </c>
      <c r="K23" s="457"/>
      <c r="L23" s="458">
        <f t="shared" si="0"/>
        <v>700</v>
      </c>
      <c r="M23" s="458">
        <f t="shared" si="0"/>
        <v>1000</v>
      </c>
      <c r="N23" s="459">
        <f t="shared" si="0"/>
        <v>1100</v>
      </c>
      <c r="O23" s="468"/>
      <c r="P23" s="526"/>
      <c r="Q23" s="526"/>
      <c r="R23" s="527"/>
    </row>
    <row r="24" spans="1:18" x14ac:dyDescent="0.35">
      <c r="A24" s="1611" t="str">
        <f>+'B) Reajuste Tarifas y Ocupación'!A23</f>
        <v>C.R. Huayquique</v>
      </c>
      <c r="B24" s="273" t="str">
        <f>+'B) Reajuste Tarifas y Ocupación'!B23</f>
        <v>Camping 5 P.</v>
      </c>
      <c r="C24" s="528">
        <f>+'B) Reajuste Tarifas y Ocupación'!L23</f>
        <v>23200</v>
      </c>
      <c r="D24" s="529">
        <f>+'B) Reajuste Tarifas y Ocupación'!M23</f>
        <v>35600</v>
      </c>
      <c r="E24" s="529">
        <f>+'B) Reajuste Tarifas y Ocupación'!N23</f>
        <v>48300</v>
      </c>
      <c r="F24" s="530">
        <f>+'B) Reajuste Tarifas y Ocupación'!O23</f>
        <v>52300</v>
      </c>
      <c r="G24" s="517">
        <f>+'B) Reajuste Tarifas y Ocupación'!E23</f>
        <v>22100</v>
      </c>
      <c r="H24" s="481">
        <f>+'B) Reajuste Tarifas y Ocupación'!F23</f>
        <v>34000</v>
      </c>
      <c r="I24" s="481">
        <f>+'B) Reajuste Tarifas y Ocupación'!G23</f>
        <v>46200</v>
      </c>
      <c r="J24" s="482">
        <f>+'B) Reajuste Tarifas y Ocupación'!H23</f>
        <v>50000</v>
      </c>
      <c r="K24" s="469">
        <f t="shared" ref="K24:N39" si="2">C24-G24</f>
        <v>1100</v>
      </c>
      <c r="L24" s="462">
        <f t="shared" si="2"/>
        <v>1600</v>
      </c>
      <c r="M24" s="462">
        <f t="shared" si="2"/>
        <v>2100</v>
      </c>
      <c r="N24" s="463">
        <f t="shared" si="2"/>
        <v>2300</v>
      </c>
      <c r="O24" s="447">
        <f>+P24</f>
        <v>4.4999999999999998E-2</v>
      </c>
      <c r="P24" s="483">
        <f>+'B) Reajuste Tarifas y Ocupación'!I23</f>
        <v>4.4999999999999998E-2</v>
      </c>
      <c r="Q24" s="483">
        <f>+'B) Reajuste Tarifas y Ocupación'!J23</f>
        <v>4.4999999999999998E-2</v>
      </c>
      <c r="R24" s="1281">
        <f>+'B) Reajuste Tarifas y Ocupación'!K23</f>
        <v>4.4999999999999998E-2</v>
      </c>
    </row>
    <row r="25" spans="1:18" x14ac:dyDescent="0.35">
      <c r="A25" s="1612"/>
      <c r="B25" s="274" t="str">
        <f>+'B) Reajuste Tarifas y Ocupación'!B24</f>
        <v>Camping (P. adicional)</v>
      </c>
      <c r="C25" s="496">
        <f>+'B) Reajuste Tarifas y Ocupación'!L24</f>
        <v>4800</v>
      </c>
      <c r="D25" s="490">
        <f>+'B) Reajuste Tarifas y Ocupación'!M24</f>
        <v>7300</v>
      </c>
      <c r="E25" s="490">
        <f>+'B) Reajuste Tarifas y Ocupación'!N24</f>
        <v>9800</v>
      </c>
      <c r="F25" s="491">
        <f>+'B) Reajuste Tarifas y Ocupación'!O24</f>
        <v>10600</v>
      </c>
      <c r="G25" s="499">
        <f>+'B) Reajuste Tarifas y Ocupación'!E24</f>
        <v>4500</v>
      </c>
      <c r="H25" s="492">
        <f>+'B) Reajuste Tarifas y Ocupación'!F24</f>
        <v>6900</v>
      </c>
      <c r="I25" s="492">
        <f>+'B) Reajuste Tarifas y Ocupación'!G24</f>
        <v>9300</v>
      </c>
      <c r="J25" s="493">
        <f>+'B) Reajuste Tarifas y Ocupación'!H24</f>
        <v>10100</v>
      </c>
      <c r="K25" s="454">
        <f t="shared" si="2"/>
        <v>300</v>
      </c>
      <c r="L25" s="451">
        <f t="shared" si="2"/>
        <v>400</v>
      </c>
      <c r="M25" s="451">
        <f t="shared" si="2"/>
        <v>500</v>
      </c>
      <c r="N25" s="452">
        <f t="shared" si="2"/>
        <v>500</v>
      </c>
      <c r="O25" s="455">
        <f>+P25</f>
        <v>4.4999999999999998E-2</v>
      </c>
      <c r="P25" s="531">
        <f>+'B) Reajuste Tarifas y Ocupación'!I24</f>
        <v>4.4999999999999998E-2</v>
      </c>
      <c r="Q25" s="531">
        <f>+'B) Reajuste Tarifas y Ocupación'!J24</f>
        <v>4.4999999999999998E-2</v>
      </c>
      <c r="R25" s="1282">
        <f>+'B) Reajuste Tarifas y Ocupación'!K24</f>
        <v>4.4999999999999998E-2</v>
      </c>
    </row>
    <row r="26" spans="1:18" x14ac:dyDescent="0.35">
      <c r="A26" s="1612"/>
      <c r="B26" s="274" t="str">
        <f>+'B) Reajuste Tarifas y Ocupación'!B25</f>
        <v>Quincho chico 8 P.</v>
      </c>
      <c r="C26" s="496">
        <f>+'B) Reajuste Tarifas y Ocupación'!L25</f>
        <v>10200</v>
      </c>
      <c r="D26" s="490">
        <f>+'B) Reajuste Tarifas y Ocupación'!M25</f>
        <v>15600</v>
      </c>
      <c r="E26" s="490">
        <f>+'B) Reajuste Tarifas y Ocupación'!N25</f>
        <v>22300</v>
      </c>
      <c r="F26" s="491">
        <f>+'B) Reajuste Tarifas y Ocupación'!O25</f>
        <v>24200</v>
      </c>
      <c r="G26" s="499">
        <f>+'B) Reajuste Tarifas y Ocupación'!E25</f>
        <v>9700</v>
      </c>
      <c r="H26" s="492">
        <f>+'B) Reajuste Tarifas y Ocupación'!F25</f>
        <v>14900</v>
      </c>
      <c r="I26" s="492">
        <f>+'B) Reajuste Tarifas y Ocupación'!G25</f>
        <v>21300</v>
      </c>
      <c r="J26" s="493">
        <f>+'B) Reajuste Tarifas y Ocupación'!H25</f>
        <v>23100</v>
      </c>
      <c r="K26" s="454">
        <f t="shared" si="2"/>
        <v>500</v>
      </c>
      <c r="L26" s="451">
        <f t="shared" si="2"/>
        <v>700</v>
      </c>
      <c r="M26" s="451">
        <f t="shared" si="2"/>
        <v>1000</v>
      </c>
      <c r="N26" s="452">
        <f t="shared" si="2"/>
        <v>1100</v>
      </c>
      <c r="O26" s="455">
        <f>+P26</f>
        <v>4.4999999999999998E-2</v>
      </c>
      <c r="P26" s="531">
        <f>+'B) Reajuste Tarifas y Ocupación'!I25</f>
        <v>4.4999999999999998E-2</v>
      </c>
      <c r="Q26" s="531">
        <f>+'B) Reajuste Tarifas y Ocupación'!J25</f>
        <v>4.4999999999999998E-2</v>
      </c>
      <c r="R26" s="1282">
        <f>+'B) Reajuste Tarifas y Ocupación'!K25</f>
        <v>4.4999999999999998E-2</v>
      </c>
    </row>
    <row r="27" spans="1:18" x14ac:dyDescent="0.35">
      <c r="A27" s="1612"/>
      <c r="B27" s="274" t="str">
        <f>+'B) Reajuste Tarifas y Ocupación'!B26</f>
        <v>Quincho chico  8 P (P. adicional)</v>
      </c>
      <c r="C27" s="496">
        <f>+'B) Reajuste Tarifas y Ocupación'!L26</f>
        <v>1300</v>
      </c>
      <c r="D27" s="490">
        <f>+'B) Reajuste Tarifas y Ocupación'!M26</f>
        <v>1900</v>
      </c>
      <c r="E27" s="490">
        <f>+'B) Reajuste Tarifas y Ocupación'!N26</f>
        <v>2700</v>
      </c>
      <c r="F27" s="491">
        <f>+'B) Reajuste Tarifas y Ocupación'!O26</f>
        <v>2900</v>
      </c>
      <c r="G27" s="499">
        <f>+'B) Reajuste Tarifas y Ocupación'!E26</f>
        <v>1200</v>
      </c>
      <c r="H27" s="492">
        <f>+'B) Reajuste Tarifas y Ocupación'!F26</f>
        <v>1800</v>
      </c>
      <c r="I27" s="492">
        <f>+'B) Reajuste Tarifas y Ocupación'!G26</f>
        <v>2500</v>
      </c>
      <c r="J27" s="493">
        <f>+'B) Reajuste Tarifas y Ocupación'!H26</f>
        <v>2700</v>
      </c>
      <c r="K27" s="454">
        <f>C27-G27</f>
        <v>100</v>
      </c>
      <c r="L27" s="451">
        <f t="shared" si="2"/>
        <v>100</v>
      </c>
      <c r="M27" s="451">
        <f t="shared" si="2"/>
        <v>200</v>
      </c>
      <c r="N27" s="452">
        <f t="shared" si="2"/>
        <v>200</v>
      </c>
      <c r="O27" s="455">
        <f>+P27</f>
        <v>4.4999999999999998E-2</v>
      </c>
      <c r="P27" s="531">
        <f>+'B) Reajuste Tarifas y Ocupación'!I26</f>
        <v>4.4999999999999998E-2</v>
      </c>
      <c r="Q27" s="531">
        <f>+'B) Reajuste Tarifas y Ocupación'!J26</f>
        <v>4.4999999999999998E-2</v>
      </c>
      <c r="R27" s="1282">
        <f>+'B) Reajuste Tarifas y Ocupación'!K26</f>
        <v>4.4999999999999998E-2</v>
      </c>
    </row>
    <row r="28" spans="1:18" x14ac:dyDescent="0.35">
      <c r="A28" s="1612"/>
      <c r="B28" s="274" t="str">
        <f>+'B) Reajuste Tarifas y Ocupación'!B27</f>
        <v>Quincho grande 30 P.  Día</v>
      </c>
      <c r="C28" s="501"/>
      <c r="D28" s="490">
        <f>+'B) Reajuste Tarifas y Ocupación'!M27</f>
        <v>52000</v>
      </c>
      <c r="E28" s="490">
        <f>+'B) Reajuste Tarifas y Ocupación'!N27</f>
        <v>70700</v>
      </c>
      <c r="F28" s="491">
        <f>+'B) Reajuste Tarifas y Ocupación'!O27</f>
        <v>76500</v>
      </c>
      <c r="G28" s="532"/>
      <c r="H28" s="492">
        <f>+'B) Reajuste Tarifas y Ocupación'!F27</f>
        <v>49700</v>
      </c>
      <c r="I28" s="492">
        <f>+'B) Reajuste Tarifas y Ocupación'!G27</f>
        <v>67600</v>
      </c>
      <c r="J28" s="493">
        <f>+'B) Reajuste Tarifas y Ocupación'!H27</f>
        <v>73200</v>
      </c>
      <c r="K28" s="448"/>
      <c r="L28" s="451">
        <f t="shared" si="2"/>
        <v>2300</v>
      </c>
      <c r="M28" s="451">
        <f t="shared" si="2"/>
        <v>3100</v>
      </c>
      <c r="N28" s="452">
        <f t="shared" si="2"/>
        <v>3300</v>
      </c>
      <c r="O28" s="453"/>
      <c r="P28" s="531">
        <f>+'B) Reajuste Tarifas y Ocupación'!I27</f>
        <v>4.4999999999999998E-2</v>
      </c>
      <c r="Q28" s="531">
        <f>+'B) Reajuste Tarifas y Ocupación'!J27</f>
        <v>4.4999999999999998E-2</v>
      </c>
      <c r="R28" s="1282">
        <f>+'B) Reajuste Tarifas y Ocupación'!K27</f>
        <v>4.4999999999999998E-2</v>
      </c>
    </row>
    <row r="29" spans="1:18" x14ac:dyDescent="0.35">
      <c r="A29" s="1612"/>
      <c r="B29" s="274" t="str">
        <f>+'B) Reajuste Tarifas y Ocupación'!B28</f>
        <v>Quincho grande 30 P. (P. adicional) Día</v>
      </c>
      <c r="C29" s="501"/>
      <c r="D29" s="490">
        <f>+'B) Reajuste Tarifas y Ocupación'!M28</f>
        <v>2500</v>
      </c>
      <c r="E29" s="490">
        <f>+'B) Reajuste Tarifas y Ocupación'!N28</f>
        <v>31400</v>
      </c>
      <c r="F29" s="491">
        <f>+'B) Reajuste Tarifas y Ocupación'!O28</f>
        <v>3500</v>
      </c>
      <c r="G29" s="532"/>
      <c r="H29" s="492">
        <f>+'B) Reajuste Tarifas y Ocupación'!F28</f>
        <v>2300</v>
      </c>
      <c r="I29" s="492">
        <f>+'B) Reajuste Tarifas y Ocupación'!G28</f>
        <v>30000</v>
      </c>
      <c r="J29" s="493">
        <f>+'B) Reajuste Tarifas y Ocupación'!H28</f>
        <v>3300</v>
      </c>
      <c r="K29" s="448"/>
      <c r="L29" s="451">
        <f t="shared" si="2"/>
        <v>200</v>
      </c>
      <c r="M29" s="451">
        <f t="shared" si="2"/>
        <v>1400</v>
      </c>
      <c r="N29" s="452">
        <f t="shared" si="2"/>
        <v>200</v>
      </c>
      <c r="O29" s="453"/>
      <c r="P29" s="531">
        <f>+'B) Reajuste Tarifas y Ocupación'!I28</f>
        <v>4.4999999999999998E-2</v>
      </c>
      <c r="Q29" s="531">
        <f>+'B) Reajuste Tarifas y Ocupación'!J28</f>
        <v>4.4999999999999998E-2</v>
      </c>
      <c r="R29" s="1282">
        <f>+'B) Reajuste Tarifas y Ocupación'!K28</f>
        <v>4.4999999999999998E-2</v>
      </c>
    </row>
    <row r="30" spans="1:18" x14ac:dyDescent="0.35">
      <c r="A30" s="1612"/>
      <c r="B30" s="274" t="str">
        <f>+'B) Reajuste Tarifas y Ocupación'!B29</f>
        <v>Quincho grande 30 P.  Noche</v>
      </c>
      <c r="C30" s="501"/>
      <c r="D30" s="490">
        <f>+'B) Reajuste Tarifas y Ocupación'!M29</f>
        <v>100600</v>
      </c>
      <c r="E30" s="490">
        <f>+'B) Reajuste Tarifas y Ocupación'!N29</f>
        <v>136800</v>
      </c>
      <c r="F30" s="491">
        <f>+'B) Reajuste Tarifas y Ocupación'!O29</f>
        <v>148200</v>
      </c>
      <c r="G30" s="532"/>
      <c r="H30" s="492">
        <f>+'B) Reajuste Tarifas y Ocupación'!F29</f>
        <v>96200</v>
      </c>
      <c r="I30" s="492">
        <f>+'B) Reajuste Tarifas y Ocupación'!G29</f>
        <v>130900</v>
      </c>
      <c r="J30" s="493">
        <f>+'B) Reajuste Tarifas y Ocupación'!H29</f>
        <v>141800</v>
      </c>
      <c r="K30" s="448"/>
      <c r="L30" s="451">
        <f t="shared" si="2"/>
        <v>4400</v>
      </c>
      <c r="M30" s="451">
        <f t="shared" si="2"/>
        <v>5900</v>
      </c>
      <c r="N30" s="452">
        <f t="shared" si="2"/>
        <v>6400</v>
      </c>
      <c r="O30" s="453"/>
      <c r="P30" s="531">
        <f>+'B) Reajuste Tarifas y Ocupación'!I29</f>
        <v>4.4999999999999998E-2</v>
      </c>
      <c r="Q30" s="531">
        <f>+'B) Reajuste Tarifas y Ocupación'!J29</f>
        <v>4.4999999999999998E-2</v>
      </c>
      <c r="R30" s="1282">
        <f>+'B) Reajuste Tarifas y Ocupación'!K29</f>
        <v>4.4999999999999998E-2</v>
      </c>
    </row>
    <row r="31" spans="1:18" x14ac:dyDescent="0.35">
      <c r="A31" s="1612"/>
      <c r="B31" s="274" t="str">
        <f>+'B) Reajuste Tarifas y Ocupación'!B30</f>
        <v>Quincho grande 30 P. (P. adicional) Noche</v>
      </c>
      <c r="C31" s="501"/>
      <c r="D31" s="490">
        <f>+'B) Reajuste Tarifas y Ocupación'!M30</f>
        <v>4100</v>
      </c>
      <c r="E31" s="490">
        <f>+'B) Reajuste Tarifas y Ocupación'!N30</f>
        <v>5600</v>
      </c>
      <c r="F31" s="491">
        <f>+'B) Reajuste Tarifas y Ocupación'!O30</f>
        <v>6100</v>
      </c>
      <c r="G31" s="532"/>
      <c r="H31" s="492">
        <f>+'B) Reajuste Tarifas y Ocupación'!F30</f>
        <v>3900</v>
      </c>
      <c r="I31" s="492">
        <f>+'B) Reajuste Tarifas y Ocupación'!G30</f>
        <v>5300</v>
      </c>
      <c r="J31" s="493">
        <f>+'B) Reajuste Tarifas y Ocupación'!H30</f>
        <v>5800</v>
      </c>
      <c r="K31" s="448"/>
      <c r="L31" s="451">
        <f t="shared" si="2"/>
        <v>200</v>
      </c>
      <c r="M31" s="451">
        <f t="shared" si="2"/>
        <v>300</v>
      </c>
      <c r="N31" s="452">
        <f t="shared" si="2"/>
        <v>300</v>
      </c>
      <c r="O31" s="453"/>
      <c r="P31" s="531">
        <f>+'B) Reajuste Tarifas y Ocupación'!I30</f>
        <v>4.4999999999999998E-2</v>
      </c>
      <c r="Q31" s="531">
        <f>+'B) Reajuste Tarifas y Ocupación'!J30</f>
        <v>4.4999999999999998E-2</v>
      </c>
      <c r="R31" s="1282">
        <f>+'B) Reajuste Tarifas y Ocupación'!K30</f>
        <v>4.4999999999999998E-2</v>
      </c>
    </row>
    <row r="32" spans="1:18" x14ac:dyDescent="0.35">
      <c r="A32" s="1612"/>
      <c r="B32" s="274" t="str">
        <f>+'B) Reajuste Tarifas y Ocupación'!B31</f>
        <v>Pérgola OF 60 P. Día</v>
      </c>
      <c r="C32" s="501"/>
      <c r="D32" s="490">
        <f>+'B) Reajuste Tarifas y Ocupación'!M31</f>
        <v>134800</v>
      </c>
      <c r="E32" s="490">
        <f>+'B) Reajuste Tarifas y Ocupación'!N31</f>
        <v>183200</v>
      </c>
      <c r="F32" s="491">
        <f>+'B) Reajuste Tarifas y Ocupación'!O31</f>
        <v>198500</v>
      </c>
      <c r="G32" s="532"/>
      <c r="H32" s="492">
        <f>+'B) Reajuste Tarifas y Ocupación'!F31</f>
        <v>128900</v>
      </c>
      <c r="I32" s="492">
        <f>+'B) Reajuste Tarifas y Ocupación'!G31</f>
        <v>175300</v>
      </c>
      <c r="J32" s="493">
        <f>+'B) Reajuste Tarifas y Ocupación'!H31</f>
        <v>189900</v>
      </c>
      <c r="K32" s="448"/>
      <c r="L32" s="451">
        <f t="shared" si="2"/>
        <v>5900</v>
      </c>
      <c r="M32" s="451">
        <f t="shared" si="2"/>
        <v>7900</v>
      </c>
      <c r="N32" s="452">
        <f t="shared" si="2"/>
        <v>8600</v>
      </c>
      <c r="O32" s="453"/>
      <c r="P32" s="531">
        <f>+'B) Reajuste Tarifas y Ocupación'!I31</f>
        <v>4.4999999999999998E-2</v>
      </c>
      <c r="Q32" s="531">
        <f>+'B) Reajuste Tarifas y Ocupación'!J31</f>
        <v>4.4999999999999998E-2</v>
      </c>
      <c r="R32" s="1282">
        <f>+'B) Reajuste Tarifas y Ocupación'!K31</f>
        <v>4.4999999999999998E-2</v>
      </c>
    </row>
    <row r="33" spans="1:18" x14ac:dyDescent="0.35">
      <c r="A33" s="1612"/>
      <c r="B33" s="274" t="str">
        <f>+'B) Reajuste Tarifas y Ocupación'!B32</f>
        <v>Pérgola OF 60 P. Noche</v>
      </c>
      <c r="C33" s="501"/>
      <c r="D33" s="490">
        <f>+'B) Reajuste Tarifas y Ocupación'!M32</f>
        <v>243400</v>
      </c>
      <c r="E33" s="490">
        <f>+'B) Reajuste Tarifas y Ocupación'!N32</f>
        <v>331100</v>
      </c>
      <c r="F33" s="491">
        <f>+'B) Reajuste Tarifas y Ocupación'!O32</f>
        <v>358700</v>
      </c>
      <c r="G33" s="532"/>
      <c r="H33" s="492">
        <f>+'B) Reajuste Tarifas y Ocupación'!F32</f>
        <v>232900</v>
      </c>
      <c r="I33" s="492">
        <f>+'B) Reajuste Tarifas y Ocupación'!G32</f>
        <v>316800</v>
      </c>
      <c r="J33" s="493">
        <f>+'B) Reajuste Tarifas y Ocupación'!H32</f>
        <v>343200</v>
      </c>
      <c r="K33" s="448"/>
      <c r="L33" s="451">
        <f t="shared" si="2"/>
        <v>10500</v>
      </c>
      <c r="M33" s="451">
        <f t="shared" si="2"/>
        <v>14300</v>
      </c>
      <c r="N33" s="452">
        <f t="shared" si="2"/>
        <v>15500</v>
      </c>
      <c r="O33" s="453"/>
      <c r="P33" s="531">
        <f>+'B) Reajuste Tarifas y Ocupación'!I32</f>
        <v>4.4999999999999998E-2</v>
      </c>
      <c r="Q33" s="531">
        <f>+'B) Reajuste Tarifas y Ocupación'!J32</f>
        <v>4.4999999999999998E-2</v>
      </c>
      <c r="R33" s="1282">
        <f>+'B) Reajuste Tarifas y Ocupación'!K32</f>
        <v>4.4999999999999998E-2</v>
      </c>
    </row>
    <row r="34" spans="1:18" x14ac:dyDescent="0.35">
      <c r="A34" s="1612"/>
      <c r="B34" s="274" t="str">
        <f>+'B) Reajuste Tarifas y Ocupación'!B33</f>
        <v>Pérgola GM 100 P. Día</v>
      </c>
      <c r="C34" s="501"/>
      <c r="D34" s="490">
        <f>+'B) Reajuste Tarifas y Ocupación'!M33</f>
        <v>157100</v>
      </c>
      <c r="E34" s="490">
        <f>+'B) Reajuste Tarifas y Ocupación'!N33</f>
        <v>213600</v>
      </c>
      <c r="F34" s="491">
        <f>+'B) Reajuste Tarifas y Ocupación'!O33</f>
        <v>231400</v>
      </c>
      <c r="G34" s="532"/>
      <c r="H34" s="492">
        <f>+'B) Reajuste Tarifas y Ocupación'!F33</f>
        <v>150300</v>
      </c>
      <c r="I34" s="492">
        <f>+'B) Reajuste Tarifas y Ocupación'!G33</f>
        <v>204400</v>
      </c>
      <c r="J34" s="493">
        <f>+'B) Reajuste Tarifas y Ocupación'!H33</f>
        <v>221400</v>
      </c>
      <c r="K34" s="448"/>
      <c r="L34" s="451">
        <f t="shared" si="2"/>
        <v>6800</v>
      </c>
      <c r="M34" s="451">
        <f t="shared" si="2"/>
        <v>9200</v>
      </c>
      <c r="N34" s="452">
        <f t="shared" si="2"/>
        <v>10000</v>
      </c>
      <c r="O34" s="453"/>
      <c r="P34" s="531">
        <f>+'B) Reajuste Tarifas y Ocupación'!I33</f>
        <v>4.4999999999999998E-2</v>
      </c>
      <c r="Q34" s="531">
        <f>+'B) Reajuste Tarifas y Ocupación'!J33</f>
        <v>4.4999999999999998E-2</v>
      </c>
      <c r="R34" s="1282">
        <f>+'B) Reajuste Tarifas y Ocupación'!K33</f>
        <v>4.4999999999999998E-2</v>
      </c>
    </row>
    <row r="35" spans="1:18" x14ac:dyDescent="0.35">
      <c r="A35" s="1612"/>
      <c r="B35" s="274" t="str">
        <f>+'B) Reajuste Tarifas y Ocupación'!B34</f>
        <v>Pérgola GM 100 P. (P. adicional) Día</v>
      </c>
      <c r="C35" s="501"/>
      <c r="D35" s="490">
        <f>+'B) Reajuste Tarifas y Ocupación'!M34</f>
        <v>8600</v>
      </c>
      <c r="E35" s="490">
        <f>+'B) Reajuste Tarifas y Ocupación'!N34</f>
        <v>11800</v>
      </c>
      <c r="F35" s="491">
        <f>+'B) Reajuste Tarifas y Ocupación'!O34</f>
        <v>12700</v>
      </c>
      <c r="G35" s="532"/>
      <c r="H35" s="492">
        <f>+'B) Reajuste Tarifas y Ocupación'!F34</f>
        <v>8200</v>
      </c>
      <c r="I35" s="492">
        <f>+'B) Reajuste Tarifas y Ocupación'!G34</f>
        <v>11200</v>
      </c>
      <c r="J35" s="493">
        <f>+'B) Reajuste Tarifas y Ocupación'!H34</f>
        <v>12100</v>
      </c>
      <c r="K35" s="448"/>
      <c r="L35" s="451">
        <f t="shared" si="2"/>
        <v>400</v>
      </c>
      <c r="M35" s="451">
        <f t="shared" si="2"/>
        <v>600</v>
      </c>
      <c r="N35" s="452">
        <f t="shared" si="2"/>
        <v>600</v>
      </c>
      <c r="O35" s="453"/>
      <c r="P35" s="531">
        <f>+'B) Reajuste Tarifas y Ocupación'!I34</f>
        <v>4.4999999999999998E-2</v>
      </c>
      <c r="Q35" s="531">
        <f>+'B) Reajuste Tarifas y Ocupación'!J34</f>
        <v>4.4999999999999998E-2</v>
      </c>
      <c r="R35" s="1282">
        <f>+'B) Reajuste Tarifas y Ocupación'!K34</f>
        <v>4.4999999999999998E-2</v>
      </c>
    </row>
    <row r="36" spans="1:18" x14ac:dyDescent="0.35">
      <c r="A36" s="1612"/>
      <c r="B36" s="274" t="str">
        <f>+'B) Reajuste Tarifas y Ocupación'!B35</f>
        <v>Pérgola GM 100 P. Noche</v>
      </c>
      <c r="C36" s="501"/>
      <c r="D36" s="490">
        <f>+'B) Reajuste Tarifas y Ocupación'!M35</f>
        <v>264100</v>
      </c>
      <c r="E36" s="490">
        <f>+'B) Reajuste Tarifas y Ocupación'!N35</f>
        <v>359100</v>
      </c>
      <c r="F36" s="491">
        <f>+'B) Reajuste Tarifas y Ocupación'!O35</f>
        <v>389100</v>
      </c>
      <c r="G36" s="532"/>
      <c r="H36" s="492">
        <f>+'B) Reajuste Tarifas y Ocupación'!F35</f>
        <v>252700</v>
      </c>
      <c r="I36" s="492">
        <f>+'B) Reajuste Tarifas y Ocupación'!G35</f>
        <v>343600</v>
      </c>
      <c r="J36" s="493">
        <f>+'B) Reajuste Tarifas y Ocupación'!H35</f>
        <v>372300</v>
      </c>
      <c r="K36" s="448"/>
      <c r="L36" s="451">
        <f t="shared" si="2"/>
        <v>11400</v>
      </c>
      <c r="M36" s="451">
        <f>E36-I36</f>
        <v>15500</v>
      </c>
      <c r="N36" s="452">
        <f t="shared" si="2"/>
        <v>16800</v>
      </c>
      <c r="O36" s="453"/>
      <c r="P36" s="531">
        <f>+'B) Reajuste Tarifas y Ocupación'!I35</f>
        <v>4.4999999999999998E-2</v>
      </c>
      <c r="Q36" s="531">
        <f>+'B) Reajuste Tarifas y Ocupación'!J35</f>
        <v>4.4999999999999998E-2</v>
      </c>
      <c r="R36" s="1282">
        <f>+'B) Reajuste Tarifas y Ocupación'!K35</f>
        <v>4.4999999999999998E-2</v>
      </c>
    </row>
    <row r="37" spans="1:18" x14ac:dyDescent="0.35">
      <c r="A37" s="1612"/>
      <c r="B37" s="274" t="str">
        <f>+'B) Reajuste Tarifas y Ocupación'!B36</f>
        <v>Pérgola GM 100 P. (P. adicional) Noche</v>
      </c>
      <c r="C37" s="501"/>
      <c r="D37" s="490">
        <f>+'B) Reajuste Tarifas y Ocupación'!M36</f>
        <v>10200</v>
      </c>
      <c r="E37" s="490">
        <f>+'B) Reajuste Tarifas y Ocupación'!N36</f>
        <v>13800</v>
      </c>
      <c r="F37" s="491">
        <f>+'B) Reajuste Tarifas y Ocupación'!O36</f>
        <v>15000</v>
      </c>
      <c r="G37" s="532"/>
      <c r="H37" s="492">
        <f>+'B) Reajuste Tarifas y Ocupación'!F36</f>
        <v>9700</v>
      </c>
      <c r="I37" s="492">
        <f>+'B) Reajuste Tarifas y Ocupación'!G36</f>
        <v>13200</v>
      </c>
      <c r="J37" s="493">
        <f>+'B) Reajuste Tarifas y Ocupación'!H36</f>
        <v>14300</v>
      </c>
      <c r="K37" s="448"/>
      <c r="L37" s="451">
        <f t="shared" si="2"/>
        <v>500</v>
      </c>
      <c r="M37" s="451">
        <f t="shared" si="2"/>
        <v>600</v>
      </c>
      <c r="N37" s="452">
        <f t="shared" si="2"/>
        <v>700</v>
      </c>
      <c r="O37" s="453"/>
      <c r="P37" s="531">
        <f>+'B) Reajuste Tarifas y Ocupación'!I36</f>
        <v>4.4999999999999998E-2</v>
      </c>
      <c r="Q37" s="531">
        <f>+'B) Reajuste Tarifas y Ocupación'!J36</f>
        <v>4.4999999999999998E-2</v>
      </c>
      <c r="R37" s="1282">
        <f>+'B) Reajuste Tarifas y Ocupación'!K36</f>
        <v>4.4999999999999998E-2</v>
      </c>
    </row>
    <row r="38" spans="1:18" x14ac:dyDescent="0.35">
      <c r="A38" s="1612"/>
      <c r="B38" s="274" t="str">
        <f>+'B) Reajuste Tarifas y Ocupación'!B37</f>
        <v>Cancha pasto sintético (Diurno)</v>
      </c>
      <c r="C38" s="496">
        <f>+'B) Reajuste Tarifas y Ocupación'!L37</f>
        <v>24400</v>
      </c>
      <c r="D38" s="490">
        <f>+'B) Reajuste Tarifas y Ocupación'!M37</f>
        <v>37400</v>
      </c>
      <c r="E38" s="490">
        <f>+'B) Reajuste Tarifas y Ocupación'!N37</f>
        <v>50800</v>
      </c>
      <c r="F38" s="491">
        <f>+'B) Reajuste Tarifas y Ocupación'!O37</f>
        <v>55000</v>
      </c>
      <c r="G38" s="499">
        <f>+'B) Reajuste Tarifas y Ocupación'!E37</f>
        <v>23300</v>
      </c>
      <c r="H38" s="492">
        <f>+'B) Reajuste Tarifas y Ocupación'!F37</f>
        <v>35700</v>
      </c>
      <c r="I38" s="492">
        <f>+'B) Reajuste Tarifas y Ocupación'!G37</f>
        <v>48600</v>
      </c>
      <c r="J38" s="493">
        <f>+'B) Reajuste Tarifas y Ocupación'!H37</f>
        <v>52600</v>
      </c>
      <c r="K38" s="454">
        <f>C38-G38</f>
        <v>1100</v>
      </c>
      <c r="L38" s="451">
        <f t="shared" si="2"/>
        <v>1700</v>
      </c>
      <c r="M38" s="451">
        <f t="shared" si="2"/>
        <v>2200</v>
      </c>
      <c r="N38" s="452">
        <f t="shared" si="2"/>
        <v>2400</v>
      </c>
      <c r="O38" s="455">
        <f>+P38</f>
        <v>4.4999999999999998E-2</v>
      </c>
      <c r="P38" s="531">
        <f>+'B) Reajuste Tarifas y Ocupación'!I37</f>
        <v>4.4999999999999998E-2</v>
      </c>
      <c r="Q38" s="531">
        <f>+'B) Reajuste Tarifas y Ocupación'!J37</f>
        <v>4.4999999999999998E-2</v>
      </c>
      <c r="R38" s="1282">
        <f>+'B) Reajuste Tarifas y Ocupación'!K37</f>
        <v>4.4999999999999998E-2</v>
      </c>
    </row>
    <row r="39" spans="1:18" ht="15" thickBot="1" x14ac:dyDescent="0.4">
      <c r="A39" s="1613"/>
      <c r="B39" s="278" t="str">
        <f>+'B) Reajuste Tarifas y Ocupación'!B38</f>
        <v>Cancha pasto sintético (Nocturno)</v>
      </c>
      <c r="C39" s="533">
        <f>+'B) Reajuste Tarifas y Ocupación'!L38</f>
        <v>32200</v>
      </c>
      <c r="D39" s="522">
        <f>+'B) Reajuste Tarifas y Ocupación'!M38</f>
        <v>49500</v>
      </c>
      <c r="E39" s="522">
        <f>+'B) Reajuste Tarifas y Ocupación'!N38</f>
        <v>67200</v>
      </c>
      <c r="F39" s="534">
        <f>+'B) Reajuste Tarifas y Ocupación'!O38</f>
        <v>72900</v>
      </c>
      <c r="G39" s="535">
        <f>+'B) Reajuste Tarifas y Ocupación'!E38</f>
        <v>30800</v>
      </c>
      <c r="H39" s="524">
        <f>+'B) Reajuste Tarifas y Ocupación'!F38</f>
        <v>47300</v>
      </c>
      <c r="I39" s="524">
        <f>+'B) Reajuste Tarifas y Ocupación'!G38</f>
        <v>64300</v>
      </c>
      <c r="J39" s="525">
        <f>+'B) Reajuste Tarifas y Ocupación'!H38</f>
        <v>69700</v>
      </c>
      <c r="K39" s="470">
        <f>C39-G39</f>
        <v>1400</v>
      </c>
      <c r="L39" s="466">
        <f t="shared" si="2"/>
        <v>2200</v>
      </c>
      <c r="M39" s="466">
        <f t="shared" si="2"/>
        <v>2900</v>
      </c>
      <c r="N39" s="467">
        <f t="shared" si="2"/>
        <v>3200</v>
      </c>
      <c r="O39" s="471">
        <f>+P39</f>
        <v>4.4999999999999998E-2</v>
      </c>
      <c r="P39" s="536">
        <f>+'B) Reajuste Tarifas y Ocupación'!I38</f>
        <v>4.4999999999999998E-2</v>
      </c>
      <c r="Q39" s="536">
        <f>+'B) Reajuste Tarifas y Ocupación'!J38</f>
        <v>4.4999999999999998E-2</v>
      </c>
      <c r="R39" s="1283">
        <f>+'B) Reajuste Tarifas y Ocupación'!K38</f>
        <v>4.4999999999999998E-2</v>
      </c>
    </row>
    <row r="40" spans="1:18" x14ac:dyDescent="0.35">
      <c r="A40" s="1614" t="str">
        <f>+'B) Reajuste Tarifas y Ocupación'!A39</f>
        <v>Piscina C.R. Huayquique (Oficiales)</v>
      </c>
      <c r="B40" s="273" t="str">
        <f>+'B) Reajuste Tarifas y Ocupación'!B39</f>
        <v>Piscina adultos</v>
      </c>
      <c r="C40" s="509"/>
      <c r="D40" s="529">
        <f>+'B) Reajuste Tarifas y Ocupación'!M39</f>
        <v>6500</v>
      </c>
      <c r="E40" s="529">
        <f>+'B) Reajuste Tarifas y Ocupación'!N39</f>
        <v>8900</v>
      </c>
      <c r="F40" s="530">
        <f>+'B) Reajuste Tarifas y Ocupación'!O39</f>
        <v>9700</v>
      </c>
      <c r="G40" s="537"/>
      <c r="H40" s="481">
        <f>+'B) Reajuste Tarifas y Ocupación'!F39</f>
        <v>6200</v>
      </c>
      <c r="I40" s="481">
        <f>+'B) Reajuste Tarifas y Ocupación'!G39</f>
        <v>8500</v>
      </c>
      <c r="J40" s="482">
        <f>+'B) Reajuste Tarifas y Ocupación'!H39</f>
        <v>9200</v>
      </c>
      <c r="K40" s="472"/>
      <c r="L40" s="445">
        <f t="shared" ref="L40:N44" si="3">D40-H40</f>
        <v>300</v>
      </c>
      <c r="M40" s="445">
        <f t="shared" si="3"/>
        <v>400</v>
      </c>
      <c r="N40" s="446">
        <f t="shared" si="3"/>
        <v>500</v>
      </c>
      <c r="O40" s="464"/>
      <c r="P40" s="483">
        <f>+'B) Reajuste Tarifas y Ocupación'!I39</f>
        <v>4.4999999999999998E-2</v>
      </c>
      <c r="Q40" s="483">
        <f>+'B) Reajuste Tarifas y Ocupación'!J39</f>
        <v>4.4999999999999998E-2</v>
      </c>
      <c r="R40" s="1281">
        <f>+'B) Reajuste Tarifas y Ocupación'!K39</f>
        <v>4.4999999999999998E-2</v>
      </c>
    </row>
    <row r="41" spans="1:18" ht="15" thickBot="1" x14ac:dyDescent="0.4">
      <c r="A41" s="1615"/>
      <c r="B41" s="278" t="str">
        <f>+'B) Reajuste Tarifas y Ocupación'!B40</f>
        <v xml:space="preserve">Piscina niño </v>
      </c>
      <c r="C41" s="538"/>
      <c r="D41" s="522">
        <f>+'B) Reajuste Tarifas y Ocupación'!M40</f>
        <v>5100</v>
      </c>
      <c r="E41" s="522">
        <f>+'B) Reajuste Tarifas y Ocupación'!N40</f>
        <v>6800</v>
      </c>
      <c r="F41" s="534">
        <f>+'B) Reajuste Tarifas y Ocupación'!O40</f>
        <v>7400</v>
      </c>
      <c r="G41" s="523"/>
      <c r="H41" s="524">
        <f>+'B) Reajuste Tarifas y Ocupación'!F40</f>
        <v>4800</v>
      </c>
      <c r="I41" s="524">
        <f>+'B) Reajuste Tarifas y Ocupación'!G40</f>
        <v>6500</v>
      </c>
      <c r="J41" s="525">
        <f>+'B) Reajuste Tarifas y Ocupación'!H40</f>
        <v>7000</v>
      </c>
      <c r="K41" s="457"/>
      <c r="L41" s="458">
        <f t="shared" si="3"/>
        <v>300</v>
      </c>
      <c r="M41" s="458">
        <f t="shared" si="3"/>
        <v>300</v>
      </c>
      <c r="N41" s="459">
        <f t="shared" si="3"/>
        <v>400</v>
      </c>
      <c r="O41" s="468"/>
      <c r="P41" s="508">
        <f>+'B) Reajuste Tarifas y Ocupación'!I40</f>
        <v>4.4999999999999998E-2</v>
      </c>
      <c r="Q41" s="508">
        <f>+'B) Reajuste Tarifas y Ocupación'!J40</f>
        <v>4.4999999999999998E-2</v>
      </c>
      <c r="R41" s="1280">
        <f>+'B) Reajuste Tarifas y Ocupación'!K40</f>
        <v>4.4999999999999998E-2</v>
      </c>
    </row>
    <row r="42" spans="1:18" x14ac:dyDescent="0.35">
      <c r="A42" s="1611" t="str">
        <f>+'B) Reajuste Tarifas y Ocupación'!A41</f>
        <v>Piscina C.R. Huayquique (Gente de Mar)</v>
      </c>
      <c r="B42" s="273" t="str">
        <f>+'B) Reajuste Tarifas y Ocupación'!B41</f>
        <v>Piscina adultos</v>
      </c>
      <c r="C42" s="509"/>
      <c r="D42" s="529">
        <f>+'B) Reajuste Tarifas y Ocupación'!M41</f>
        <v>6200</v>
      </c>
      <c r="E42" s="529">
        <f>+'B) Reajuste Tarifas y Ocupación'!N41</f>
        <v>8400</v>
      </c>
      <c r="F42" s="530">
        <f>+'B) Reajuste Tarifas y Ocupación'!O41</f>
        <v>9100</v>
      </c>
      <c r="G42" s="537"/>
      <c r="H42" s="481">
        <f>+'B) Reajuste Tarifas y Ocupación'!F41</f>
        <v>5900</v>
      </c>
      <c r="I42" s="481">
        <f>+'B) Reajuste Tarifas y Ocupación'!G41</f>
        <v>8000</v>
      </c>
      <c r="J42" s="482">
        <f>+'B) Reajuste Tarifas y Ocupación'!H41</f>
        <v>8700</v>
      </c>
      <c r="K42" s="461"/>
      <c r="L42" s="462">
        <f t="shared" si="3"/>
        <v>300</v>
      </c>
      <c r="M42" s="462">
        <f t="shared" si="3"/>
        <v>400</v>
      </c>
      <c r="N42" s="463">
        <f t="shared" si="3"/>
        <v>400</v>
      </c>
      <c r="O42" s="464"/>
      <c r="P42" s="483">
        <f>+'B) Reajuste Tarifas y Ocupación'!I41</f>
        <v>4.4999999999999998E-2</v>
      </c>
      <c r="Q42" s="483">
        <f>+'B) Reajuste Tarifas y Ocupación'!J41</f>
        <v>4.4999999999999998E-2</v>
      </c>
      <c r="R42" s="1281">
        <f>+'B) Reajuste Tarifas y Ocupación'!K41</f>
        <v>4.4999999999999998E-2</v>
      </c>
    </row>
    <row r="43" spans="1:18" ht="15" thickBot="1" x14ac:dyDescent="0.4">
      <c r="A43" s="1613"/>
      <c r="B43" s="278" t="str">
        <f>+'B) Reajuste Tarifas y Ocupación'!B42</f>
        <v xml:space="preserve">Piscina niño </v>
      </c>
      <c r="C43" s="538"/>
      <c r="D43" s="522">
        <f>+'B) Reajuste Tarifas y Ocupación'!M42</f>
        <v>5000</v>
      </c>
      <c r="E43" s="522">
        <f>+'B) Reajuste Tarifas y Ocupación'!N42</f>
        <v>6600</v>
      </c>
      <c r="F43" s="534">
        <f>+'B) Reajuste Tarifas y Ocupación'!O42</f>
        <v>7300</v>
      </c>
      <c r="G43" s="523"/>
      <c r="H43" s="524">
        <f>+'B) Reajuste Tarifas y Ocupación'!F42</f>
        <v>4700</v>
      </c>
      <c r="I43" s="524">
        <f>+'B) Reajuste Tarifas y Ocupación'!G42</f>
        <v>6300</v>
      </c>
      <c r="J43" s="525">
        <f>+'B) Reajuste Tarifas y Ocupación'!H42</f>
        <v>6900</v>
      </c>
      <c r="K43" s="465"/>
      <c r="L43" s="466">
        <f t="shared" si="3"/>
        <v>300</v>
      </c>
      <c r="M43" s="466">
        <f t="shared" si="3"/>
        <v>300</v>
      </c>
      <c r="N43" s="467">
        <f t="shared" si="3"/>
        <v>400</v>
      </c>
      <c r="O43" s="468"/>
      <c r="P43" s="539">
        <f>+'B) Reajuste Tarifas y Ocupación'!I42</f>
        <v>4.4999999999999998E-2</v>
      </c>
      <c r="Q43" s="539">
        <f>+'B) Reajuste Tarifas y Ocupación'!J42</f>
        <v>4.4999999999999998E-2</v>
      </c>
      <c r="R43" s="1284">
        <f>+'B) Reajuste Tarifas y Ocupación'!K42</f>
        <v>4.4999999999999998E-2</v>
      </c>
    </row>
    <row r="44" spans="1:18" x14ac:dyDescent="0.35">
      <c r="A44" s="1614" t="str">
        <f>+'B) Reajuste Tarifas y Ocupación'!A43</f>
        <v>Cabañas Hornitos</v>
      </c>
      <c r="B44" s="273" t="str">
        <f>+'B) Reajuste Tarifas y Ocupación'!B43</f>
        <v>Cabaña Hornitos</v>
      </c>
      <c r="C44" s="528">
        <f>+'B) Reajuste Tarifas y Ocupación'!L43</f>
        <v>43200</v>
      </c>
      <c r="D44" s="529">
        <f>+'B) Reajuste Tarifas y Ocupación'!M43</f>
        <v>66400</v>
      </c>
      <c r="E44" s="529">
        <f>+'B) Reajuste Tarifas y Ocupación'!N43</f>
        <v>90200</v>
      </c>
      <c r="F44" s="530">
        <f>+'B) Reajuste Tarifas y Ocupación'!O43</f>
        <v>97800</v>
      </c>
      <c r="G44" s="517">
        <f>+'B) Reajuste Tarifas y Ocupación'!E43</f>
        <v>41300</v>
      </c>
      <c r="H44" s="481">
        <f>+'B) Reajuste Tarifas y Ocupación'!F43</f>
        <v>63500</v>
      </c>
      <c r="I44" s="481">
        <f>+'B) Reajuste Tarifas y Ocupación'!G43</f>
        <v>86300</v>
      </c>
      <c r="J44" s="482">
        <f>+'B) Reajuste Tarifas y Ocupación'!H43</f>
        <v>93500</v>
      </c>
      <c r="K44" s="444">
        <f>C44-G44</f>
        <v>1900</v>
      </c>
      <c r="L44" s="445">
        <f t="shared" si="3"/>
        <v>2900</v>
      </c>
      <c r="M44" s="445">
        <f t="shared" si="3"/>
        <v>3900</v>
      </c>
      <c r="N44" s="446">
        <f t="shared" si="3"/>
        <v>4300</v>
      </c>
      <c r="O44" s="447">
        <f>+P44</f>
        <v>4.4999999999999998E-2</v>
      </c>
      <c r="P44" s="483">
        <f>+'B) Reajuste Tarifas y Ocupación'!I43</f>
        <v>4.4999999999999998E-2</v>
      </c>
      <c r="Q44" s="483">
        <f>+'B) Reajuste Tarifas y Ocupación'!J43</f>
        <v>4.4999999999999998E-2</v>
      </c>
      <c r="R44" s="1281">
        <f>+'B) Reajuste Tarifas y Ocupación'!K43</f>
        <v>4.4999999999999998E-2</v>
      </c>
    </row>
    <row r="45" spans="1:18" x14ac:dyDescent="0.35">
      <c r="A45" s="1612"/>
      <c r="B45" s="279" t="str">
        <f>+'B) Reajuste Tarifas y Ocupación'!B44</f>
        <v>Early check-in/Late check-out</v>
      </c>
      <c r="C45" s="484"/>
      <c r="D45" s="485"/>
      <c r="E45" s="485"/>
      <c r="F45" s="486"/>
      <c r="G45" s="487"/>
      <c r="H45" s="488"/>
      <c r="I45" s="488"/>
      <c r="J45" s="489"/>
      <c r="K45" s="448"/>
      <c r="L45" s="449"/>
      <c r="M45" s="449"/>
      <c r="N45" s="450"/>
      <c r="O45" s="453"/>
      <c r="P45" s="494"/>
      <c r="Q45" s="494"/>
      <c r="R45" s="495"/>
    </row>
    <row r="46" spans="1:18" ht="15" thickBot="1" x14ac:dyDescent="0.4">
      <c r="A46" s="1615"/>
      <c r="B46" s="278" t="str">
        <f>+'B) Reajuste Tarifas y Ocupación'!B45</f>
        <v>Cabaña Hornitos</v>
      </c>
      <c r="C46" s="538"/>
      <c r="D46" s="522">
        <f>+'B) Reajuste Tarifas y Ocupación'!M45</f>
        <v>20000</v>
      </c>
      <c r="E46" s="522">
        <f>+'B) Reajuste Tarifas y Ocupación'!N45</f>
        <v>27100</v>
      </c>
      <c r="F46" s="534">
        <f>+'B) Reajuste Tarifas y Ocupación'!O45</f>
        <v>29400</v>
      </c>
      <c r="G46" s="523"/>
      <c r="H46" s="524">
        <f>+'B) Reajuste Tarifas y Ocupación'!F45</f>
        <v>19100</v>
      </c>
      <c r="I46" s="524">
        <f>+'B) Reajuste Tarifas y Ocupación'!G45</f>
        <v>25900</v>
      </c>
      <c r="J46" s="525">
        <f>+'B) Reajuste Tarifas y Ocupación'!H45</f>
        <v>28100</v>
      </c>
      <c r="K46" s="457"/>
      <c r="L46" s="458">
        <f t="shared" ref="L46:N66" si="4">D46-H46</f>
        <v>900</v>
      </c>
      <c r="M46" s="458">
        <f t="shared" si="4"/>
        <v>1200</v>
      </c>
      <c r="N46" s="459">
        <f t="shared" si="4"/>
        <v>1300</v>
      </c>
      <c r="O46" s="468"/>
      <c r="P46" s="526"/>
      <c r="Q46" s="526"/>
      <c r="R46" s="527"/>
    </row>
    <row r="47" spans="1:18" x14ac:dyDescent="0.35">
      <c r="A47" s="1611" t="str">
        <f>+'B) Reajuste Tarifas y Ocupación'!A46</f>
        <v>C. H. Rada Iquique</v>
      </c>
      <c r="B47" s="273" t="str">
        <f>+'B) Reajuste Tarifas y Ocupación'!B46</f>
        <v>Simple</v>
      </c>
      <c r="C47" s="528">
        <f>+'B) Reajuste Tarifas y Ocupación'!L46</f>
        <v>26900</v>
      </c>
      <c r="D47" s="529">
        <f>+'B) Reajuste Tarifas y Ocupación'!M46</f>
        <v>41300</v>
      </c>
      <c r="E47" s="529">
        <f>+'B) Reajuste Tarifas y Ocupación'!N46</f>
        <v>56200</v>
      </c>
      <c r="F47" s="530">
        <f>+'B) Reajuste Tarifas y Ocupación'!O46</f>
        <v>60900</v>
      </c>
      <c r="G47" s="517">
        <f>+'B) Reajuste Tarifas y Ocupación'!E46</f>
        <v>25700</v>
      </c>
      <c r="H47" s="481">
        <f>+'B) Reajuste Tarifas y Ocupación'!F46</f>
        <v>39500</v>
      </c>
      <c r="I47" s="481">
        <f>+'B) Reajuste Tarifas y Ocupación'!G46</f>
        <v>53700</v>
      </c>
      <c r="J47" s="482">
        <f>+'B) Reajuste Tarifas y Ocupación'!H46</f>
        <v>58200</v>
      </c>
      <c r="K47" s="469">
        <f t="shared" ref="K47:K63" si="5">C47-G47</f>
        <v>1200</v>
      </c>
      <c r="L47" s="462">
        <f t="shared" si="4"/>
        <v>1800</v>
      </c>
      <c r="M47" s="462">
        <f t="shared" si="4"/>
        <v>2500</v>
      </c>
      <c r="N47" s="463">
        <f t="shared" si="4"/>
        <v>2700</v>
      </c>
      <c r="O47" s="447">
        <f t="shared" ref="O47:O52" si="6">+P47</f>
        <v>4.4999999999999998E-2</v>
      </c>
      <c r="P47" s="483">
        <f>+'B) Reajuste Tarifas y Ocupación'!I46</f>
        <v>4.4999999999999998E-2</v>
      </c>
      <c r="Q47" s="483">
        <f>+'B) Reajuste Tarifas y Ocupación'!J46</f>
        <v>4.4999999999999998E-2</v>
      </c>
      <c r="R47" s="1281">
        <f>+'B) Reajuste Tarifas y Ocupación'!K46</f>
        <v>4.4999999999999998E-2</v>
      </c>
    </row>
    <row r="48" spans="1:18" x14ac:dyDescent="0.35">
      <c r="A48" s="1612"/>
      <c r="B48" s="274" t="str">
        <f>+'B) Reajuste Tarifas y Ocupación'!B47</f>
        <v>Doble</v>
      </c>
      <c r="C48" s="496">
        <f>+'B) Reajuste Tarifas y Ocupación'!L47</f>
        <v>34300</v>
      </c>
      <c r="D48" s="490">
        <f>+'B) Reajuste Tarifas y Ocupación'!M47</f>
        <v>52700</v>
      </c>
      <c r="E48" s="490">
        <f>+'B) Reajuste Tarifas y Ocupación'!N47</f>
        <v>71700</v>
      </c>
      <c r="F48" s="491">
        <f>+'B) Reajuste Tarifas y Ocupación'!O47</f>
        <v>77700</v>
      </c>
      <c r="G48" s="499">
        <f>+'B) Reajuste Tarifas y Ocupación'!E47</f>
        <v>32800</v>
      </c>
      <c r="H48" s="492">
        <f>+'B) Reajuste Tarifas y Ocupación'!F47</f>
        <v>50400</v>
      </c>
      <c r="I48" s="492">
        <f>+'B) Reajuste Tarifas y Ocupación'!G47</f>
        <v>68600</v>
      </c>
      <c r="J48" s="493">
        <f>+'B) Reajuste Tarifas y Ocupación'!H47</f>
        <v>74300</v>
      </c>
      <c r="K48" s="454">
        <f t="shared" si="5"/>
        <v>1500</v>
      </c>
      <c r="L48" s="451">
        <f t="shared" si="4"/>
        <v>2300</v>
      </c>
      <c r="M48" s="451">
        <f t="shared" si="4"/>
        <v>3100</v>
      </c>
      <c r="N48" s="452">
        <f t="shared" si="4"/>
        <v>3400</v>
      </c>
      <c r="O48" s="455">
        <f t="shared" si="6"/>
        <v>4.4999999999999998E-2</v>
      </c>
      <c r="P48" s="531">
        <f>+'B) Reajuste Tarifas y Ocupación'!I47</f>
        <v>4.4999999999999998E-2</v>
      </c>
      <c r="Q48" s="531">
        <f>+'B) Reajuste Tarifas y Ocupación'!J47</f>
        <v>4.4999999999999998E-2</v>
      </c>
      <c r="R48" s="1282">
        <f>+'B) Reajuste Tarifas y Ocupación'!K47</f>
        <v>4.4999999999999998E-2</v>
      </c>
    </row>
    <row r="49" spans="1:18" x14ac:dyDescent="0.35">
      <c r="A49" s="1612"/>
      <c r="B49" s="274" t="str">
        <f>+'B) Reajuste Tarifas y Ocupación'!B48</f>
        <v>Matrimonial</v>
      </c>
      <c r="C49" s="496">
        <f>+'B) Reajuste Tarifas y Ocupación'!L48</f>
        <v>34300</v>
      </c>
      <c r="D49" s="490">
        <f>+'B) Reajuste Tarifas y Ocupación'!M48</f>
        <v>52700</v>
      </c>
      <c r="E49" s="490">
        <f>+'B) Reajuste Tarifas y Ocupación'!N48</f>
        <v>71700</v>
      </c>
      <c r="F49" s="491">
        <f>+'B) Reajuste Tarifas y Ocupación'!O48</f>
        <v>77700</v>
      </c>
      <c r="G49" s="499">
        <f>+'B) Reajuste Tarifas y Ocupación'!E48</f>
        <v>32800</v>
      </c>
      <c r="H49" s="492">
        <f>+'B) Reajuste Tarifas y Ocupación'!F48</f>
        <v>50400</v>
      </c>
      <c r="I49" s="492">
        <f>+'B) Reajuste Tarifas y Ocupación'!G48</f>
        <v>68600</v>
      </c>
      <c r="J49" s="493">
        <f>+'B) Reajuste Tarifas y Ocupación'!H48</f>
        <v>74300</v>
      </c>
      <c r="K49" s="454">
        <f t="shared" si="5"/>
        <v>1500</v>
      </c>
      <c r="L49" s="451">
        <f t="shared" si="4"/>
        <v>2300</v>
      </c>
      <c r="M49" s="451">
        <f t="shared" si="4"/>
        <v>3100</v>
      </c>
      <c r="N49" s="452">
        <f t="shared" si="4"/>
        <v>3400</v>
      </c>
      <c r="O49" s="455">
        <f t="shared" si="6"/>
        <v>4.4999999999999998E-2</v>
      </c>
      <c r="P49" s="531">
        <f>+'B) Reajuste Tarifas y Ocupación'!I48</f>
        <v>4.4999999999999998E-2</v>
      </c>
      <c r="Q49" s="531">
        <f>+'B) Reajuste Tarifas y Ocupación'!J48</f>
        <v>4.4999999999999998E-2</v>
      </c>
      <c r="R49" s="1282">
        <f>+'B) Reajuste Tarifas y Ocupación'!K48</f>
        <v>4.4999999999999998E-2</v>
      </c>
    </row>
    <row r="50" spans="1:18" x14ac:dyDescent="0.35">
      <c r="A50" s="1612"/>
      <c r="B50" s="274" t="str">
        <f>+'B) Reajuste Tarifas y Ocupación'!B49</f>
        <v>Matrimonial + Camarote (Familiar)</v>
      </c>
      <c r="C50" s="496">
        <f>+'B) Reajuste Tarifas y Ocupación'!L49</f>
        <v>51100</v>
      </c>
      <c r="D50" s="490">
        <f>+'B) Reajuste Tarifas y Ocupación'!M49</f>
        <v>78500</v>
      </c>
      <c r="E50" s="490">
        <f>+'B) Reajuste Tarifas y Ocupación'!N49</f>
        <v>106800</v>
      </c>
      <c r="F50" s="491">
        <f>+'B) Reajuste Tarifas y Ocupación'!O49</f>
        <v>115700</v>
      </c>
      <c r="G50" s="499">
        <f>+'B) Reajuste Tarifas y Ocupación'!E49</f>
        <v>48900</v>
      </c>
      <c r="H50" s="492">
        <f>+'B) Reajuste Tarifas y Ocupación'!F49</f>
        <v>75100</v>
      </c>
      <c r="I50" s="492">
        <f>+'B) Reajuste Tarifas y Ocupación'!G49</f>
        <v>102200</v>
      </c>
      <c r="J50" s="493">
        <f>+'B) Reajuste Tarifas y Ocupación'!H49</f>
        <v>110700</v>
      </c>
      <c r="K50" s="454">
        <f t="shared" si="5"/>
        <v>2200</v>
      </c>
      <c r="L50" s="451">
        <f t="shared" si="4"/>
        <v>3400</v>
      </c>
      <c r="M50" s="451">
        <f t="shared" si="4"/>
        <v>4600</v>
      </c>
      <c r="N50" s="452">
        <f t="shared" si="4"/>
        <v>5000</v>
      </c>
      <c r="O50" s="455">
        <f t="shared" si="6"/>
        <v>4.4999999999999998E-2</v>
      </c>
      <c r="P50" s="531">
        <f>+'B) Reajuste Tarifas y Ocupación'!I49</f>
        <v>4.4999999999999998E-2</v>
      </c>
      <c r="Q50" s="531">
        <f>+'B) Reajuste Tarifas y Ocupación'!J49</f>
        <v>4.4999999999999998E-2</v>
      </c>
      <c r="R50" s="1282">
        <f>+'B) Reajuste Tarifas y Ocupación'!K49</f>
        <v>4.4999999999999998E-2</v>
      </c>
    </row>
    <row r="51" spans="1:18" x14ac:dyDescent="0.35">
      <c r="A51" s="1612"/>
      <c r="B51" s="274" t="str">
        <f>+'B) Reajuste Tarifas y Ocupación'!B50</f>
        <v>Superior</v>
      </c>
      <c r="C51" s="496">
        <f>+'B) Reajuste Tarifas y Ocupación'!L50</f>
        <v>40000</v>
      </c>
      <c r="D51" s="490">
        <f>+'B) Reajuste Tarifas y Ocupación'!M50</f>
        <v>61500</v>
      </c>
      <c r="E51" s="490">
        <f>+'B) Reajuste Tarifas y Ocupación'!N50</f>
        <v>83600</v>
      </c>
      <c r="F51" s="491">
        <f>+'B) Reajuste Tarifas y Ocupación'!O50</f>
        <v>90700</v>
      </c>
      <c r="G51" s="499">
        <f>+'B) Reajuste Tarifas y Ocupación'!E50</f>
        <v>38300</v>
      </c>
      <c r="H51" s="492">
        <f>+'B) Reajuste Tarifas y Ocupación'!F50</f>
        <v>58800</v>
      </c>
      <c r="I51" s="492">
        <f>+'B) Reajuste Tarifas y Ocupación'!G50</f>
        <v>80000</v>
      </c>
      <c r="J51" s="493">
        <f>+'B) Reajuste Tarifas y Ocupación'!H50</f>
        <v>86700</v>
      </c>
      <c r="K51" s="454">
        <f t="shared" si="5"/>
        <v>1700</v>
      </c>
      <c r="L51" s="451">
        <f t="shared" si="4"/>
        <v>2700</v>
      </c>
      <c r="M51" s="451">
        <f t="shared" si="4"/>
        <v>3600</v>
      </c>
      <c r="N51" s="452">
        <f t="shared" si="4"/>
        <v>4000</v>
      </c>
      <c r="O51" s="455">
        <f t="shared" si="6"/>
        <v>4.4999999999999998E-2</v>
      </c>
      <c r="P51" s="531">
        <f>+'B) Reajuste Tarifas y Ocupación'!I50</f>
        <v>4.4999999999999998E-2</v>
      </c>
      <c r="Q51" s="531">
        <f>+'B) Reajuste Tarifas y Ocupación'!J50</f>
        <v>4.4999999999999998E-2</v>
      </c>
      <c r="R51" s="1282">
        <f>+'B) Reajuste Tarifas y Ocupación'!K50</f>
        <v>4.4999999999999998E-2</v>
      </c>
    </row>
    <row r="52" spans="1:18" x14ac:dyDescent="0.35">
      <c r="A52" s="1612"/>
      <c r="B52" s="274" t="str">
        <f>+'B) Reajuste Tarifas y Ocupación'!B51</f>
        <v>Sofá cama adiciona (Hasta 7 años)</v>
      </c>
      <c r="C52" s="496">
        <f>+'B) Reajuste Tarifas y Ocupación'!L51</f>
        <v>11000</v>
      </c>
      <c r="D52" s="490">
        <f>+'B) Reajuste Tarifas y Ocupación'!M51</f>
        <v>16800</v>
      </c>
      <c r="E52" s="490">
        <f>+'B) Reajuste Tarifas y Ocupación'!N51</f>
        <v>22800</v>
      </c>
      <c r="F52" s="491">
        <f>+'B) Reajuste Tarifas y Ocupación'!O51</f>
        <v>24700</v>
      </c>
      <c r="G52" s="499">
        <f>+'B) Reajuste Tarifas y Ocupación'!E51</f>
        <v>10400</v>
      </c>
      <c r="H52" s="492">
        <f>+'B) Reajuste Tarifas y Ocupación'!F51</f>
        <v>16000</v>
      </c>
      <c r="I52" s="492">
        <f>+'B) Reajuste Tarifas y Ocupación'!G51</f>
        <v>21800</v>
      </c>
      <c r="J52" s="493">
        <f>+'B) Reajuste Tarifas y Ocupación'!H51</f>
        <v>23600</v>
      </c>
      <c r="K52" s="454">
        <f t="shared" si="5"/>
        <v>600</v>
      </c>
      <c r="L52" s="451">
        <f t="shared" si="4"/>
        <v>800</v>
      </c>
      <c r="M52" s="451">
        <f t="shared" si="4"/>
        <v>1000</v>
      </c>
      <c r="N52" s="452">
        <f t="shared" si="4"/>
        <v>1100</v>
      </c>
      <c r="O52" s="455">
        <f t="shared" si="6"/>
        <v>4.4999999999999998E-2</v>
      </c>
      <c r="P52" s="531">
        <f>+'B) Reajuste Tarifas y Ocupación'!I51</f>
        <v>4.4999999999999998E-2</v>
      </c>
      <c r="Q52" s="531">
        <f>+'B) Reajuste Tarifas y Ocupación'!J51</f>
        <v>4.4999999999999998E-2</v>
      </c>
      <c r="R52" s="1282">
        <f>+'B) Reajuste Tarifas y Ocupación'!K51</f>
        <v>4.4999999999999998E-2</v>
      </c>
    </row>
    <row r="53" spans="1:18" x14ac:dyDescent="0.35">
      <c r="A53" s="1612"/>
      <c r="B53" s="279" t="str">
        <f>+'B) Reajuste Tarifas y Ocupación'!B52</f>
        <v>Late check-out o early check-in</v>
      </c>
      <c r="C53" s="484"/>
      <c r="D53" s="485"/>
      <c r="E53" s="485"/>
      <c r="F53" s="486"/>
      <c r="G53" s="487"/>
      <c r="H53" s="488"/>
      <c r="I53" s="488"/>
      <c r="J53" s="489"/>
      <c r="K53" s="448"/>
      <c r="L53" s="449"/>
      <c r="M53" s="449"/>
      <c r="N53" s="450"/>
      <c r="O53" s="1605"/>
      <c r="P53" s="1606"/>
      <c r="Q53" s="1606"/>
      <c r="R53" s="1607"/>
    </row>
    <row r="54" spans="1:18" x14ac:dyDescent="0.35">
      <c r="A54" s="1612"/>
      <c r="B54" s="280" t="str">
        <f>+'B) Reajuste Tarifas y Ocupación'!B53</f>
        <v>Simple</v>
      </c>
      <c r="C54" s="501"/>
      <c r="D54" s="490">
        <f>+'B) Reajuste Tarifas y Ocupación'!M53</f>
        <v>12400</v>
      </c>
      <c r="E54" s="490">
        <f>+'B) Reajuste Tarifas y Ocupación'!N53</f>
        <v>16900</v>
      </c>
      <c r="F54" s="491">
        <f>+'B) Reajuste Tarifas y Ocupación'!O53</f>
        <v>18300</v>
      </c>
      <c r="G54" s="532"/>
      <c r="H54" s="492">
        <f>+'B) Reajuste Tarifas y Ocupación'!F53</f>
        <v>11900</v>
      </c>
      <c r="I54" s="492">
        <f>+'B) Reajuste Tarifas y Ocupación'!G53</f>
        <v>16200</v>
      </c>
      <c r="J54" s="493">
        <f>+'B) Reajuste Tarifas y Ocupación'!H53</f>
        <v>17500</v>
      </c>
      <c r="K54" s="448"/>
      <c r="L54" s="451">
        <f t="shared" si="4"/>
        <v>500</v>
      </c>
      <c r="M54" s="451">
        <f t="shared" si="4"/>
        <v>700</v>
      </c>
      <c r="N54" s="452">
        <f t="shared" si="4"/>
        <v>800</v>
      </c>
      <c r="O54" s="453"/>
      <c r="P54" s="540"/>
      <c r="Q54" s="540"/>
      <c r="R54" s="541"/>
    </row>
    <row r="55" spans="1:18" x14ac:dyDescent="0.35">
      <c r="A55" s="1612"/>
      <c r="B55" s="280" t="str">
        <f>+'B) Reajuste Tarifas y Ocupación'!B54</f>
        <v xml:space="preserve"> Doble</v>
      </c>
      <c r="C55" s="501"/>
      <c r="D55" s="490">
        <f>+'B) Reajuste Tarifas y Ocupación'!M54</f>
        <v>15900</v>
      </c>
      <c r="E55" s="490">
        <f>+'B) Reajuste Tarifas y Ocupación'!N54</f>
        <v>21600</v>
      </c>
      <c r="F55" s="491">
        <f>+'B) Reajuste Tarifas y Ocupación'!O54</f>
        <v>23400</v>
      </c>
      <c r="G55" s="532"/>
      <c r="H55" s="492">
        <f>+'B) Reajuste Tarifas y Ocupación'!F54</f>
        <v>15200</v>
      </c>
      <c r="I55" s="492">
        <f>+'B) Reajuste Tarifas y Ocupación'!G54</f>
        <v>20600</v>
      </c>
      <c r="J55" s="493">
        <f>+'B) Reajuste Tarifas y Ocupación'!H54</f>
        <v>22300</v>
      </c>
      <c r="K55" s="448"/>
      <c r="L55" s="451">
        <f t="shared" si="4"/>
        <v>700</v>
      </c>
      <c r="M55" s="451">
        <f t="shared" si="4"/>
        <v>1000</v>
      </c>
      <c r="N55" s="452">
        <f t="shared" si="4"/>
        <v>1100</v>
      </c>
      <c r="O55" s="453"/>
      <c r="P55" s="540"/>
      <c r="Q55" s="540"/>
      <c r="R55" s="541"/>
    </row>
    <row r="56" spans="1:18" x14ac:dyDescent="0.35">
      <c r="A56" s="1612"/>
      <c r="B56" s="280" t="str">
        <f>+'B) Reajuste Tarifas y Ocupación'!B55</f>
        <v>Matrimonial</v>
      </c>
      <c r="C56" s="501"/>
      <c r="D56" s="490">
        <f>+'B) Reajuste Tarifas y Ocupación'!M55</f>
        <v>15900</v>
      </c>
      <c r="E56" s="490">
        <f>+'B) Reajuste Tarifas y Ocupación'!N55</f>
        <v>21600</v>
      </c>
      <c r="F56" s="491">
        <f>+'B) Reajuste Tarifas y Ocupación'!O55</f>
        <v>23400</v>
      </c>
      <c r="G56" s="532"/>
      <c r="H56" s="492">
        <f>+'B) Reajuste Tarifas y Ocupación'!F55</f>
        <v>15200</v>
      </c>
      <c r="I56" s="492">
        <f>+'B) Reajuste Tarifas y Ocupación'!G55</f>
        <v>20600</v>
      </c>
      <c r="J56" s="493">
        <f>+'B) Reajuste Tarifas y Ocupación'!H55</f>
        <v>22300</v>
      </c>
      <c r="K56" s="448"/>
      <c r="L56" s="451">
        <f t="shared" si="4"/>
        <v>700</v>
      </c>
      <c r="M56" s="451">
        <f t="shared" si="4"/>
        <v>1000</v>
      </c>
      <c r="N56" s="452">
        <f t="shared" si="4"/>
        <v>1100</v>
      </c>
      <c r="O56" s="453"/>
      <c r="P56" s="540"/>
      <c r="Q56" s="540"/>
      <c r="R56" s="541"/>
    </row>
    <row r="57" spans="1:18" x14ac:dyDescent="0.35">
      <c r="A57" s="1612"/>
      <c r="B57" s="280" t="str">
        <f>+'B) Reajuste Tarifas y Ocupación'!B56</f>
        <v>Matrimonial + Camarote</v>
      </c>
      <c r="C57" s="501"/>
      <c r="D57" s="490">
        <f>+'B) Reajuste Tarifas y Ocupación'!M56</f>
        <v>23600</v>
      </c>
      <c r="E57" s="490">
        <f>+'B) Reajuste Tarifas y Ocupación'!N56</f>
        <v>32100</v>
      </c>
      <c r="F57" s="491">
        <f>+'B) Reajuste Tarifas y Ocupación'!O56</f>
        <v>34800</v>
      </c>
      <c r="G57" s="532"/>
      <c r="H57" s="492">
        <f>+'B) Reajuste Tarifas y Ocupación'!F56</f>
        <v>22600</v>
      </c>
      <c r="I57" s="492">
        <f>+'B) Reajuste Tarifas y Ocupación'!G56</f>
        <v>30700</v>
      </c>
      <c r="J57" s="493">
        <f>+'B) Reajuste Tarifas y Ocupación'!H56</f>
        <v>33300</v>
      </c>
      <c r="K57" s="448"/>
      <c r="L57" s="451">
        <f t="shared" si="4"/>
        <v>1000</v>
      </c>
      <c r="M57" s="451">
        <f t="shared" si="4"/>
        <v>1400</v>
      </c>
      <c r="N57" s="452">
        <f t="shared" si="4"/>
        <v>1500</v>
      </c>
      <c r="O57" s="453"/>
      <c r="P57" s="540"/>
      <c r="Q57" s="540"/>
      <c r="R57" s="541"/>
    </row>
    <row r="58" spans="1:18" ht="15" thickBot="1" x14ac:dyDescent="0.4">
      <c r="A58" s="1613"/>
      <c r="B58" s="282" t="str">
        <f>+'B) Reajuste Tarifas y Ocupación'!B57</f>
        <v>Superior</v>
      </c>
      <c r="C58" s="538"/>
      <c r="D58" s="522">
        <f>+'B) Reajuste Tarifas y Ocupación'!M57</f>
        <v>18500</v>
      </c>
      <c r="E58" s="522">
        <f>+'B) Reajuste Tarifas y Ocupación'!N57</f>
        <v>25100</v>
      </c>
      <c r="F58" s="534">
        <f>+'B) Reajuste Tarifas y Ocupación'!O57</f>
        <v>27300</v>
      </c>
      <c r="G58" s="523"/>
      <c r="H58" s="524">
        <f>+'B) Reajuste Tarifas y Ocupación'!F57</f>
        <v>17700</v>
      </c>
      <c r="I58" s="524">
        <f>+'B) Reajuste Tarifas y Ocupación'!G57</f>
        <v>24000</v>
      </c>
      <c r="J58" s="525">
        <f>+'B) Reajuste Tarifas y Ocupación'!H57</f>
        <v>26100</v>
      </c>
      <c r="K58" s="465"/>
      <c r="L58" s="466">
        <f t="shared" si="4"/>
        <v>800</v>
      </c>
      <c r="M58" s="466">
        <f t="shared" si="4"/>
        <v>1100</v>
      </c>
      <c r="N58" s="467">
        <f t="shared" si="4"/>
        <v>1200</v>
      </c>
      <c r="O58" s="473"/>
      <c r="P58" s="542"/>
      <c r="Q58" s="542"/>
      <c r="R58" s="543"/>
    </row>
    <row r="59" spans="1:18" x14ac:dyDescent="0.35">
      <c r="A59" s="1599" t="str">
        <f>+'B) Reajuste Tarifas y Ocupación'!A58</f>
        <v>C. H. Caleta Angamos</v>
      </c>
      <c r="B59" s="283" t="str">
        <f>+'B) Reajuste Tarifas y Ocupación'!B58</f>
        <v>Simple</v>
      </c>
      <c r="C59" s="528">
        <f>+'B) Reajuste Tarifas y Ocupación'!L58</f>
        <v>36800</v>
      </c>
      <c r="D59" s="529">
        <f>+'B) Reajuste Tarifas y Ocupación'!M58</f>
        <v>56500</v>
      </c>
      <c r="E59" s="529">
        <f>+'B) Reajuste Tarifas y Ocupación'!N58</f>
        <v>70400</v>
      </c>
      <c r="F59" s="530">
        <f>+'B) Reajuste Tarifas y Ocupación'!O58</f>
        <v>76800</v>
      </c>
      <c r="G59" s="517">
        <f>+'B) Reajuste Tarifas y Ocupación'!E58</f>
        <v>35100</v>
      </c>
      <c r="H59" s="481">
        <f>+'B) Reajuste Tarifas y Ocupación'!F58</f>
        <v>54000</v>
      </c>
      <c r="I59" s="481">
        <f>+'B) Reajuste Tarifas y Ocupación'!G58</f>
        <v>67300</v>
      </c>
      <c r="J59" s="482">
        <f>+'B) Reajuste Tarifas y Ocupación'!H58</f>
        <v>73400</v>
      </c>
      <c r="K59" s="444">
        <f t="shared" si="5"/>
        <v>1700</v>
      </c>
      <c r="L59" s="445">
        <f t="shared" si="4"/>
        <v>2500</v>
      </c>
      <c r="M59" s="445">
        <f t="shared" si="4"/>
        <v>3100</v>
      </c>
      <c r="N59" s="446">
        <f t="shared" si="4"/>
        <v>3400</v>
      </c>
      <c r="O59" s="447">
        <f>+P59</f>
        <v>4.4999999999999998E-2</v>
      </c>
      <c r="P59" s="483">
        <f>+'B) Reajuste Tarifas y Ocupación'!I58</f>
        <v>4.4999999999999998E-2</v>
      </c>
      <c r="Q59" s="483">
        <f>+'B) Reajuste Tarifas y Ocupación'!J58</f>
        <v>4.4999999999999998E-2</v>
      </c>
      <c r="R59" s="1281">
        <f>+'B) Reajuste Tarifas y Ocupación'!K58</f>
        <v>4.4999999999999998E-2</v>
      </c>
    </row>
    <row r="60" spans="1:18" x14ac:dyDescent="0.35">
      <c r="A60" s="1600"/>
      <c r="B60" s="284" t="str">
        <f>+'B) Reajuste Tarifas y Ocupación'!B59</f>
        <v>Doble</v>
      </c>
      <c r="C60" s="496">
        <f>+'B) Reajuste Tarifas y Ocupación'!L59</f>
        <v>45000</v>
      </c>
      <c r="D60" s="490">
        <f>+'B) Reajuste Tarifas y Ocupación'!M59</f>
        <v>69200</v>
      </c>
      <c r="E60" s="490">
        <f>+'B) Reajuste Tarifas y Ocupación'!N59</f>
        <v>86300</v>
      </c>
      <c r="F60" s="491">
        <f>+'B) Reajuste Tarifas y Ocupación'!O59</f>
        <v>94100</v>
      </c>
      <c r="G60" s="499">
        <f>+'B) Reajuste Tarifas y Ocupación'!E59</f>
        <v>43100</v>
      </c>
      <c r="H60" s="492">
        <f>+'B) Reajuste Tarifas y Ocupación'!F59</f>
        <v>66200</v>
      </c>
      <c r="I60" s="492">
        <f>+'B) Reajuste Tarifas y Ocupación'!G59</f>
        <v>82500</v>
      </c>
      <c r="J60" s="493">
        <f>+'B) Reajuste Tarifas y Ocupación'!H59</f>
        <v>90000</v>
      </c>
      <c r="K60" s="454">
        <f t="shared" si="5"/>
        <v>1900</v>
      </c>
      <c r="L60" s="451">
        <f t="shared" si="4"/>
        <v>3000</v>
      </c>
      <c r="M60" s="451">
        <f t="shared" si="4"/>
        <v>3800</v>
      </c>
      <c r="N60" s="452">
        <f t="shared" si="4"/>
        <v>4100</v>
      </c>
      <c r="O60" s="455">
        <f>+P60</f>
        <v>4.4999999999999998E-2</v>
      </c>
      <c r="P60" s="500">
        <f>+'B) Reajuste Tarifas y Ocupación'!I59</f>
        <v>4.4999999999999998E-2</v>
      </c>
      <c r="Q60" s="500">
        <f>+'B) Reajuste Tarifas y Ocupación'!J59</f>
        <v>4.4999999999999998E-2</v>
      </c>
      <c r="R60" s="1279">
        <f>+'B) Reajuste Tarifas y Ocupación'!K59</f>
        <v>4.4999999999999998E-2</v>
      </c>
    </row>
    <row r="61" spans="1:18" x14ac:dyDescent="0.35">
      <c r="A61" s="1600"/>
      <c r="B61" s="284" t="str">
        <f>+'B) Reajuste Tarifas y Ocupación'!B60</f>
        <v>Matrimonial</v>
      </c>
      <c r="C61" s="496">
        <f>+'B) Reajuste Tarifas y Ocupación'!L60</f>
        <v>44400</v>
      </c>
      <c r="D61" s="490">
        <f>+'B) Reajuste Tarifas y Ocupación'!M60</f>
        <v>68300</v>
      </c>
      <c r="E61" s="490">
        <f>+'B) Reajuste Tarifas y Ocupación'!N60</f>
        <v>85000</v>
      </c>
      <c r="F61" s="491">
        <f>+'B) Reajuste Tarifas y Ocupación'!O60</f>
        <v>92700</v>
      </c>
      <c r="G61" s="499">
        <f>+'B) Reajuste Tarifas y Ocupación'!E60</f>
        <v>42500</v>
      </c>
      <c r="H61" s="492">
        <f>+'B) Reajuste Tarifas y Ocupación'!F60</f>
        <v>65300</v>
      </c>
      <c r="I61" s="492">
        <f>+'B) Reajuste Tarifas y Ocupación'!G60</f>
        <v>81300</v>
      </c>
      <c r="J61" s="493">
        <f>+'B) Reajuste Tarifas y Ocupación'!H60</f>
        <v>88700</v>
      </c>
      <c r="K61" s="454">
        <f t="shared" si="5"/>
        <v>1900</v>
      </c>
      <c r="L61" s="451">
        <f t="shared" si="4"/>
        <v>3000</v>
      </c>
      <c r="M61" s="451">
        <f t="shared" si="4"/>
        <v>3700</v>
      </c>
      <c r="N61" s="452">
        <f t="shared" si="4"/>
        <v>4000</v>
      </c>
      <c r="O61" s="455">
        <f>+P61</f>
        <v>4.4999999999999998E-2</v>
      </c>
      <c r="P61" s="500">
        <f>+'B) Reajuste Tarifas y Ocupación'!I60</f>
        <v>4.4999999999999998E-2</v>
      </c>
      <c r="Q61" s="500">
        <f>+'B) Reajuste Tarifas y Ocupación'!J60</f>
        <v>4.4999999999999998E-2</v>
      </c>
      <c r="R61" s="1279">
        <f>+'B) Reajuste Tarifas y Ocupación'!K60</f>
        <v>4.4999999999999998E-2</v>
      </c>
    </row>
    <row r="62" spans="1:18" x14ac:dyDescent="0.35">
      <c r="A62" s="1600"/>
      <c r="B62" s="284" t="str">
        <f>+'B) Reajuste Tarifas y Ocupación'!B61</f>
        <v>Superior</v>
      </c>
      <c r="C62" s="496">
        <f>+'B) Reajuste Tarifas y Ocupación'!L61</f>
        <v>59000</v>
      </c>
      <c r="D62" s="490">
        <f>+'B) Reajuste Tarifas y Ocupación'!M61</f>
        <v>90700</v>
      </c>
      <c r="E62" s="490">
        <f>+'B) Reajuste Tarifas y Ocupación'!N61</f>
        <v>112900</v>
      </c>
      <c r="F62" s="491">
        <f>+'B) Reajuste Tarifas y Ocupación'!O61</f>
        <v>123300</v>
      </c>
      <c r="G62" s="499">
        <f>+'B) Reajuste Tarifas y Ocupación'!E61</f>
        <v>56400</v>
      </c>
      <c r="H62" s="492">
        <f>+'B) Reajuste Tarifas y Ocupación'!F61</f>
        <v>86700</v>
      </c>
      <c r="I62" s="492">
        <f>+'B) Reajuste Tarifas y Ocupación'!G61</f>
        <v>108000</v>
      </c>
      <c r="J62" s="493">
        <f>+'B) Reajuste Tarifas y Ocupación'!H61</f>
        <v>117900</v>
      </c>
      <c r="K62" s="454">
        <f t="shared" si="5"/>
        <v>2600</v>
      </c>
      <c r="L62" s="451">
        <f t="shared" si="4"/>
        <v>4000</v>
      </c>
      <c r="M62" s="451">
        <f t="shared" si="4"/>
        <v>4900</v>
      </c>
      <c r="N62" s="452">
        <f t="shared" si="4"/>
        <v>5400</v>
      </c>
      <c r="O62" s="455">
        <f>+P62</f>
        <v>4.4999999999999998E-2</v>
      </c>
      <c r="P62" s="500">
        <f>+'B) Reajuste Tarifas y Ocupación'!I61</f>
        <v>4.4999999999999998E-2</v>
      </c>
      <c r="Q62" s="500">
        <f>+'B) Reajuste Tarifas y Ocupación'!J61</f>
        <v>4.4999999999999998E-2</v>
      </c>
      <c r="R62" s="1279">
        <f>+'B) Reajuste Tarifas y Ocupación'!K61</f>
        <v>4.4999999999999998E-2</v>
      </c>
    </row>
    <row r="63" spans="1:18" x14ac:dyDescent="0.35">
      <c r="A63" s="1600"/>
      <c r="B63" s="284" t="str">
        <f>+'B) Reajuste Tarifas y Ocupación'!B62</f>
        <v>Sofá cama adiciona (Hasta 7 años)</v>
      </c>
      <c r="C63" s="496">
        <f>+'B) Reajuste Tarifas y Ocupación'!L62</f>
        <v>11200</v>
      </c>
      <c r="D63" s="490">
        <f>+'B) Reajuste Tarifas y Ocupación'!M62</f>
        <v>17200</v>
      </c>
      <c r="E63" s="490">
        <f>+'B) Reajuste Tarifas y Ocupación'!N62</f>
        <v>21500</v>
      </c>
      <c r="F63" s="491">
        <f>+'B) Reajuste Tarifas y Ocupación'!O62</f>
        <v>23400</v>
      </c>
      <c r="G63" s="499">
        <f>+'B) Reajuste Tarifas y Ocupación'!E62</f>
        <v>10700</v>
      </c>
      <c r="H63" s="492">
        <f>+'B) Reajuste Tarifas y Ocupación'!F62</f>
        <v>16400</v>
      </c>
      <c r="I63" s="492">
        <f>+'B) Reajuste Tarifas y Ocupación'!G62</f>
        <v>20500</v>
      </c>
      <c r="J63" s="493">
        <f>+'B) Reajuste Tarifas y Ocupación'!H62</f>
        <v>22300</v>
      </c>
      <c r="K63" s="454">
        <f t="shared" si="5"/>
        <v>500</v>
      </c>
      <c r="L63" s="451">
        <f t="shared" si="4"/>
        <v>800</v>
      </c>
      <c r="M63" s="451">
        <f t="shared" si="4"/>
        <v>1000</v>
      </c>
      <c r="N63" s="452">
        <f t="shared" si="4"/>
        <v>1100</v>
      </c>
      <c r="O63" s="455">
        <f>+P63</f>
        <v>4.4999999999999998E-2</v>
      </c>
      <c r="P63" s="500">
        <f>+'B) Reajuste Tarifas y Ocupación'!I62</f>
        <v>4.4999999999999998E-2</v>
      </c>
      <c r="Q63" s="500">
        <f>+'B) Reajuste Tarifas y Ocupación'!J62</f>
        <v>4.4999999999999998E-2</v>
      </c>
      <c r="R63" s="1279">
        <f>+'B) Reajuste Tarifas y Ocupación'!K62</f>
        <v>4.4999999999999998E-2</v>
      </c>
    </row>
    <row r="64" spans="1:18" x14ac:dyDescent="0.35">
      <c r="A64" s="1600"/>
      <c r="B64" s="279" t="str">
        <f>+'B) Reajuste Tarifas y Ocupación'!B63</f>
        <v>Late check-out o early check-in</v>
      </c>
      <c r="C64" s="484"/>
      <c r="D64" s="485"/>
      <c r="E64" s="485"/>
      <c r="F64" s="486"/>
      <c r="G64" s="487"/>
      <c r="H64" s="488"/>
      <c r="I64" s="488"/>
      <c r="J64" s="489"/>
      <c r="K64" s="448"/>
      <c r="L64" s="449"/>
      <c r="M64" s="449"/>
      <c r="N64" s="450"/>
      <c r="O64" s="474"/>
      <c r="P64" s="475"/>
      <c r="Q64" s="475"/>
      <c r="R64" s="476"/>
    </row>
    <row r="65" spans="1:18" x14ac:dyDescent="0.35">
      <c r="A65" s="1600"/>
      <c r="B65" s="280" t="str">
        <f>+'B) Reajuste Tarifas y Ocupación'!B64</f>
        <v>Simple</v>
      </c>
      <c r="C65" s="501"/>
      <c r="D65" s="490">
        <f>+'B) Reajuste Tarifas y Ocupación'!M64</f>
        <v>17000</v>
      </c>
      <c r="E65" s="490">
        <f>+'B) Reajuste Tarifas y Ocupación'!N64</f>
        <v>21200</v>
      </c>
      <c r="F65" s="491">
        <f>+'B) Reajuste Tarifas y Ocupación'!O64</f>
        <v>23100</v>
      </c>
      <c r="G65" s="532"/>
      <c r="H65" s="492">
        <f>+'B) Reajuste Tarifas y Ocupación'!F64</f>
        <v>16200</v>
      </c>
      <c r="I65" s="492">
        <f>+'B) Reajuste Tarifas y Ocupación'!G64</f>
        <v>20200</v>
      </c>
      <c r="J65" s="493">
        <f>+'B) Reajuste Tarifas y Ocupación'!H64</f>
        <v>22100</v>
      </c>
      <c r="K65" s="448"/>
      <c r="L65" s="451">
        <f>D65-H65</f>
        <v>800</v>
      </c>
      <c r="M65" s="451">
        <f t="shared" si="4"/>
        <v>1000</v>
      </c>
      <c r="N65" s="452">
        <f t="shared" si="4"/>
        <v>1000</v>
      </c>
      <c r="O65" s="453"/>
      <c r="P65" s="540"/>
      <c r="Q65" s="540"/>
      <c r="R65" s="541"/>
    </row>
    <row r="66" spans="1:18" x14ac:dyDescent="0.35">
      <c r="A66" s="1600"/>
      <c r="B66" s="280" t="str">
        <f>+'B) Reajuste Tarifas y Ocupación'!B65</f>
        <v>Doble</v>
      </c>
      <c r="C66" s="501"/>
      <c r="D66" s="490">
        <f>+'B) Reajuste Tarifas y Ocupación'!M65</f>
        <v>20800</v>
      </c>
      <c r="E66" s="490">
        <f>+'B) Reajuste Tarifas y Ocupación'!N65</f>
        <v>25900</v>
      </c>
      <c r="F66" s="491">
        <f>+'B) Reajuste Tarifas y Ocupación'!O65</f>
        <v>28300</v>
      </c>
      <c r="G66" s="532"/>
      <c r="H66" s="492">
        <f>+'B) Reajuste Tarifas y Ocupación'!F65</f>
        <v>19900</v>
      </c>
      <c r="I66" s="492">
        <f>+'B) Reajuste Tarifas y Ocupación'!G65</f>
        <v>24800</v>
      </c>
      <c r="J66" s="493">
        <f>+'B) Reajuste Tarifas y Ocupación'!H65</f>
        <v>27000</v>
      </c>
      <c r="K66" s="448"/>
      <c r="L66" s="451">
        <f t="shared" si="4"/>
        <v>900</v>
      </c>
      <c r="M66" s="451">
        <f t="shared" si="4"/>
        <v>1100</v>
      </c>
      <c r="N66" s="452">
        <f t="shared" si="4"/>
        <v>1300</v>
      </c>
      <c r="O66" s="453"/>
      <c r="P66" s="540"/>
      <c r="Q66" s="540"/>
      <c r="R66" s="541"/>
    </row>
    <row r="67" spans="1:18" x14ac:dyDescent="0.35">
      <c r="A67" s="1600"/>
      <c r="B67" s="280" t="str">
        <f>+'B) Reajuste Tarifas y Ocupación'!B66</f>
        <v>Matrimonial</v>
      </c>
      <c r="C67" s="501"/>
      <c r="D67" s="490">
        <f>+'B) Reajuste Tarifas y Ocupación'!M66</f>
        <v>20500</v>
      </c>
      <c r="E67" s="490">
        <f>+'B) Reajuste Tarifas y Ocupación'!N66</f>
        <v>25500</v>
      </c>
      <c r="F67" s="491">
        <f>+'B) Reajuste Tarifas y Ocupación'!O66</f>
        <v>27900</v>
      </c>
      <c r="G67" s="532"/>
      <c r="H67" s="492">
        <f>+'B) Reajuste Tarifas y Ocupación'!F66</f>
        <v>19600</v>
      </c>
      <c r="I67" s="492">
        <f>+'B) Reajuste Tarifas y Ocupación'!G66</f>
        <v>24400</v>
      </c>
      <c r="J67" s="493">
        <f>+'B) Reajuste Tarifas y Ocupación'!H66</f>
        <v>26700</v>
      </c>
      <c r="K67" s="448"/>
      <c r="L67" s="451">
        <f t="shared" ref="L67:N68" si="7">D67-H67</f>
        <v>900</v>
      </c>
      <c r="M67" s="451">
        <f t="shared" si="7"/>
        <v>1100</v>
      </c>
      <c r="N67" s="452">
        <f t="shared" si="7"/>
        <v>1200</v>
      </c>
      <c r="O67" s="453"/>
      <c r="P67" s="540"/>
      <c r="Q67" s="540"/>
      <c r="R67" s="541"/>
    </row>
    <row r="68" spans="1:18" ht="15" thickBot="1" x14ac:dyDescent="0.4">
      <c r="A68" s="1601"/>
      <c r="B68" s="281" t="str">
        <f>+'B) Reajuste Tarifas y Ocupación'!B67</f>
        <v>Superior</v>
      </c>
      <c r="C68" s="502"/>
      <c r="D68" s="544">
        <f>+'B) Reajuste Tarifas y Ocupación'!M67</f>
        <v>27300</v>
      </c>
      <c r="E68" s="544">
        <f>+'B) Reajuste Tarifas y Ocupación'!N67</f>
        <v>33900</v>
      </c>
      <c r="F68" s="545">
        <f>+'B) Reajuste Tarifas y Ocupación'!O67</f>
        <v>37000</v>
      </c>
      <c r="G68" s="546"/>
      <c r="H68" s="506">
        <f>+'B) Reajuste Tarifas y Ocupación'!F67</f>
        <v>26100</v>
      </c>
      <c r="I68" s="506">
        <f>+'B) Reajuste Tarifas y Ocupación'!G67</f>
        <v>32400</v>
      </c>
      <c r="J68" s="507">
        <f>+'B) Reajuste Tarifas y Ocupación'!H67</f>
        <v>35400</v>
      </c>
      <c r="K68" s="457"/>
      <c r="L68" s="458">
        <f t="shared" si="7"/>
        <v>1200</v>
      </c>
      <c r="M68" s="458">
        <f t="shared" si="7"/>
        <v>1500</v>
      </c>
      <c r="N68" s="459">
        <f t="shared" si="7"/>
        <v>1600</v>
      </c>
      <c r="O68" s="468"/>
      <c r="P68" s="547"/>
      <c r="Q68" s="547"/>
      <c r="R68" s="548"/>
    </row>
  </sheetData>
  <sheetProtection algorithmName="SHA-512" hashValue="by8jPRulleR3S6idQk5Ssg61VTNsY2EqZULpMIwkjPnCDVms16nG+WDUFQ6CRRokyMHTt35eCpZRcPb0dzy+fQ==" saltValue="i3Zst1sAFHYoLv7wXB6KCQ==" spinCount="100000" sheet="1" objects="1" scenarios="1"/>
  <mergeCells count="20">
    <mergeCell ref="A10:A18"/>
    <mergeCell ref="A59:A68"/>
    <mergeCell ref="G8:J8"/>
    <mergeCell ref="K8:N8"/>
    <mergeCell ref="O8:R8"/>
    <mergeCell ref="O11:R11"/>
    <mergeCell ref="O22:R22"/>
    <mergeCell ref="O53:R53"/>
    <mergeCell ref="A21:A23"/>
    <mergeCell ref="A24:A39"/>
    <mergeCell ref="A40:A41"/>
    <mergeCell ref="A42:A43"/>
    <mergeCell ref="A44:A46"/>
    <mergeCell ref="A47:A58"/>
    <mergeCell ref="A19:A20"/>
    <mergeCell ref="F4:G4"/>
    <mergeCell ref="A6:B6"/>
    <mergeCell ref="A8:A9"/>
    <mergeCell ref="B8:B9"/>
    <mergeCell ref="C8:F8"/>
  </mergeCells>
  <pageMargins left="0.7" right="0.7" top="0.75" bottom="0.75" header="0.3" footer="0.3"/>
  <ignoredErrors>
    <ignoredError sqref="O11:R12 O10 O14:R72 O13:P13 R13" unlockedFormula="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1</vt:i4>
      </vt:variant>
    </vt:vector>
  </HeadingPairs>
  <TitlesOfParts>
    <vt:vector size="17" baseType="lpstr">
      <vt:lpstr>Instructivo</vt:lpstr>
      <vt:lpstr>Tabla Indice</vt:lpstr>
      <vt:lpstr>Analisis</vt:lpstr>
      <vt:lpstr>A) Resumen Ingresos y Egresos</vt:lpstr>
      <vt:lpstr>INGRESOS</vt:lpstr>
      <vt:lpstr>B) Reajuste Tarifas y Ocupación</vt:lpstr>
      <vt:lpstr>C) Costos Directos</vt:lpstr>
      <vt:lpstr>D) Costos Indirectos </vt:lpstr>
      <vt:lpstr>E) Resumen Tarifado </vt:lpstr>
      <vt:lpstr>F) Remuneraciones</vt:lpstr>
      <vt:lpstr>G) Comparación Mercado</vt:lpstr>
      <vt:lpstr>H) Detalle Datos</vt:lpstr>
      <vt:lpstr>I) Costo Desayuno</vt:lpstr>
      <vt:lpstr>J)ESTRUCTURA ECONOMICA MENS.</vt:lpstr>
      <vt:lpstr>% REAJUSTE</vt:lpstr>
      <vt:lpstr>IVA</vt:lpstr>
      <vt:lpstr>Instructivo!Área_de_impresión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352 Joaquin Rodrigo</dc:creator>
  <cp:lastModifiedBy>Asistencia Recreativa</cp:lastModifiedBy>
  <cp:lastPrinted>2025-10-06T14:41:36Z</cp:lastPrinted>
  <dcterms:created xsi:type="dcterms:W3CDTF">2022-05-03T13:42:17Z</dcterms:created>
  <dcterms:modified xsi:type="dcterms:W3CDTF">2025-11-04T19:47:32Z</dcterms:modified>
</cp:coreProperties>
</file>