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hidePivotFieldList="1" defaultThemeVersion="166925"/>
  <mc:AlternateContent xmlns:mc="http://schemas.openxmlformats.org/markup-compatibility/2006">
    <mc:Choice Requires="x15">
      <x15ac:absPath xmlns:x15ac="http://schemas.microsoft.com/office/spreadsheetml/2010/11/ac" url="C:\Users\EncRecreativa\Desktop\Tarifas 2026\BIENVALP\"/>
    </mc:Choice>
  </mc:AlternateContent>
  <xr:revisionPtr revIDLastSave="0" documentId="13_ncr:1_{B80FD81B-8945-4263-A04B-E5A933A59A02}" xr6:coauthVersionLast="47" xr6:coauthVersionMax="47" xr10:uidLastSave="{00000000-0000-0000-0000-000000000000}"/>
  <bookViews>
    <workbookView xWindow="-110" yWindow="-110" windowWidth="19420" windowHeight="11500" tabRatio="773" activeTab="2" xr2:uid="{00000000-000D-0000-FFFF-FFFF00000000}"/>
  </bookViews>
  <sheets>
    <sheet name="Instructivo" sheetId="19" r:id="rId1"/>
    <sheet name="Índice Tabla" sheetId="13" r:id="rId2"/>
    <sheet name="A) Resumen Ingresos y Egresos" sheetId="1" r:id="rId3"/>
    <sheet name="B) Reajuste Tarifas y Ocupación" sheetId="2" r:id="rId4"/>
    <sheet name="IVA" sheetId="35" state="hidden" r:id="rId5"/>
    <sheet name="% Reajuste" sheetId="34" state="hidden" r:id="rId6"/>
    <sheet name="C) Costos Directos" sheetId="3" r:id="rId7"/>
    <sheet name="D) Costos Indirectos " sheetId="4" r:id="rId8"/>
    <sheet name="E) Resumen Tarifado " sheetId="5" r:id="rId9"/>
    <sheet name="F) Remuneraciones" sheetId="6" r:id="rId10"/>
    <sheet name="G) Comparación Mercado" sheetId="7" r:id="rId11"/>
    <sheet name="I) Costo Desayuno" sheetId="9" r:id="rId12"/>
    <sheet name="H) Detalle Datos" sheetId="8" r:id="rId13"/>
    <sheet name="J)Estructura Economica Mensu." sheetId="11" r:id="rId14"/>
    <sheet name="MARE NOSTRUM" sheetId="36" r:id="rId15"/>
    <sheet name="CRLM" sheetId="46" r:id="rId16"/>
    <sheet name="PAPUDO" sheetId="43" r:id="rId17"/>
    <sheet name="CPO" sheetId="37" r:id="rId18"/>
    <sheet name="CRLS" sheetId="38" r:id="rId19"/>
    <sheet name="RUR" sheetId="40" r:id="rId20"/>
    <sheet name="VISTAMAR" sheetId="39" r:id="rId21"/>
    <sheet name="RUS" sheetId="41" r:id="rId22"/>
    <sheet name="RALUNCO" sheetId="44" r:id="rId23"/>
    <sheet name="ISLA DE PASCUA" sheetId="42" r:id="rId24"/>
    <sheet name="SEGUROS" sheetId="45" r:id="rId25"/>
    <sheet name="K=" sheetId="10" state="hidden" r:id="rId26"/>
    <sheet name="L)" sheetId="12" state="hidden" r:id="rId27"/>
  </sheets>
  <externalReferences>
    <externalReference r:id="rId28"/>
    <externalReference r:id="rId29"/>
    <externalReference r:id="rId30"/>
    <externalReference r:id="rId31"/>
  </externalReferences>
  <definedNames>
    <definedName name="_xlnm._FilterDatabase" localSheetId="2" hidden="1">'A) Resumen Ingresos y Egresos'!$A$8:$P$24</definedName>
    <definedName name="_xlnm._FilterDatabase" localSheetId="6" hidden="1">'C) Costos Directos'!$A$9:$I$1088</definedName>
    <definedName name="_xlnm.Print_Area" localSheetId="2">'A) Resumen Ingresos y Egresos'!$A$8:$O$29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7" i="6" l="1"/>
  <c r="F86" i="35"/>
  <c r="F2" i="35"/>
  <c r="I2" i="35" s="1"/>
  <c r="D87" i="43"/>
  <c r="D388" i="3"/>
  <c r="D171" i="3" l="1"/>
  <c r="P24" i="1" l="1"/>
  <c r="D87" i="39" l="1"/>
  <c r="F87" i="39" s="1"/>
  <c r="D194" i="39"/>
  <c r="F194" i="39" s="1"/>
  <c r="D106" i="39"/>
  <c r="F106" i="39" s="1"/>
  <c r="H106" i="39" s="1"/>
  <c r="H138" i="39"/>
  <c r="D987" i="3" s="1"/>
  <c r="H198" i="39"/>
  <c r="D969" i="3" s="1"/>
  <c r="D771" i="3" l="1"/>
  <c r="D744" i="3"/>
  <c r="D533" i="3" l="1"/>
  <c r="D532" i="3"/>
  <c r="D531" i="3"/>
  <c r="E37" i="44" l="1"/>
  <c r="E43" i="44"/>
  <c r="D629" i="3" s="1"/>
  <c r="E36" i="44"/>
  <c r="D93" i="44" l="1"/>
  <c r="D94" i="44"/>
  <c r="D541" i="3"/>
  <c r="E65" i="44"/>
  <c r="D529" i="3"/>
  <c r="D558" i="3"/>
  <c r="D557" i="3"/>
  <c r="D600" i="3"/>
  <c r="D554" i="3"/>
  <c r="D546" i="3"/>
  <c r="D545" i="3"/>
  <c r="D524" i="3"/>
  <c r="D525" i="3"/>
  <c r="D92" i="44" l="1"/>
  <c r="E92" i="44" s="1"/>
  <c r="D567" i="3" s="1"/>
  <c r="D190" i="3"/>
  <c r="C69" i="46"/>
  <c r="C85" i="46"/>
  <c r="D85" i="46"/>
  <c r="D177" i="3" s="1"/>
  <c r="D175" i="3"/>
  <c r="C18" i="46"/>
  <c r="D18" i="46"/>
  <c r="D166" i="3" s="1"/>
  <c r="D173" i="3" l="1"/>
  <c r="D172" i="3" l="1"/>
  <c r="D91" i="46" l="1"/>
  <c r="D83" i="46"/>
  <c r="D223" i="3" s="1"/>
  <c r="D81" i="46"/>
  <c r="D220" i="3" s="1"/>
  <c r="C77" i="46"/>
  <c r="D69" i="46"/>
  <c r="D216" i="3" s="1"/>
  <c r="C64" i="46"/>
  <c r="D64" i="46" s="1"/>
  <c r="C57" i="46"/>
  <c r="D57" i="46" s="1"/>
  <c r="D198" i="3" s="1"/>
  <c r="C56" i="46"/>
  <c r="D55" i="46"/>
  <c r="D197" i="3" s="1"/>
  <c r="D53" i="46"/>
  <c r="D196" i="3" s="1"/>
  <c r="C48" i="46"/>
  <c r="D48" i="46" s="1"/>
  <c r="D194" i="3" s="1"/>
  <c r="C45" i="46"/>
  <c r="D45" i="46" s="1"/>
  <c r="D186" i="3" s="1"/>
  <c r="C40" i="46"/>
  <c r="C39" i="46"/>
  <c r="C33" i="46"/>
  <c r="D33" i="46" s="1"/>
  <c r="C28" i="46"/>
  <c r="D28" i="46" s="1"/>
  <c r="D170" i="3" s="1"/>
  <c r="C25" i="46"/>
  <c r="D25" i="46" s="1"/>
  <c r="D169" i="3" s="1"/>
  <c r="D8" i="46"/>
  <c r="D7" i="46"/>
  <c r="D6" i="46" s="1"/>
  <c r="D165" i="3" s="1"/>
  <c r="C6" i="46"/>
  <c r="D77" i="46" l="1"/>
  <c r="D218" i="3" s="1"/>
  <c r="C37" i="46"/>
  <c r="D37" i="46" s="1"/>
  <c r="D185" i="3" s="1"/>
  <c r="D126" i="44"/>
  <c r="E126" i="44" s="1"/>
  <c r="D48" i="44"/>
  <c r="D44" i="44"/>
  <c r="D41" i="44"/>
  <c r="D37" i="44"/>
  <c r="D33" i="44"/>
  <c r="D25" i="44"/>
  <c r="D21" i="44"/>
  <c r="D19" i="44"/>
  <c r="D66" i="43"/>
  <c r="E66" i="43" s="1"/>
  <c r="D753" i="3" s="1"/>
  <c r="E65" i="43"/>
  <c r="D798" i="3" s="1"/>
  <c r="D62" i="43"/>
  <c r="E62" i="43" s="1"/>
  <c r="D795" i="3" s="1"/>
  <c r="D60" i="43"/>
  <c r="E60" i="43" s="1"/>
  <c r="D794" i="3" s="1"/>
  <c r="D55" i="43"/>
  <c r="E55" i="43" s="1"/>
  <c r="D792" i="3" s="1"/>
  <c r="D51" i="43"/>
  <c r="E51" i="43" s="1"/>
  <c r="D775" i="3" s="1"/>
  <c r="E47" i="43"/>
  <c r="D774" i="3" s="1"/>
  <c r="D45" i="43"/>
  <c r="E45" i="43" s="1"/>
  <c r="D773" i="3" s="1"/>
  <c r="D43" i="43"/>
  <c r="E43" i="43" s="1"/>
  <c r="D783" i="3" s="1"/>
  <c r="D38" i="43"/>
  <c r="E38" i="43" s="1"/>
  <c r="D770" i="3" s="1"/>
  <c r="D34" i="43"/>
  <c r="E34" i="43" s="1"/>
  <c r="D762" i="3" s="1"/>
  <c r="D28" i="43"/>
  <c r="E28" i="43" s="1"/>
  <c r="D761" i="3" s="1"/>
  <c r="D24" i="43"/>
  <c r="E24" i="43" s="1"/>
  <c r="D23" i="43"/>
  <c r="D19" i="43" s="1"/>
  <c r="E19" i="43" s="1"/>
  <c r="D746" i="3" s="1"/>
  <c r="D15" i="43"/>
  <c r="E15" i="43" s="1"/>
  <c r="D745" i="3" s="1"/>
  <c r="D6" i="43"/>
  <c r="E6" i="43" s="1"/>
  <c r="D741" i="3" s="1"/>
  <c r="D86" i="42"/>
  <c r="E86" i="42" s="1"/>
  <c r="D84" i="42"/>
  <c r="E84" i="42" s="1"/>
  <c r="E82" i="42"/>
  <c r="D78" i="42"/>
  <c r="E78" i="42" s="1"/>
  <c r="D76" i="42"/>
  <c r="D75" i="42"/>
  <c r="D74" i="42"/>
  <c r="D73" i="42"/>
  <c r="D69" i="42"/>
  <c r="D68" i="42"/>
  <c r="D67" i="42"/>
  <c r="D66" i="42"/>
  <c r="D65" i="42"/>
  <c r="D64" i="42"/>
  <c r="D63" i="42"/>
  <c r="D62" i="42"/>
  <c r="D61" i="42"/>
  <c r="D60" i="42"/>
  <c r="D55" i="42"/>
  <c r="D54" i="42"/>
  <c r="D53" i="42"/>
  <c r="D52" i="42"/>
  <c r="D51" i="42"/>
  <c r="D50" i="42"/>
  <c r="D49" i="42"/>
  <c r="D48" i="42"/>
  <c r="D47" i="42"/>
  <c r="D46" i="42"/>
  <c r="D45" i="42"/>
  <c r="D44" i="42"/>
  <c r="D41" i="42"/>
  <c r="E41" i="42" s="1"/>
  <c r="D39" i="42"/>
  <c r="E39" i="42" s="1"/>
  <c r="D37" i="42"/>
  <c r="E37" i="42" s="1"/>
  <c r="D35" i="42"/>
  <c r="E35" i="42" s="1"/>
  <c r="D33" i="42"/>
  <c r="E33" i="42" s="1"/>
  <c r="D31" i="42"/>
  <c r="D30" i="42"/>
  <c r="D29" i="42"/>
  <c r="D28" i="42" s="1"/>
  <c r="E28" i="42" s="1"/>
  <c r="D24" i="42"/>
  <c r="E24" i="42" s="1"/>
  <c r="E22" i="42"/>
  <c r="D20" i="42"/>
  <c r="E20" i="42" s="1"/>
  <c r="D18" i="42"/>
  <c r="D17" i="42"/>
  <c r="D16" i="42"/>
  <c r="D15" i="42"/>
  <c r="D14" i="42"/>
  <c r="D13" i="42"/>
  <c r="D12" i="42"/>
  <c r="D11" i="42"/>
  <c r="D10" i="42"/>
  <c r="D9" i="42"/>
  <c r="D8" i="42"/>
  <c r="D7" i="42"/>
  <c r="D6" i="42"/>
  <c r="D5" i="42"/>
  <c r="D3" i="42"/>
  <c r="E2" i="42" s="1"/>
  <c r="D59" i="41"/>
  <c r="E59" i="41" s="1"/>
  <c r="E56" i="41"/>
  <c r="D53" i="41"/>
  <c r="E53" i="41" s="1"/>
  <c r="E52" i="41"/>
  <c r="E51" i="41"/>
  <c r="E50" i="41"/>
  <c r="E48" i="41"/>
  <c r="E46" i="41"/>
  <c r="D40" i="41"/>
  <c r="E40" i="41" s="1"/>
  <c r="D36" i="41"/>
  <c r="E36" i="41" s="1"/>
  <c r="D32" i="41"/>
  <c r="E32" i="41" s="1"/>
  <c r="D30" i="41"/>
  <c r="E30" i="41" s="1"/>
  <c r="D28" i="41"/>
  <c r="E28" i="41" s="1"/>
  <c r="D25" i="41"/>
  <c r="E18" i="41"/>
  <c r="D16" i="41"/>
  <c r="E16" i="41" s="1"/>
  <c r="D13" i="41"/>
  <c r="E13" i="41" s="1"/>
  <c r="D4" i="41"/>
  <c r="E4" i="41" s="1"/>
  <c r="E61" i="40"/>
  <c r="D59" i="40"/>
  <c r="E59" i="40" s="1"/>
  <c r="D56" i="40"/>
  <c r="E56" i="40" s="1"/>
  <c r="E50" i="40"/>
  <c r="D42" i="40"/>
  <c r="E42" i="40" s="1"/>
  <c r="D39" i="40"/>
  <c r="E39" i="40" s="1"/>
  <c r="D34" i="40"/>
  <c r="E34" i="40" s="1"/>
  <c r="E32" i="40"/>
  <c r="E30" i="40"/>
  <c r="E25" i="40"/>
  <c r="D22" i="40"/>
  <c r="E22" i="40" s="1"/>
  <c r="D17" i="40"/>
  <c r="E17" i="40" s="1"/>
  <c r="D13" i="40"/>
  <c r="E13" i="40" s="1"/>
  <c r="E9" i="40"/>
  <c r="D4" i="40"/>
  <c r="E4" i="40" s="1"/>
  <c r="H234" i="39"/>
  <c r="G234" i="39"/>
  <c r="F234" i="39"/>
  <c r="E234" i="39"/>
  <c r="E237" i="39" s="1"/>
  <c r="D234" i="39"/>
  <c r="D237" i="39" s="1"/>
  <c r="D198" i="39"/>
  <c r="H194" i="39"/>
  <c r="D1010" i="3" s="1"/>
  <c r="F184" i="39"/>
  <c r="H184" i="39" s="1"/>
  <c r="D1009" i="3" s="1"/>
  <c r="D173" i="39"/>
  <c r="D180" i="39" s="1"/>
  <c r="F180" i="39" s="1"/>
  <c r="H180" i="39" s="1"/>
  <c r="D1008" i="3" s="1"/>
  <c r="F169" i="39"/>
  <c r="H169" i="39" s="1"/>
  <c r="D1007" i="3" s="1"/>
  <c r="F165" i="39"/>
  <c r="H165" i="39" s="1"/>
  <c r="D1006" i="3" s="1"/>
  <c r="D161" i="39"/>
  <c r="F161" i="39" s="1"/>
  <c r="H161" i="39" s="1"/>
  <c r="D992" i="3" s="1"/>
  <c r="F153" i="39"/>
  <c r="H153" i="39" s="1"/>
  <c r="D990" i="3" s="1"/>
  <c r="F149" i="39"/>
  <c r="H149" i="39" s="1"/>
  <c r="D989" i="3" s="1"/>
  <c r="F145" i="39"/>
  <c r="H145" i="39" s="1"/>
  <c r="D988" i="3" s="1"/>
  <c r="F124" i="39"/>
  <c r="H124" i="39" s="1"/>
  <c r="D986" i="3" s="1"/>
  <c r="D120" i="39"/>
  <c r="F120" i="39" s="1"/>
  <c r="H120" i="39" s="1"/>
  <c r="D978" i="3" s="1"/>
  <c r="D114" i="39"/>
  <c r="F114" i="39" s="1"/>
  <c r="H114" i="39" s="1"/>
  <c r="D977" i="3" s="1"/>
  <c r="D962" i="3"/>
  <c r="F92" i="39"/>
  <c r="H92" i="39" s="1"/>
  <c r="D1011" i="3" s="1"/>
  <c r="D72" i="39"/>
  <c r="F72" i="39" s="1"/>
  <c r="D55" i="39"/>
  <c r="F55" i="39" s="1"/>
  <c r="F46" i="39"/>
  <c r="D43" i="39"/>
  <c r="F43" i="39" s="1"/>
  <c r="D39" i="39"/>
  <c r="F39" i="39" s="1"/>
  <c r="F21" i="39"/>
  <c r="H21" i="39" s="1"/>
  <c r="D958" i="3" s="1"/>
  <c r="D18" i="39"/>
  <c r="D13" i="39"/>
  <c r="F13" i="39" s="1"/>
  <c r="D956" i="3" s="1"/>
  <c r="D65" i="38"/>
  <c r="D58" i="38"/>
  <c r="E56" i="38"/>
  <c r="E54" i="38"/>
  <c r="D53" i="38"/>
  <c r="E53" i="38" s="1"/>
  <c r="E45" i="38"/>
  <c r="E44" i="38"/>
  <c r="E43" i="38"/>
  <c r="E42" i="38"/>
  <c r="E41" i="38"/>
  <c r="E40" i="38"/>
  <c r="D39" i="38"/>
  <c r="E39" i="38" s="1"/>
  <c r="D36" i="38"/>
  <c r="E36" i="38" s="1"/>
  <c r="E34" i="38"/>
  <c r="D32" i="38"/>
  <c r="E32" i="38" s="1"/>
  <c r="E30" i="38"/>
  <c r="D28" i="38"/>
  <c r="E28" i="38" s="1"/>
  <c r="D25" i="38"/>
  <c r="E25" i="38" s="1"/>
  <c r="E23" i="38"/>
  <c r="E21" i="38"/>
  <c r="D10" i="38"/>
  <c r="E10" i="38" s="1"/>
  <c r="E8" i="38"/>
  <c r="D4" i="38"/>
  <c r="E4" i="38" s="1"/>
  <c r="E94" i="37"/>
  <c r="D90" i="37"/>
  <c r="E90" i="37" s="1"/>
  <c r="E87" i="37"/>
  <c r="D85" i="37"/>
  <c r="E85" i="37" s="1"/>
  <c r="E83" i="37"/>
  <c r="D79" i="37"/>
  <c r="E79" i="37" s="1"/>
  <c r="D71" i="37"/>
  <c r="E71" i="37" s="1"/>
  <c r="D69" i="37"/>
  <c r="E69" i="37" s="1"/>
  <c r="D65" i="37"/>
  <c r="E65" i="37" s="1"/>
  <c r="D60" i="37"/>
  <c r="E60" i="37" s="1"/>
  <c r="D58" i="37"/>
  <c r="E58" i="37" s="1"/>
  <c r="D56" i="37"/>
  <c r="E56" i="37" s="1"/>
  <c r="D53" i="37"/>
  <c r="E53" i="37" s="1"/>
  <c r="D50" i="37"/>
  <c r="E50" i="37" s="1"/>
  <c r="D42" i="37"/>
  <c r="E42" i="37" s="1"/>
  <c r="D41" i="37"/>
  <c r="D32" i="37" s="1"/>
  <c r="E32" i="37" s="1"/>
  <c r="D27" i="37"/>
  <c r="D26" i="37"/>
  <c r="E26" i="37" s="1"/>
  <c r="D23" i="37"/>
  <c r="E23" i="37" s="1"/>
  <c r="D18" i="37"/>
  <c r="E18" i="37" s="1"/>
  <c r="D17" i="37"/>
  <c r="D16" i="37"/>
  <c r="D15" i="37"/>
  <c r="D14" i="37"/>
  <c r="D13" i="37"/>
  <c r="D12" i="37"/>
  <c r="D11" i="37"/>
  <c r="D9" i="37"/>
  <c r="D8" i="37"/>
  <c r="D79" i="3"/>
  <c r="D78" i="3"/>
  <c r="D76" i="3"/>
  <c r="D74" i="3"/>
  <c r="D72" i="3"/>
  <c r="E29" i="9"/>
  <c r="E28" i="9"/>
  <c r="E27" i="9"/>
  <c r="E26" i="9"/>
  <c r="E25" i="9"/>
  <c r="E24" i="9"/>
  <c r="E23" i="9"/>
  <c r="E22" i="9"/>
  <c r="E21" i="9"/>
  <c r="E20" i="9"/>
  <c r="E19" i="9"/>
  <c r="E18" i="9"/>
  <c r="E17" i="9"/>
  <c r="E16" i="9"/>
  <c r="E15" i="9"/>
  <c r="C54" i="36"/>
  <c r="D47" i="36"/>
  <c r="D45" i="36"/>
  <c r="D44" i="36"/>
  <c r="D43" i="36"/>
  <c r="D41" i="36"/>
  <c r="C41" i="36"/>
  <c r="D39" i="36"/>
  <c r="D38" i="36"/>
  <c r="D37" i="36"/>
  <c r="C35" i="36"/>
  <c r="D35" i="36" s="1"/>
  <c r="D33" i="36"/>
  <c r="C33" i="36"/>
  <c r="D31" i="36"/>
  <c r="D29" i="36"/>
  <c r="C29" i="36"/>
  <c r="D25" i="36"/>
  <c r="D24" i="36"/>
  <c r="D23" i="36"/>
  <c r="D22" i="36"/>
  <c r="D21" i="36"/>
  <c r="D20" i="36"/>
  <c r="D19" i="36"/>
  <c r="D18" i="36"/>
  <c r="D17" i="36"/>
  <c r="D16" i="36"/>
  <c r="D15" i="36"/>
  <c r="D14" i="36"/>
  <c r="D13" i="36"/>
  <c r="D12" i="36"/>
  <c r="D9" i="36"/>
  <c r="D8" i="36" s="1"/>
  <c r="C8" i="36"/>
  <c r="D7" i="36"/>
  <c r="D6" i="36"/>
  <c r="C5" i="36"/>
  <c r="D5" i="36" l="1"/>
  <c r="D4" i="42"/>
  <c r="E4" i="42" s="1"/>
  <c r="D72" i="42"/>
  <c r="E72" i="42" s="1"/>
  <c r="F18" i="39"/>
  <c r="H18" i="39" s="1"/>
  <c r="D957" i="3" s="1"/>
  <c r="D59" i="42"/>
  <c r="E59" i="42" s="1"/>
  <c r="D43" i="42"/>
  <c r="E43" i="42" s="1"/>
  <c r="D10" i="36"/>
  <c r="D7" i="37"/>
  <c r="E7" i="37" s="1"/>
  <c r="F88" i="39"/>
  <c r="D576" i="3"/>
  <c r="E135" i="44"/>
  <c r="H88" i="39"/>
  <c r="D961" i="3" s="1"/>
  <c r="G2" i="35"/>
  <c r="J2" i="35" s="1"/>
  <c r="F83" i="35"/>
  <c r="F81" i="35"/>
  <c r="I81" i="35" s="1"/>
  <c r="F76" i="35"/>
  <c r="F72" i="35"/>
  <c r="F71" i="35"/>
  <c r="I71" i="35" s="1"/>
  <c r="F58" i="35"/>
  <c r="I58" i="35" s="1"/>
  <c r="F54" i="35"/>
  <c r="I54" i="35" s="1"/>
  <c r="F52" i="35"/>
  <c r="I52" i="35" s="1"/>
  <c r="F48" i="35"/>
  <c r="I48" i="35" s="1"/>
  <c r="G47" i="35"/>
  <c r="J47" i="35" s="1"/>
  <c r="F47" i="35"/>
  <c r="I47" i="35" s="1"/>
  <c r="G45" i="35"/>
  <c r="F42" i="35"/>
  <c r="F41" i="35"/>
  <c r="I41" i="35" s="1"/>
  <c r="F38" i="35"/>
  <c r="I38" i="35" s="1"/>
  <c r="F37" i="35"/>
  <c r="I37" i="35" s="1"/>
  <c r="F26" i="35"/>
  <c r="I26" i="35" s="1"/>
  <c r="F25" i="35"/>
  <c r="I25" i="35" s="1"/>
  <c r="F24" i="35"/>
  <c r="I24" i="35" s="1"/>
  <c r="F23" i="35"/>
  <c r="I23" i="35" s="1"/>
  <c r="F22" i="35"/>
  <c r="I22" i="35" s="1"/>
  <c r="F19" i="35"/>
  <c r="I19" i="35" s="1"/>
  <c r="F18" i="35"/>
  <c r="I18" i="35" s="1"/>
  <c r="F14" i="35"/>
  <c r="I14" i="35" s="1"/>
  <c r="F6" i="35"/>
  <c r="F11" i="35"/>
  <c r="I11" i="35" s="1"/>
  <c r="F4" i="35"/>
  <c r="I4" i="35" s="1"/>
  <c r="G60" i="35"/>
  <c r="J60" i="35" s="1"/>
  <c r="G62" i="35"/>
  <c r="G63" i="35"/>
  <c r="J63" i="35" s="1"/>
  <c r="G66" i="35"/>
  <c r="G67" i="35"/>
  <c r="G68" i="35"/>
  <c r="J68" i="35" s="1"/>
  <c r="G73" i="35"/>
  <c r="G74" i="35"/>
  <c r="J74" i="35" s="1"/>
  <c r="G77" i="35"/>
  <c r="J77" i="35" s="1"/>
  <c r="G84" i="35"/>
  <c r="J84" i="35" s="1"/>
  <c r="F55" i="35"/>
  <c r="I55" i="35" s="1"/>
  <c r="F56" i="35"/>
  <c r="I56" i="35" s="1"/>
  <c r="F57" i="35"/>
  <c r="I57" i="35" s="1"/>
  <c r="F60" i="35"/>
  <c r="I60" i="35" s="1"/>
  <c r="F62" i="35"/>
  <c r="F63" i="35"/>
  <c r="I63" i="35" s="1"/>
  <c r="F65" i="35"/>
  <c r="F66" i="35"/>
  <c r="F67" i="35"/>
  <c r="F68" i="35"/>
  <c r="I68" i="35" s="1"/>
  <c r="F70" i="35"/>
  <c r="I70" i="35" s="1"/>
  <c r="F73" i="35"/>
  <c r="F74" i="35"/>
  <c r="I74" i="35" s="1"/>
  <c r="F77" i="35"/>
  <c r="I77" i="35" s="1"/>
  <c r="F78" i="35"/>
  <c r="I78" i="35" s="1"/>
  <c r="F79" i="35"/>
  <c r="I79" i="35" s="1"/>
  <c r="F80" i="35"/>
  <c r="I80" i="35" s="1"/>
  <c r="F82" i="35"/>
  <c r="I82" i="35" s="1"/>
  <c r="F84" i="35"/>
  <c r="I84" i="35" s="1"/>
  <c r="I86" i="35"/>
  <c r="G29" i="35"/>
  <c r="J29" i="35" s="1"/>
  <c r="G43" i="35"/>
  <c r="G44" i="35"/>
  <c r="J44" i="35" s="1"/>
  <c r="G46" i="35"/>
  <c r="J46" i="35" s="1"/>
  <c r="G48" i="35"/>
  <c r="J48" i="35" s="1"/>
  <c r="G49" i="35"/>
  <c r="G50" i="35"/>
  <c r="J50" i="35" s="1"/>
  <c r="F27" i="35"/>
  <c r="I27" i="35" s="1"/>
  <c r="F28" i="35"/>
  <c r="F29" i="35"/>
  <c r="I29" i="35" s="1"/>
  <c r="F30" i="35"/>
  <c r="I30" i="35" s="1"/>
  <c r="F31" i="35"/>
  <c r="I31" i="35" s="1"/>
  <c r="F36" i="35"/>
  <c r="I36" i="35" s="1"/>
  <c r="F39" i="35"/>
  <c r="I39" i="35" s="1"/>
  <c r="F40" i="35"/>
  <c r="I40" i="35" s="1"/>
  <c r="F43" i="35"/>
  <c r="F44" i="35"/>
  <c r="I44" i="35" s="1"/>
  <c r="F45" i="35"/>
  <c r="F46" i="35"/>
  <c r="I46" i="35" s="1"/>
  <c r="F49" i="35"/>
  <c r="F50" i="35"/>
  <c r="I50" i="35" s="1"/>
  <c r="F51" i="35"/>
  <c r="I51" i="35" s="1"/>
  <c r="F53" i="35"/>
  <c r="I53" i="35" s="1"/>
  <c r="G7" i="35"/>
  <c r="G8" i="35"/>
  <c r="J8" i="35" s="1"/>
  <c r="G16" i="35"/>
  <c r="J16" i="35" s="1"/>
  <c r="F7" i="35"/>
  <c r="F8" i="35"/>
  <c r="I8" i="35" s="1"/>
  <c r="F9" i="35"/>
  <c r="I9" i="35" s="1"/>
  <c r="F10" i="35"/>
  <c r="I10" i="35" s="1"/>
  <c r="F12" i="35"/>
  <c r="I12" i="35" s="1"/>
  <c r="F15" i="35"/>
  <c r="F16" i="35"/>
  <c r="I16" i="35" s="1"/>
  <c r="F20" i="35"/>
  <c r="I20" i="35" s="1"/>
  <c r="F21" i="35"/>
  <c r="I21" i="35" s="1"/>
  <c r="F5" i="35"/>
  <c r="I5" i="35" s="1"/>
  <c r="Q52" i="5"/>
  <c r="R52" i="5"/>
  <c r="P52" i="5"/>
  <c r="I52" i="5"/>
  <c r="J52" i="5"/>
  <c r="H52" i="5"/>
  <c r="F220" i="1"/>
  <c r="G220" i="1"/>
  <c r="E220" i="1"/>
  <c r="G219" i="1"/>
  <c r="D153" i="1"/>
  <c r="K57" i="2"/>
  <c r="O57" i="2" s="1"/>
  <c r="L57" i="2"/>
  <c r="P57" i="2" s="1"/>
  <c r="M57" i="2"/>
  <c r="Q57" i="2" s="1"/>
  <c r="T57" i="2"/>
  <c r="Y57" i="2"/>
  <c r="J35" i="34"/>
  <c r="J28" i="34"/>
  <c r="J16" i="34"/>
  <c r="J7" i="34"/>
  <c r="J40" i="34"/>
  <c r="J38" i="34"/>
  <c r="J39" i="34"/>
  <c r="I40" i="34"/>
  <c r="I39" i="34"/>
  <c r="I38" i="34"/>
  <c r="J37" i="34"/>
  <c r="I37" i="34"/>
  <c r="L37" i="34"/>
  <c r="I36" i="34"/>
  <c r="I35" i="34"/>
  <c r="I4" i="34"/>
  <c r="L4" i="34" s="1"/>
  <c r="K16" i="2"/>
  <c r="J33" i="34"/>
  <c r="J36" i="34"/>
  <c r="J34" i="34"/>
  <c r="I34" i="34"/>
  <c r="I33" i="34"/>
  <c r="I32" i="34"/>
  <c r="I31" i="34"/>
  <c r="J27" i="34"/>
  <c r="I27" i="34"/>
  <c r="J21" i="34"/>
  <c r="I21" i="34"/>
  <c r="I29" i="34"/>
  <c r="I28" i="34"/>
  <c r="I26" i="34"/>
  <c r="I25" i="34"/>
  <c r="I24" i="34"/>
  <c r="I23" i="34"/>
  <c r="I22" i="34"/>
  <c r="I20" i="34"/>
  <c r="L20" i="34" s="1"/>
  <c r="I16" i="34"/>
  <c r="I15" i="34"/>
  <c r="I14" i="34"/>
  <c r="I19" i="34"/>
  <c r="L19" i="34" s="1"/>
  <c r="I18" i="34"/>
  <c r="I13" i="34"/>
  <c r="I12" i="34"/>
  <c r="I11" i="34"/>
  <c r="I10" i="34"/>
  <c r="J4" i="34"/>
  <c r="I7" i="34"/>
  <c r="I6" i="34"/>
  <c r="I5" i="34"/>
  <c r="C37" i="2"/>
  <c r="C36" i="2"/>
  <c r="I88" i="34"/>
  <c r="L88" i="34" s="1"/>
  <c r="J88" i="34"/>
  <c r="I63" i="34"/>
  <c r="J63" i="34"/>
  <c r="M63" i="34" s="1"/>
  <c r="O101" i="11"/>
  <c r="F69" i="35" l="1"/>
  <c r="I69" i="35" s="1"/>
  <c r="F64" i="35"/>
  <c r="I64" i="35" s="1"/>
  <c r="F17" i="35"/>
  <c r="I17" i="35" s="1"/>
  <c r="F13" i="35"/>
  <c r="I13" i="35" s="1"/>
  <c r="F85" i="35"/>
  <c r="I85" i="35" s="1"/>
  <c r="F59" i="35"/>
  <c r="F61" i="35"/>
  <c r="F75" i="35"/>
  <c r="I75" i="35" s="1"/>
  <c r="F3" i="35"/>
  <c r="I3" i="35" s="1"/>
  <c r="G221" i="1"/>
  <c r="D717" i="3"/>
  <c r="K175" i="11"/>
  <c r="C175" i="11"/>
  <c r="N175" i="11" l="1"/>
  <c r="H50" i="5"/>
  <c r="H51" i="5"/>
  <c r="K52" i="2"/>
  <c r="D50" i="5" s="1"/>
  <c r="N67" i="2" l="1"/>
  <c r="P55" i="2"/>
  <c r="Q55" i="2"/>
  <c r="O77" i="2"/>
  <c r="D24" i="1" l="1"/>
  <c r="L11" i="6"/>
  <c r="K11" i="6"/>
  <c r="L52" i="2"/>
  <c r="P52" i="2" s="1"/>
  <c r="L53" i="2"/>
  <c r="P53" i="2" s="1"/>
  <c r="L5" i="34"/>
  <c r="J5" i="34"/>
  <c r="M5" i="34" s="1"/>
  <c r="L6" i="34"/>
  <c r="J6" i="34"/>
  <c r="M6" i="34" s="1"/>
  <c r="L7" i="34"/>
  <c r="M7" i="34"/>
  <c r="L10" i="34"/>
  <c r="J10" i="34"/>
  <c r="M10" i="34" s="1"/>
  <c r="L11" i="34"/>
  <c r="J11" i="34"/>
  <c r="M11" i="34" s="1"/>
  <c r="L12" i="34"/>
  <c r="J12" i="34"/>
  <c r="M12" i="34" s="1"/>
  <c r="L13" i="34"/>
  <c r="J13" i="34"/>
  <c r="M13" i="34" s="1"/>
  <c r="L14" i="34"/>
  <c r="J14" i="34"/>
  <c r="M14" i="34" s="1"/>
  <c r="L15" i="34"/>
  <c r="J15" i="34"/>
  <c r="M15" i="34" s="1"/>
  <c r="L16" i="34"/>
  <c r="M16" i="34"/>
  <c r="L18" i="34"/>
  <c r="J18" i="34"/>
  <c r="M18" i="34" s="1"/>
  <c r="J19" i="34"/>
  <c r="M19" i="34" s="1"/>
  <c r="J20" i="34"/>
  <c r="M20" i="34" s="1"/>
  <c r="L21" i="34"/>
  <c r="M21" i="34"/>
  <c r="L22" i="34"/>
  <c r="J22" i="34"/>
  <c r="M22" i="34" s="1"/>
  <c r="L23" i="34"/>
  <c r="J23" i="34"/>
  <c r="M23" i="34" s="1"/>
  <c r="L24" i="34"/>
  <c r="J24" i="34"/>
  <c r="M24" i="34" s="1"/>
  <c r="L25" i="34"/>
  <c r="J25" i="34"/>
  <c r="M25" i="34" s="1"/>
  <c r="L26" i="34"/>
  <c r="J26" i="34"/>
  <c r="M26" i="34" s="1"/>
  <c r="L27" i="34"/>
  <c r="M27" i="34"/>
  <c r="L28" i="34"/>
  <c r="M28" i="34"/>
  <c r="L29" i="34"/>
  <c r="J29" i="34"/>
  <c r="M29" i="34" s="1"/>
  <c r="L31" i="34"/>
  <c r="J31" i="34"/>
  <c r="M31" i="34" s="1"/>
  <c r="L32" i="34"/>
  <c r="J32" i="34"/>
  <c r="M32" i="34" s="1"/>
  <c r="L33" i="34"/>
  <c r="M33" i="34"/>
  <c r="L34" i="34"/>
  <c r="M34" i="34"/>
  <c r="L35" i="34"/>
  <c r="M35" i="34"/>
  <c r="L36" i="34"/>
  <c r="M36" i="34"/>
  <c r="M37" i="34"/>
  <c r="L38" i="34"/>
  <c r="M38" i="34"/>
  <c r="L39" i="34"/>
  <c r="M39" i="34"/>
  <c r="L40" i="34"/>
  <c r="M40" i="34"/>
  <c r="I41" i="34"/>
  <c r="L41" i="34" s="1"/>
  <c r="J41" i="34"/>
  <c r="M41" i="34" s="1"/>
  <c r="I42" i="34"/>
  <c r="L42" i="34" s="1"/>
  <c r="J42" i="34"/>
  <c r="M42" i="34" s="1"/>
  <c r="I43" i="34"/>
  <c r="L43" i="34" s="1"/>
  <c r="J43" i="34"/>
  <c r="M43" i="34" s="1"/>
  <c r="I46" i="34"/>
  <c r="L46" i="34" s="1"/>
  <c r="J46" i="34"/>
  <c r="M46" i="34" s="1"/>
  <c r="I48" i="34"/>
  <c r="L48" i="34" s="1"/>
  <c r="J48" i="34"/>
  <c r="M48" i="34" s="1"/>
  <c r="I50" i="34"/>
  <c r="L50" i="34" s="1"/>
  <c r="J50" i="34"/>
  <c r="M50" i="34" s="1"/>
  <c r="I51" i="34"/>
  <c r="L51" i="34" s="1"/>
  <c r="J51" i="34"/>
  <c r="M51" i="34" s="1"/>
  <c r="I53" i="34"/>
  <c r="L53" i="34" s="1"/>
  <c r="J53" i="34"/>
  <c r="M53" i="34" s="1"/>
  <c r="I54" i="34"/>
  <c r="L54" i="34" s="1"/>
  <c r="J54" i="34"/>
  <c r="M54" i="34" s="1"/>
  <c r="I55" i="34"/>
  <c r="L55" i="34" s="1"/>
  <c r="J55" i="34"/>
  <c r="M55" i="34" s="1"/>
  <c r="I56" i="34"/>
  <c r="L56" i="34" s="1"/>
  <c r="J56" i="34"/>
  <c r="M56" i="34" s="1"/>
  <c r="I57" i="34"/>
  <c r="L57" i="34" s="1"/>
  <c r="J57" i="34"/>
  <c r="M57" i="34" s="1"/>
  <c r="I58" i="34"/>
  <c r="L58" i="34" s="1"/>
  <c r="J58" i="34"/>
  <c r="M58" i="34" s="1"/>
  <c r="I59" i="34"/>
  <c r="L59" i="34" s="1"/>
  <c r="J59" i="34"/>
  <c r="M59" i="34" s="1"/>
  <c r="I60" i="34"/>
  <c r="L60" i="34" s="1"/>
  <c r="J60" i="34"/>
  <c r="M60" i="34" s="1"/>
  <c r="I61" i="34"/>
  <c r="J61" i="34"/>
  <c r="I62" i="34"/>
  <c r="L62" i="34" s="1"/>
  <c r="J62" i="34"/>
  <c r="M62" i="34" s="1"/>
  <c r="I64" i="34"/>
  <c r="J64" i="34"/>
  <c r="I66" i="34"/>
  <c r="J66" i="34"/>
  <c r="I67" i="34"/>
  <c r="J67" i="34"/>
  <c r="I68" i="34"/>
  <c r="L68" i="34" s="1"/>
  <c r="J68" i="34"/>
  <c r="M68" i="34" s="1"/>
  <c r="I69" i="34"/>
  <c r="L69" i="34" s="1"/>
  <c r="J69" i="34"/>
  <c r="M69" i="34" s="1"/>
  <c r="I73" i="34"/>
  <c r="L73" i="34" s="1"/>
  <c r="J73" i="34"/>
  <c r="M73" i="34" s="1"/>
  <c r="I74" i="34"/>
  <c r="L74" i="34" s="1"/>
  <c r="J74" i="34"/>
  <c r="M74" i="34" s="1"/>
  <c r="I75" i="34"/>
  <c r="L75" i="34" s="1"/>
  <c r="J75" i="34"/>
  <c r="M75" i="34" s="1"/>
  <c r="I76" i="34"/>
  <c r="L76" i="34" s="1"/>
  <c r="J76" i="34"/>
  <c r="M76" i="34" s="1"/>
  <c r="I79" i="34"/>
  <c r="L79" i="34" s="1"/>
  <c r="J79" i="34"/>
  <c r="M79" i="34" s="1"/>
  <c r="I80" i="34"/>
  <c r="L80" i="34" s="1"/>
  <c r="J80" i="34"/>
  <c r="M80" i="34" s="1"/>
  <c r="I81" i="34"/>
  <c r="J81" i="34"/>
  <c r="I82" i="34"/>
  <c r="L82" i="34" s="1"/>
  <c r="J82" i="34"/>
  <c r="M82" i="34" s="1"/>
  <c r="I83" i="34"/>
  <c r="L83" i="34" s="1"/>
  <c r="J83" i="34"/>
  <c r="M83" i="34" s="1"/>
  <c r="I84" i="34"/>
  <c r="L84" i="34" s="1"/>
  <c r="J84" i="34"/>
  <c r="M84" i="34" s="1"/>
  <c r="I85" i="34"/>
  <c r="L85" i="34" s="1"/>
  <c r="J85" i="34"/>
  <c r="M85" i="34" s="1"/>
  <c r="I86" i="34"/>
  <c r="L86" i="34" s="1"/>
  <c r="J86" i="34"/>
  <c r="M86" i="34" s="1"/>
  <c r="I87" i="34"/>
  <c r="L87" i="34" s="1"/>
  <c r="J87" i="34"/>
  <c r="M87" i="34" s="1"/>
  <c r="I89" i="34"/>
  <c r="L89" i="34" s="1"/>
  <c r="J89" i="34"/>
  <c r="M89" i="34" s="1"/>
  <c r="I90" i="34"/>
  <c r="J90" i="34"/>
  <c r="I91" i="34"/>
  <c r="J91" i="34"/>
  <c r="I92" i="34"/>
  <c r="J92" i="34"/>
  <c r="I93" i="34"/>
  <c r="L93" i="34" s="1"/>
  <c r="J93" i="34"/>
  <c r="M93" i="34" s="1"/>
  <c r="I94" i="34"/>
  <c r="L94" i="34" s="1"/>
  <c r="J94" i="34"/>
  <c r="M94" i="34" s="1"/>
  <c r="I95" i="34"/>
  <c r="J95" i="34"/>
  <c r="M4" i="34"/>
  <c r="F65" i="34"/>
  <c r="I65" i="34"/>
  <c r="L65" i="34" s="1"/>
  <c r="F64" i="34"/>
  <c r="J65" i="34" l="1"/>
  <c r="M65" i="34" s="1"/>
  <c r="T16" i="2" l="1"/>
  <c r="T28" i="2"/>
  <c r="T17" i="2"/>
  <c r="T71" i="2"/>
  <c r="S22" i="2" l="1"/>
  <c r="D480" i="3" l="1"/>
  <c r="D624" i="3"/>
  <c r="K91" i="6"/>
  <c r="L77" i="6"/>
  <c r="K77" i="6"/>
  <c r="L23" i="2"/>
  <c r="P23" i="2" s="1"/>
  <c r="Y80" i="2"/>
  <c r="G172" i="3"/>
  <c r="H172" i="3" s="1"/>
  <c r="G171" i="3"/>
  <c r="G173" i="3"/>
  <c r="G174" i="3"/>
  <c r="H174" i="3" s="1"/>
  <c r="G175" i="3"/>
  <c r="H175" i="3" s="1"/>
  <c r="G176" i="3"/>
  <c r="H176" i="3" s="1"/>
  <c r="G177" i="3"/>
  <c r="G190" i="3"/>
  <c r="H190" i="3" s="1"/>
  <c r="G197" i="3"/>
  <c r="G167" i="3"/>
  <c r="H167" i="3" s="1"/>
  <c r="G191" i="3"/>
  <c r="H191" i="3" s="1"/>
  <c r="G164" i="3"/>
  <c r="H164" i="3" s="1"/>
  <c r="G165" i="3"/>
  <c r="G166" i="3"/>
  <c r="G168" i="3"/>
  <c r="H168" i="3" s="1"/>
  <c r="G169" i="3"/>
  <c r="G170" i="3"/>
  <c r="G178" i="3"/>
  <c r="H178" i="3" s="1"/>
  <c r="G179" i="3"/>
  <c r="H179" i="3" s="1"/>
  <c r="G180" i="3"/>
  <c r="H180" i="3" s="1"/>
  <c r="G181" i="3"/>
  <c r="H181" i="3" s="1"/>
  <c r="G182" i="3"/>
  <c r="G158" i="3"/>
  <c r="H158" i="3" s="1"/>
  <c r="G159" i="3"/>
  <c r="H159" i="3" s="1"/>
  <c r="G160" i="3"/>
  <c r="H160" i="3" s="1"/>
  <c r="G162" i="3"/>
  <c r="H162" i="3" s="1"/>
  <c r="H161" i="3" s="1"/>
  <c r="G185" i="3"/>
  <c r="G186" i="3"/>
  <c r="G187" i="3"/>
  <c r="G188" i="3"/>
  <c r="H188" i="3" s="1"/>
  <c r="G193" i="3"/>
  <c r="H193" i="3" s="1"/>
  <c r="G194" i="3"/>
  <c r="G195" i="3"/>
  <c r="H195" i="3" s="1"/>
  <c r="G196" i="3"/>
  <c r="H196" i="3" s="1"/>
  <c r="G198" i="3"/>
  <c r="G199" i="3"/>
  <c r="H199" i="3" s="1"/>
  <c r="G200" i="3"/>
  <c r="G201" i="3"/>
  <c r="H201" i="3" s="1"/>
  <c r="G202" i="3"/>
  <c r="H202" i="3" s="1"/>
  <c r="G204" i="3"/>
  <c r="H204" i="3" s="1"/>
  <c r="G205" i="3"/>
  <c r="H205" i="3" s="1"/>
  <c r="G206" i="3"/>
  <c r="H206" i="3" s="1"/>
  <c r="G207" i="3"/>
  <c r="G208" i="3"/>
  <c r="H208" i="3" s="1"/>
  <c r="G209" i="3"/>
  <c r="H209" i="3" s="1"/>
  <c r="G210" i="3"/>
  <c r="H210" i="3" s="1"/>
  <c r="G211" i="3"/>
  <c r="H211" i="3" s="1"/>
  <c r="G212" i="3"/>
  <c r="G214" i="3"/>
  <c r="H214" i="3" s="1"/>
  <c r="G215" i="3"/>
  <c r="H215" i="3" s="1"/>
  <c r="G216" i="3"/>
  <c r="G217" i="3"/>
  <c r="G218" i="3"/>
  <c r="G219" i="3"/>
  <c r="G220" i="3"/>
  <c r="G222" i="3"/>
  <c r="H222" i="3" s="1"/>
  <c r="G223" i="3"/>
  <c r="G415" i="3"/>
  <c r="H415" i="3" s="1"/>
  <c r="G409" i="3"/>
  <c r="H409" i="3" s="1"/>
  <c r="G410" i="3"/>
  <c r="H410" i="3" s="1"/>
  <c r="G411" i="3"/>
  <c r="H411" i="3" s="1"/>
  <c r="G412" i="3"/>
  <c r="H412" i="3" s="1"/>
  <c r="G413" i="3"/>
  <c r="H413" i="3" s="1"/>
  <c r="G414" i="3"/>
  <c r="H414" i="3" s="1"/>
  <c r="G416" i="3"/>
  <c r="H416" i="3" s="1"/>
  <c r="G417" i="3"/>
  <c r="H417" i="3" s="1"/>
  <c r="G418" i="3"/>
  <c r="H418" i="3" s="1"/>
  <c r="G423" i="3"/>
  <c r="H423" i="3" s="1"/>
  <c r="G420" i="3"/>
  <c r="H420" i="3" s="1"/>
  <c r="G421" i="3"/>
  <c r="H421" i="3" s="1"/>
  <c r="G422" i="3"/>
  <c r="H422" i="3" s="1"/>
  <c r="G424" i="3"/>
  <c r="H424" i="3" s="1"/>
  <c r="G425" i="3"/>
  <c r="H425" i="3" s="1"/>
  <c r="G426" i="3"/>
  <c r="H426" i="3" s="1"/>
  <c r="G427" i="3"/>
  <c r="H427" i="3" s="1"/>
  <c r="G428" i="3"/>
  <c r="G434" i="3"/>
  <c r="H434" i="3" s="1"/>
  <c r="G430" i="3"/>
  <c r="H430" i="3" s="1"/>
  <c r="G431" i="3"/>
  <c r="H431" i="3" s="1"/>
  <c r="G432" i="3"/>
  <c r="H432" i="3" s="1"/>
  <c r="G433" i="3"/>
  <c r="H433" i="3" s="1"/>
  <c r="G435" i="3"/>
  <c r="H435" i="3" s="1"/>
  <c r="G436" i="3"/>
  <c r="H436" i="3" s="1"/>
  <c r="G401" i="3"/>
  <c r="H401" i="3" s="1"/>
  <c r="G402" i="3"/>
  <c r="H402" i="3" s="1"/>
  <c r="G403" i="3"/>
  <c r="H403" i="3" s="1"/>
  <c r="G404" i="3"/>
  <c r="H404" i="3" s="1"/>
  <c r="G406" i="3"/>
  <c r="H406" i="3" s="1"/>
  <c r="G407" i="3"/>
  <c r="H407" i="3" s="1"/>
  <c r="G438" i="3"/>
  <c r="H438" i="3" s="1"/>
  <c r="G439" i="3"/>
  <c r="H439" i="3" s="1"/>
  <c r="G386" i="3"/>
  <c r="G380" i="3"/>
  <c r="H380" i="3" s="1"/>
  <c r="G381" i="3"/>
  <c r="H381" i="3" s="1"/>
  <c r="G382" i="3"/>
  <c r="H382" i="3" s="1"/>
  <c r="G383" i="3"/>
  <c r="H383" i="3" s="1"/>
  <c r="G384" i="3"/>
  <c r="H384" i="3" s="1"/>
  <c r="G385" i="3"/>
  <c r="H385" i="3" s="1"/>
  <c r="G387" i="3"/>
  <c r="G388" i="3"/>
  <c r="G389" i="3"/>
  <c r="H389" i="3" s="1"/>
  <c r="G390" i="3"/>
  <c r="H390" i="3" s="1"/>
  <c r="G391" i="3"/>
  <c r="H391" i="3" s="1"/>
  <c r="G392" i="3"/>
  <c r="H392" i="3" s="1"/>
  <c r="G393" i="3"/>
  <c r="H393" i="3" s="1"/>
  <c r="G394" i="3"/>
  <c r="H394" i="3" s="1"/>
  <c r="G395" i="3"/>
  <c r="H395" i="3" s="1"/>
  <c r="G396" i="3"/>
  <c r="H396" i="3" s="1"/>
  <c r="G397" i="3"/>
  <c r="H397" i="3" s="1"/>
  <c r="G398" i="3"/>
  <c r="H398" i="3" s="1"/>
  <c r="L128" i="6"/>
  <c r="L125" i="6"/>
  <c r="L138" i="6"/>
  <c r="L139" i="6"/>
  <c r="L124" i="6"/>
  <c r="L126" i="6"/>
  <c r="L127" i="6"/>
  <c r="L129" i="6"/>
  <c r="L130" i="6"/>
  <c r="L131" i="6"/>
  <c r="L132" i="6"/>
  <c r="L133" i="6"/>
  <c r="L134" i="6"/>
  <c r="G374" i="3"/>
  <c r="H374" i="3" s="1"/>
  <c r="G375" i="3"/>
  <c r="H375" i="3" s="1"/>
  <c r="G376" i="3"/>
  <c r="H376" i="3" s="1"/>
  <c r="G378" i="3"/>
  <c r="H378" i="3" s="1"/>
  <c r="H377" i="3" s="1"/>
  <c r="L245" i="6"/>
  <c r="G734" i="3"/>
  <c r="H734" i="3" s="1"/>
  <c r="G735" i="3"/>
  <c r="H735" i="3" s="1"/>
  <c r="G736" i="3"/>
  <c r="H736" i="3" s="1"/>
  <c r="G741" i="3"/>
  <c r="G745" i="3"/>
  <c r="G758" i="3"/>
  <c r="G753" i="3"/>
  <c r="G740" i="3"/>
  <c r="H740" i="3" s="1"/>
  <c r="G742" i="3"/>
  <c r="H742" i="3" s="1"/>
  <c r="G743" i="3"/>
  <c r="H743" i="3" s="1"/>
  <c r="G744" i="3"/>
  <c r="G746" i="3"/>
  <c r="G747" i="3"/>
  <c r="H747" i="3" s="1"/>
  <c r="G748" i="3"/>
  <c r="H748" i="3" s="1"/>
  <c r="G749" i="3"/>
  <c r="H749" i="3" s="1"/>
  <c r="G750" i="3"/>
  <c r="H750" i="3" s="1"/>
  <c r="G751" i="3"/>
  <c r="H751" i="3" s="1"/>
  <c r="G752" i="3"/>
  <c r="H752" i="3" s="1"/>
  <c r="G754" i="3"/>
  <c r="H754" i="3" s="1"/>
  <c r="G755" i="3"/>
  <c r="H755" i="3" s="1"/>
  <c r="G756" i="3"/>
  <c r="H756" i="3" s="1"/>
  <c r="G757" i="3"/>
  <c r="H757" i="3" s="1"/>
  <c r="G738" i="3"/>
  <c r="H738" i="3" s="1"/>
  <c r="H737" i="3" s="1"/>
  <c r="G792" i="3"/>
  <c r="G790" i="3"/>
  <c r="H790" i="3" s="1"/>
  <c r="G791" i="3"/>
  <c r="H791" i="3" s="1"/>
  <c r="G793" i="3"/>
  <c r="H793" i="3" s="1"/>
  <c r="G794" i="3"/>
  <c r="G795" i="3"/>
  <c r="G796" i="3"/>
  <c r="H796" i="3" s="1"/>
  <c r="G761" i="3"/>
  <c r="G762" i="3"/>
  <c r="G763" i="3"/>
  <c r="G764" i="3"/>
  <c r="G766" i="3"/>
  <c r="H766" i="3" s="1"/>
  <c r="G767" i="3"/>
  <c r="H767" i="3" s="1"/>
  <c r="G769" i="3"/>
  <c r="H769" i="3" s="1"/>
  <c r="G770" i="3"/>
  <c r="G771" i="3"/>
  <c r="G772" i="3"/>
  <c r="H772" i="3" s="1"/>
  <c r="G773" i="3"/>
  <c r="G774" i="3"/>
  <c r="G775" i="3"/>
  <c r="G776" i="3"/>
  <c r="H776" i="3" s="1"/>
  <c r="G777" i="3"/>
  <c r="H777" i="3" s="1"/>
  <c r="G778" i="3"/>
  <c r="H778" i="3" s="1"/>
  <c r="G780" i="3"/>
  <c r="G781" i="3"/>
  <c r="H781" i="3" s="1"/>
  <c r="G782" i="3"/>
  <c r="H782" i="3" s="1"/>
  <c r="G783" i="3"/>
  <c r="G784" i="3"/>
  <c r="H784" i="3" s="1"/>
  <c r="G785" i="3"/>
  <c r="H785" i="3" s="1"/>
  <c r="G786" i="3"/>
  <c r="H786" i="3" s="1"/>
  <c r="G787" i="3"/>
  <c r="H787" i="3" s="1"/>
  <c r="G788" i="3"/>
  <c r="G798" i="3"/>
  <c r="G799" i="3"/>
  <c r="H799" i="3" s="1"/>
  <c r="G14" i="3"/>
  <c r="H14" i="3" s="1"/>
  <c r="G15" i="3"/>
  <c r="H15" i="3" s="1"/>
  <c r="G16" i="3"/>
  <c r="H16" i="3" s="1"/>
  <c r="H27" i="3"/>
  <c r="G28" i="3"/>
  <c r="H28" i="3" s="1"/>
  <c r="G29" i="3"/>
  <c r="H29" i="3" s="1"/>
  <c r="G30" i="3"/>
  <c r="H30" i="3" s="1"/>
  <c r="G31" i="3"/>
  <c r="H31" i="3" s="1"/>
  <c r="G32" i="3"/>
  <c r="H32" i="3" s="1"/>
  <c r="G33" i="3"/>
  <c r="G46" i="3"/>
  <c r="H46" i="3" s="1"/>
  <c r="G53" i="3"/>
  <c r="G23" i="3"/>
  <c r="H23" i="3" s="1"/>
  <c r="G47" i="3"/>
  <c r="H47" i="3" s="1"/>
  <c r="G68" i="3"/>
  <c r="G25" i="3"/>
  <c r="G74" i="3"/>
  <c r="H74" i="3" s="1"/>
  <c r="G18" i="3"/>
  <c r="G20" i="3"/>
  <c r="H20" i="3" s="1"/>
  <c r="G21" i="3"/>
  <c r="G22" i="3"/>
  <c r="H22" i="3" s="1"/>
  <c r="G24" i="3"/>
  <c r="H24" i="3" s="1"/>
  <c r="G26" i="3"/>
  <c r="G34" i="3"/>
  <c r="H34" i="3" s="1"/>
  <c r="G35" i="3"/>
  <c r="H35" i="3" s="1"/>
  <c r="G36" i="3"/>
  <c r="H36" i="3" s="1"/>
  <c r="G37" i="3"/>
  <c r="H37" i="3" s="1"/>
  <c r="G38" i="3"/>
  <c r="H38" i="3" s="1"/>
  <c r="G41" i="3"/>
  <c r="G42" i="3"/>
  <c r="G43" i="3"/>
  <c r="G44" i="3"/>
  <c r="H44" i="3" s="1"/>
  <c r="G49" i="3"/>
  <c r="H49" i="3" s="1"/>
  <c r="G50" i="3"/>
  <c r="G51" i="3"/>
  <c r="H51" i="3" s="1"/>
  <c r="G52" i="3"/>
  <c r="H52" i="3" s="1"/>
  <c r="G54" i="3"/>
  <c r="G55" i="3"/>
  <c r="G56" i="3"/>
  <c r="H56" i="3" s="1"/>
  <c r="G58" i="3"/>
  <c r="H58" i="3" s="1"/>
  <c r="G60" i="3"/>
  <c r="H60" i="3" s="1"/>
  <c r="G61" i="3"/>
  <c r="G62" i="3"/>
  <c r="H62" i="3" s="1"/>
  <c r="G63" i="3"/>
  <c r="G64" i="3"/>
  <c r="H64" i="3" s="1"/>
  <c r="G65" i="3"/>
  <c r="H65" i="3" s="1"/>
  <c r="G66" i="3"/>
  <c r="H66" i="3" s="1"/>
  <c r="G67" i="3"/>
  <c r="H67" i="3" s="1"/>
  <c r="G70" i="3"/>
  <c r="H70" i="3" s="1"/>
  <c r="G71" i="3"/>
  <c r="H71" i="3" s="1"/>
  <c r="G72" i="3"/>
  <c r="G73" i="3"/>
  <c r="H73" i="3" s="1"/>
  <c r="G75" i="3"/>
  <c r="H75" i="3" s="1"/>
  <c r="G76" i="3"/>
  <c r="G78" i="3"/>
  <c r="H78" i="3" s="1"/>
  <c r="G79" i="3"/>
  <c r="G86" i="3"/>
  <c r="H86" i="3" s="1"/>
  <c r="G87" i="3"/>
  <c r="H87" i="3" s="1"/>
  <c r="G88" i="3"/>
  <c r="H88" i="3" s="1"/>
  <c r="G99" i="3"/>
  <c r="H99" i="3" s="1"/>
  <c r="G100" i="3"/>
  <c r="H100" i="3" s="1"/>
  <c r="G101" i="3"/>
  <c r="H101" i="3" s="1"/>
  <c r="G103" i="3"/>
  <c r="H103" i="3" s="1"/>
  <c r="G104" i="3"/>
  <c r="H104" i="3" s="1"/>
  <c r="G105" i="3"/>
  <c r="G118" i="3"/>
  <c r="H118" i="3" s="1"/>
  <c r="G125" i="3"/>
  <c r="G95" i="3"/>
  <c r="H95" i="3" s="1"/>
  <c r="G102" i="3"/>
  <c r="H102" i="3" s="1"/>
  <c r="G119" i="3"/>
  <c r="H119" i="3" s="1"/>
  <c r="G140" i="3"/>
  <c r="G97" i="3"/>
  <c r="G146" i="3"/>
  <c r="G90" i="3"/>
  <c r="H90" i="3" s="1"/>
  <c r="H89" i="3" s="1"/>
  <c r="G92" i="3"/>
  <c r="H92" i="3" s="1"/>
  <c r="G93" i="3"/>
  <c r="G94" i="3"/>
  <c r="H94" i="3" s="1"/>
  <c r="G96" i="3"/>
  <c r="H96" i="3" s="1"/>
  <c r="G98" i="3"/>
  <c r="G106" i="3"/>
  <c r="H106" i="3" s="1"/>
  <c r="G107" i="3"/>
  <c r="H107" i="3" s="1"/>
  <c r="G108" i="3"/>
  <c r="H108" i="3" s="1"/>
  <c r="G109" i="3"/>
  <c r="H109" i="3" s="1"/>
  <c r="G110" i="3"/>
  <c r="H110" i="3" s="1"/>
  <c r="G113" i="3"/>
  <c r="G114" i="3"/>
  <c r="G115" i="3"/>
  <c r="G116" i="3"/>
  <c r="H116" i="3" s="1"/>
  <c r="G121" i="3"/>
  <c r="H121" i="3" s="1"/>
  <c r="G122" i="3"/>
  <c r="G123" i="3"/>
  <c r="H123" i="3" s="1"/>
  <c r="G124" i="3"/>
  <c r="H124" i="3" s="1"/>
  <c r="G126" i="3"/>
  <c r="G127" i="3"/>
  <c r="G128" i="3"/>
  <c r="G129" i="3"/>
  <c r="H129" i="3" s="1"/>
  <c r="G130" i="3"/>
  <c r="H130" i="3" s="1"/>
  <c r="G132" i="3"/>
  <c r="H132" i="3" s="1"/>
  <c r="G133" i="3"/>
  <c r="G134" i="3"/>
  <c r="H134" i="3" s="1"/>
  <c r="G135" i="3"/>
  <c r="G136" i="3"/>
  <c r="H136" i="3" s="1"/>
  <c r="G137" i="3"/>
  <c r="H137" i="3" s="1"/>
  <c r="G138" i="3"/>
  <c r="H138" i="3" s="1"/>
  <c r="G139" i="3"/>
  <c r="H139" i="3" s="1"/>
  <c r="G142" i="3"/>
  <c r="H142" i="3" s="1"/>
  <c r="G143" i="3"/>
  <c r="H143" i="3" s="1"/>
  <c r="G144" i="3"/>
  <c r="H144" i="3" s="1"/>
  <c r="G145" i="3"/>
  <c r="G147" i="3"/>
  <c r="H147" i="3" s="1"/>
  <c r="G148" i="3"/>
  <c r="G150" i="3"/>
  <c r="H150" i="3" s="1"/>
  <c r="G151" i="3"/>
  <c r="L92" i="6"/>
  <c r="L93" i="6"/>
  <c r="L94" i="6"/>
  <c r="L95" i="6"/>
  <c r="L80" i="6"/>
  <c r="L81" i="6"/>
  <c r="L82" i="6"/>
  <c r="L83" i="6"/>
  <c r="L84" i="6"/>
  <c r="L85" i="6"/>
  <c r="L86" i="6"/>
  <c r="L87" i="6"/>
  <c r="L88" i="6"/>
  <c r="L89" i="6"/>
  <c r="L90" i="6"/>
  <c r="L91" i="6"/>
  <c r="L96" i="6"/>
  <c r="L97" i="6"/>
  <c r="L98" i="6"/>
  <c r="L99" i="6"/>
  <c r="L100" i="6"/>
  <c r="L101" i="6"/>
  <c r="G230" i="3"/>
  <c r="H230" i="3" s="1"/>
  <c r="G231" i="3"/>
  <c r="H231" i="3" s="1"/>
  <c r="G232" i="3"/>
  <c r="H232" i="3" s="1"/>
  <c r="G246" i="3"/>
  <c r="H246" i="3" s="1"/>
  <c r="G243" i="3"/>
  <c r="G244" i="3"/>
  <c r="G245" i="3"/>
  <c r="G239" i="3"/>
  <c r="H239" i="3" s="1"/>
  <c r="G247" i="3"/>
  <c r="H247" i="3" s="1"/>
  <c r="G248" i="3"/>
  <c r="H248" i="3" s="1"/>
  <c r="G249" i="3"/>
  <c r="H249" i="3" s="1"/>
  <c r="G262" i="3"/>
  <c r="H262" i="3" s="1"/>
  <c r="G263" i="3"/>
  <c r="H263" i="3" s="1"/>
  <c r="G269" i="3"/>
  <c r="H269" i="3" s="1"/>
  <c r="G240" i="3"/>
  <c r="G284" i="3"/>
  <c r="G241" i="3"/>
  <c r="H241" i="3" s="1"/>
  <c r="G290" i="3"/>
  <c r="H290" i="3" s="1"/>
  <c r="G234" i="3"/>
  <c r="H234" i="3" s="1"/>
  <c r="H233" i="3" s="1"/>
  <c r="G236" i="3"/>
  <c r="H236" i="3" s="1"/>
  <c r="G237" i="3"/>
  <c r="H237" i="3" s="1"/>
  <c r="G238" i="3"/>
  <c r="H238" i="3" s="1"/>
  <c r="G242" i="3"/>
  <c r="G250" i="3"/>
  <c r="H250" i="3" s="1"/>
  <c r="G251" i="3"/>
  <c r="H251" i="3" s="1"/>
  <c r="G252" i="3"/>
  <c r="H252" i="3" s="1"/>
  <c r="G253" i="3"/>
  <c r="H253" i="3" s="1"/>
  <c r="G254" i="3"/>
  <c r="H254" i="3" s="1"/>
  <c r="G257" i="3"/>
  <c r="G258" i="3"/>
  <c r="H258" i="3" s="1"/>
  <c r="G259" i="3"/>
  <c r="G260" i="3"/>
  <c r="H260" i="3" s="1"/>
  <c r="G265" i="3"/>
  <c r="H265" i="3" s="1"/>
  <c r="G266" i="3"/>
  <c r="H266" i="3" s="1"/>
  <c r="G267" i="3"/>
  <c r="H267" i="3" s="1"/>
  <c r="G268" i="3"/>
  <c r="H268" i="3" s="1"/>
  <c r="G270" i="3"/>
  <c r="H270" i="3" s="1"/>
  <c r="G271" i="3"/>
  <c r="H271" i="3" s="1"/>
  <c r="G272" i="3"/>
  <c r="H272" i="3" s="1"/>
  <c r="G273" i="3"/>
  <c r="H273" i="3" s="1"/>
  <c r="G274" i="3"/>
  <c r="H274" i="3" s="1"/>
  <c r="G276" i="3"/>
  <c r="G277" i="3"/>
  <c r="H277" i="3" s="1"/>
  <c r="G278" i="3"/>
  <c r="H278" i="3" s="1"/>
  <c r="G279" i="3"/>
  <c r="H279" i="3" s="1"/>
  <c r="G280" i="3"/>
  <c r="H280" i="3" s="1"/>
  <c r="G281" i="3"/>
  <c r="H281" i="3" s="1"/>
  <c r="G282" i="3"/>
  <c r="H282" i="3" s="1"/>
  <c r="G283" i="3"/>
  <c r="H283" i="3" s="1"/>
  <c r="G286" i="3"/>
  <c r="H286" i="3" s="1"/>
  <c r="G287" i="3"/>
  <c r="H287" i="3" s="1"/>
  <c r="G288" i="3"/>
  <c r="H288" i="3" s="1"/>
  <c r="G289" i="3"/>
  <c r="H289" i="3" s="1"/>
  <c r="G291" i="3"/>
  <c r="H291" i="3" s="1"/>
  <c r="G292" i="3"/>
  <c r="H292" i="3" s="1"/>
  <c r="G294" i="3"/>
  <c r="H294" i="3" s="1"/>
  <c r="G295" i="3"/>
  <c r="H295" i="3" s="1"/>
  <c r="D63" i="11"/>
  <c r="L113" i="6"/>
  <c r="L114" i="6"/>
  <c r="L115" i="6"/>
  <c r="L116" i="6"/>
  <c r="L119" i="6"/>
  <c r="L102" i="6"/>
  <c r="L103" i="6"/>
  <c r="L104" i="6"/>
  <c r="L105" i="6"/>
  <c r="L106" i="6"/>
  <c r="L107" i="6"/>
  <c r="L108" i="6"/>
  <c r="L109" i="6"/>
  <c r="L110" i="6"/>
  <c r="L111" i="6"/>
  <c r="L112" i="6"/>
  <c r="L76" i="6"/>
  <c r="L120" i="6"/>
  <c r="L121" i="6"/>
  <c r="L122" i="6"/>
  <c r="L123" i="6"/>
  <c r="G302" i="3"/>
  <c r="H302" i="3" s="1"/>
  <c r="G303" i="3"/>
  <c r="H303" i="3" s="1"/>
  <c r="G304" i="3"/>
  <c r="G311" i="3"/>
  <c r="H311" i="3" s="1"/>
  <c r="G315" i="3"/>
  <c r="G316" i="3"/>
  <c r="G317" i="3"/>
  <c r="H317" i="3" s="1"/>
  <c r="G318" i="3"/>
  <c r="H318" i="3" s="1"/>
  <c r="G319" i="3"/>
  <c r="H319" i="3" s="1"/>
  <c r="G320" i="3"/>
  <c r="H320" i="3" s="1"/>
  <c r="G321" i="3"/>
  <c r="H321" i="3" s="1"/>
  <c r="G334" i="3"/>
  <c r="H334" i="3" s="1"/>
  <c r="G335" i="3"/>
  <c r="H335" i="3" s="1"/>
  <c r="G341" i="3"/>
  <c r="H341" i="3" s="1"/>
  <c r="G312" i="3"/>
  <c r="G356" i="3"/>
  <c r="G313" i="3"/>
  <c r="H313" i="3" s="1"/>
  <c r="G362" i="3"/>
  <c r="H362" i="3" s="1"/>
  <c r="G306" i="3"/>
  <c r="H306" i="3" s="1"/>
  <c r="H305" i="3" s="1"/>
  <c r="G308" i="3"/>
  <c r="G309" i="3"/>
  <c r="H309" i="3" s="1"/>
  <c r="G310" i="3"/>
  <c r="H310" i="3" s="1"/>
  <c r="G314" i="3"/>
  <c r="G322" i="3"/>
  <c r="H322" i="3" s="1"/>
  <c r="G323" i="3"/>
  <c r="H323" i="3" s="1"/>
  <c r="G324" i="3"/>
  <c r="H324" i="3" s="1"/>
  <c r="G325" i="3"/>
  <c r="H325" i="3" s="1"/>
  <c r="G326" i="3"/>
  <c r="H326" i="3" s="1"/>
  <c r="G329" i="3"/>
  <c r="G330" i="3"/>
  <c r="H330" i="3" s="1"/>
  <c r="G331" i="3"/>
  <c r="G332" i="3"/>
  <c r="H332" i="3" s="1"/>
  <c r="G337" i="3"/>
  <c r="H337" i="3" s="1"/>
  <c r="G338" i="3"/>
  <c r="H338" i="3" s="1"/>
  <c r="G339" i="3"/>
  <c r="D336" i="3"/>
  <c r="G340" i="3"/>
  <c r="H340" i="3" s="1"/>
  <c r="G342" i="3"/>
  <c r="H342" i="3" s="1"/>
  <c r="G343" i="3"/>
  <c r="H343" i="3" s="1"/>
  <c r="G344" i="3"/>
  <c r="H344" i="3" s="1"/>
  <c r="G345" i="3"/>
  <c r="H345" i="3" s="1"/>
  <c r="G346" i="3"/>
  <c r="H346" i="3" s="1"/>
  <c r="G348" i="3"/>
  <c r="H348" i="3" s="1"/>
  <c r="G349" i="3"/>
  <c r="H349" i="3" s="1"/>
  <c r="G350" i="3"/>
  <c r="H350" i="3" s="1"/>
  <c r="G351" i="3"/>
  <c r="H351" i="3" s="1"/>
  <c r="G352" i="3"/>
  <c r="H352" i="3" s="1"/>
  <c r="G353" i="3"/>
  <c r="H353" i="3" s="1"/>
  <c r="G354" i="3"/>
  <c r="H354" i="3" s="1"/>
  <c r="G355" i="3"/>
  <c r="H355" i="3" s="1"/>
  <c r="G358" i="3"/>
  <c r="H358" i="3" s="1"/>
  <c r="G359" i="3"/>
  <c r="H359" i="3" s="1"/>
  <c r="G360" i="3"/>
  <c r="H360" i="3" s="1"/>
  <c r="G361" i="3"/>
  <c r="H361" i="3" s="1"/>
  <c r="G363" i="3"/>
  <c r="H363" i="3" s="1"/>
  <c r="G364" i="3"/>
  <c r="H364" i="3" s="1"/>
  <c r="G366" i="3"/>
  <c r="H366" i="3" s="1"/>
  <c r="G367" i="3"/>
  <c r="H367" i="3" s="1"/>
  <c r="L161" i="6"/>
  <c r="L162" i="6"/>
  <c r="L163" i="6"/>
  <c r="L157" i="6"/>
  <c r="L158" i="6"/>
  <c r="G446" i="3"/>
  <c r="H446" i="3" s="1"/>
  <c r="G447" i="3"/>
  <c r="H447" i="3" s="1"/>
  <c r="G448" i="3"/>
  <c r="H448" i="3" s="1"/>
  <c r="G459" i="3"/>
  <c r="G460" i="3"/>
  <c r="G456" i="3"/>
  <c r="G455" i="3"/>
  <c r="H455" i="3" s="1"/>
  <c r="G461" i="3"/>
  <c r="H461" i="3" s="1"/>
  <c r="G462" i="3"/>
  <c r="H462" i="3" s="1"/>
  <c r="G463" i="3"/>
  <c r="H463" i="3" s="1"/>
  <c r="G464" i="3"/>
  <c r="H464" i="3" s="1"/>
  <c r="G465" i="3"/>
  <c r="H465" i="3" s="1"/>
  <c r="G478" i="3"/>
  <c r="H478" i="3" s="1"/>
  <c r="G479" i="3"/>
  <c r="H479" i="3" s="1"/>
  <c r="G485" i="3"/>
  <c r="H485" i="3" s="1"/>
  <c r="G500" i="3"/>
  <c r="G457" i="3"/>
  <c r="H457" i="3" s="1"/>
  <c r="G506" i="3"/>
  <c r="H506" i="3" s="1"/>
  <c r="G450" i="3"/>
  <c r="H450" i="3" s="1"/>
  <c r="H449" i="3" s="1"/>
  <c r="G452" i="3"/>
  <c r="H452" i="3" s="1"/>
  <c r="G453" i="3"/>
  <c r="H453" i="3" s="1"/>
  <c r="G454" i="3"/>
  <c r="H454" i="3" s="1"/>
  <c r="G458" i="3"/>
  <c r="G466" i="3"/>
  <c r="H466" i="3" s="1"/>
  <c r="G467" i="3"/>
  <c r="H467" i="3" s="1"/>
  <c r="G468" i="3"/>
  <c r="H468" i="3" s="1"/>
  <c r="G469" i="3"/>
  <c r="H469" i="3" s="1"/>
  <c r="G470" i="3"/>
  <c r="H470" i="3" s="1"/>
  <c r="G473" i="3"/>
  <c r="G474" i="3"/>
  <c r="H474" i="3" s="1"/>
  <c r="G475" i="3"/>
  <c r="G476" i="3"/>
  <c r="H476" i="3" s="1"/>
  <c r="G481" i="3"/>
  <c r="H481" i="3" s="1"/>
  <c r="G482" i="3"/>
  <c r="H482" i="3" s="1"/>
  <c r="G483" i="3"/>
  <c r="G484" i="3"/>
  <c r="H484" i="3" s="1"/>
  <c r="G486" i="3"/>
  <c r="H486" i="3" s="1"/>
  <c r="G487" i="3"/>
  <c r="H487" i="3" s="1"/>
  <c r="G488" i="3"/>
  <c r="H488" i="3" s="1"/>
  <c r="G489" i="3"/>
  <c r="H489" i="3" s="1"/>
  <c r="G490" i="3"/>
  <c r="H490" i="3" s="1"/>
  <c r="G492" i="3"/>
  <c r="H492" i="3" s="1"/>
  <c r="G493" i="3"/>
  <c r="H493" i="3" s="1"/>
  <c r="G494" i="3"/>
  <c r="H494" i="3" s="1"/>
  <c r="G495" i="3"/>
  <c r="H495" i="3" s="1"/>
  <c r="G496" i="3"/>
  <c r="H496" i="3" s="1"/>
  <c r="G497" i="3"/>
  <c r="H497" i="3" s="1"/>
  <c r="G498" i="3"/>
  <c r="H498" i="3" s="1"/>
  <c r="G499" i="3"/>
  <c r="H499" i="3" s="1"/>
  <c r="G502" i="3"/>
  <c r="H502" i="3" s="1"/>
  <c r="G503" i="3"/>
  <c r="H503" i="3" s="1"/>
  <c r="G504" i="3"/>
  <c r="H504" i="3" s="1"/>
  <c r="G505" i="3"/>
  <c r="H505" i="3" s="1"/>
  <c r="G507" i="3"/>
  <c r="H507" i="3" s="1"/>
  <c r="G508" i="3"/>
  <c r="H508" i="3" s="1"/>
  <c r="G510" i="3"/>
  <c r="H510" i="3" s="1"/>
  <c r="G511" i="3"/>
  <c r="H511" i="3" s="1"/>
  <c r="G518" i="3"/>
  <c r="H518" i="3" s="1"/>
  <c r="G519" i="3"/>
  <c r="H519" i="3" s="1"/>
  <c r="G520" i="3"/>
  <c r="H520" i="3" s="1"/>
  <c r="G531" i="3"/>
  <c r="G532" i="3"/>
  <c r="G533" i="3"/>
  <c r="G535" i="3"/>
  <c r="H535" i="3" s="1"/>
  <c r="G536" i="3"/>
  <c r="H536" i="3" s="1"/>
  <c r="G537" i="3"/>
  <c r="G557" i="3"/>
  <c r="G527" i="3"/>
  <c r="H527" i="3" s="1"/>
  <c r="G534" i="3"/>
  <c r="H534" i="3" s="1"/>
  <c r="G550" i="3"/>
  <c r="H550" i="3" s="1"/>
  <c r="G551" i="3"/>
  <c r="H551" i="3" s="1"/>
  <c r="G572" i="3"/>
  <c r="G529" i="3"/>
  <c r="G578" i="3"/>
  <c r="G522" i="3"/>
  <c r="H522" i="3" s="1"/>
  <c r="H521" i="3" s="1"/>
  <c r="G524" i="3"/>
  <c r="H524" i="3" s="1"/>
  <c r="G525" i="3"/>
  <c r="G526" i="3"/>
  <c r="G528" i="3"/>
  <c r="H528" i="3" s="1"/>
  <c r="G530" i="3"/>
  <c r="G538" i="3"/>
  <c r="H538" i="3" s="1"/>
  <c r="G539" i="3"/>
  <c r="H539" i="3" s="1"/>
  <c r="G540" i="3"/>
  <c r="H540" i="3" s="1"/>
  <c r="G541" i="3"/>
  <c r="H541" i="3" s="1"/>
  <c r="G542" i="3"/>
  <c r="H542" i="3" s="1"/>
  <c r="G545" i="3"/>
  <c r="G546" i="3"/>
  <c r="G547" i="3"/>
  <c r="H547" i="3" s="1"/>
  <c r="G548" i="3"/>
  <c r="G553" i="3"/>
  <c r="H553" i="3" s="1"/>
  <c r="G554" i="3"/>
  <c r="G555" i="3"/>
  <c r="H555" i="3" s="1"/>
  <c r="G556" i="3"/>
  <c r="H556" i="3" s="1"/>
  <c r="G558" i="3"/>
  <c r="G559" i="3"/>
  <c r="H559" i="3" s="1"/>
  <c r="G560" i="3"/>
  <c r="G561" i="3"/>
  <c r="H561" i="3" s="1"/>
  <c r="G562" i="3"/>
  <c r="H562" i="3" s="1"/>
  <c r="G564" i="3"/>
  <c r="H564" i="3" s="1"/>
  <c r="G565" i="3"/>
  <c r="H565" i="3" s="1"/>
  <c r="G566" i="3"/>
  <c r="H566" i="3" s="1"/>
  <c r="G567" i="3"/>
  <c r="G568" i="3"/>
  <c r="H568" i="3" s="1"/>
  <c r="G569" i="3"/>
  <c r="H569" i="3" s="1"/>
  <c r="G570" i="3"/>
  <c r="H570" i="3" s="1"/>
  <c r="G571" i="3"/>
  <c r="H571" i="3" s="1"/>
  <c r="G574" i="3"/>
  <c r="H574" i="3" s="1"/>
  <c r="G575" i="3"/>
  <c r="H575" i="3" s="1"/>
  <c r="G576" i="3"/>
  <c r="G577" i="3"/>
  <c r="G579" i="3"/>
  <c r="H579" i="3" s="1"/>
  <c r="G580" i="3"/>
  <c r="H580" i="3" s="1"/>
  <c r="G582" i="3"/>
  <c r="H582" i="3" s="1"/>
  <c r="G583" i="3"/>
  <c r="H583" i="3" s="1"/>
  <c r="L205" i="6"/>
  <c r="K206" i="6"/>
  <c r="L206" i="6"/>
  <c r="G590" i="3"/>
  <c r="H590" i="3" s="1"/>
  <c r="G591" i="3"/>
  <c r="H591" i="3" s="1"/>
  <c r="G592" i="3"/>
  <c r="G600" i="3"/>
  <c r="G603" i="3"/>
  <c r="G604" i="3"/>
  <c r="G599" i="3"/>
  <c r="H599" i="3" s="1"/>
  <c r="G605" i="3"/>
  <c r="G606" i="3"/>
  <c r="H606" i="3" s="1"/>
  <c r="G607" i="3"/>
  <c r="H607" i="3" s="1"/>
  <c r="G608" i="3"/>
  <c r="H608" i="3" s="1"/>
  <c r="G609" i="3"/>
  <c r="H609" i="3" s="1"/>
  <c r="G622" i="3"/>
  <c r="H622" i="3" s="1"/>
  <c r="G623" i="3"/>
  <c r="H623" i="3" s="1"/>
  <c r="G629" i="3"/>
  <c r="H629" i="3" s="1"/>
  <c r="G644" i="3"/>
  <c r="G601" i="3"/>
  <c r="H601" i="3" s="1"/>
  <c r="G650" i="3"/>
  <c r="H650" i="3" s="1"/>
  <c r="G594" i="3"/>
  <c r="H594" i="3" s="1"/>
  <c r="H593" i="3" s="1"/>
  <c r="G596" i="3"/>
  <c r="H596" i="3" s="1"/>
  <c r="G597" i="3"/>
  <c r="H597" i="3" s="1"/>
  <c r="G598" i="3"/>
  <c r="H598" i="3" s="1"/>
  <c r="G602" i="3"/>
  <c r="G610" i="3"/>
  <c r="H610" i="3" s="1"/>
  <c r="G611" i="3"/>
  <c r="H611" i="3" s="1"/>
  <c r="G612" i="3"/>
  <c r="H612" i="3" s="1"/>
  <c r="G613" i="3"/>
  <c r="H613" i="3" s="1"/>
  <c r="G614" i="3"/>
  <c r="H614" i="3" s="1"/>
  <c r="G617" i="3"/>
  <c r="G618" i="3"/>
  <c r="H618" i="3" s="1"/>
  <c r="G619" i="3"/>
  <c r="G620" i="3"/>
  <c r="H620" i="3" s="1"/>
  <c r="G625" i="3"/>
  <c r="H625" i="3" s="1"/>
  <c r="G626" i="3"/>
  <c r="H626" i="3" s="1"/>
  <c r="G627" i="3"/>
  <c r="G628" i="3"/>
  <c r="H628" i="3" s="1"/>
  <c r="G630" i="3"/>
  <c r="H630" i="3" s="1"/>
  <c r="G631" i="3"/>
  <c r="H631" i="3" s="1"/>
  <c r="G632" i="3"/>
  <c r="H632" i="3" s="1"/>
  <c r="G633" i="3"/>
  <c r="H633" i="3" s="1"/>
  <c r="G634" i="3"/>
  <c r="H634" i="3" s="1"/>
  <c r="G636" i="3"/>
  <c r="H636" i="3" s="1"/>
  <c r="G637" i="3"/>
  <c r="H637" i="3" s="1"/>
  <c r="G638" i="3"/>
  <c r="H638" i="3" s="1"/>
  <c r="G639" i="3"/>
  <c r="H639" i="3" s="1"/>
  <c r="G640" i="3"/>
  <c r="H640" i="3" s="1"/>
  <c r="G641" i="3"/>
  <c r="H641" i="3" s="1"/>
  <c r="G642" i="3"/>
  <c r="H642" i="3" s="1"/>
  <c r="G643" i="3"/>
  <c r="H643" i="3" s="1"/>
  <c r="G646" i="3"/>
  <c r="H646" i="3" s="1"/>
  <c r="G647" i="3"/>
  <c r="H647" i="3" s="1"/>
  <c r="G648" i="3"/>
  <c r="H648" i="3" s="1"/>
  <c r="G649" i="3"/>
  <c r="H649" i="3" s="1"/>
  <c r="G651" i="3"/>
  <c r="H651" i="3" s="1"/>
  <c r="G652" i="3"/>
  <c r="H652" i="3" s="1"/>
  <c r="G654" i="3"/>
  <c r="H654" i="3" s="1"/>
  <c r="G655" i="3"/>
  <c r="H655" i="3" s="1"/>
  <c r="G662" i="3"/>
  <c r="H662" i="3" s="1"/>
  <c r="G663" i="3"/>
  <c r="H663" i="3" s="1"/>
  <c r="G664" i="3"/>
  <c r="H664" i="3" s="1"/>
  <c r="G675" i="3"/>
  <c r="H675" i="3" s="1"/>
  <c r="G676" i="3"/>
  <c r="H676" i="3" s="1"/>
  <c r="G677" i="3"/>
  <c r="H677" i="3" s="1"/>
  <c r="G678" i="3"/>
  <c r="H678" i="3" s="1"/>
  <c r="G679" i="3"/>
  <c r="H679" i="3" s="1"/>
  <c r="G681" i="3"/>
  <c r="H681" i="3" s="1"/>
  <c r="G694" i="3"/>
  <c r="H694" i="3" s="1"/>
  <c r="G701" i="3"/>
  <c r="G671" i="3"/>
  <c r="H671" i="3" s="1"/>
  <c r="G680" i="3"/>
  <c r="H680" i="3" s="1"/>
  <c r="G695" i="3"/>
  <c r="H695" i="3" s="1"/>
  <c r="G716" i="3"/>
  <c r="G673" i="3"/>
  <c r="H673" i="3" s="1"/>
  <c r="G722" i="3"/>
  <c r="H722" i="3" s="1"/>
  <c r="G666" i="3"/>
  <c r="H666" i="3" s="1"/>
  <c r="H665" i="3" s="1"/>
  <c r="G668" i="3"/>
  <c r="H668" i="3" s="1"/>
  <c r="G669" i="3"/>
  <c r="H669" i="3" s="1"/>
  <c r="G670" i="3"/>
  <c r="H670" i="3" s="1"/>
  <c r="G672" i="3"/>
  <c r="H672" i="3" s="1"/>
  <c r="G674" i="3"/>
  <c r="G682" i="3"/>
  <c r="H682" i="3" s="1"/>
  <c r="G683" i="3"/>
  <c r="H683" i="3" s="1"/>
  <c r="G684" i="3"/>
  <c r="H684" i="3" s="1"/>
  <c r="G685" i="3"/>
  <c r="H685" i="3" s="1"/>
  <c r="G686" i="3"/>
  <c r="H686" i="3" s="1"/>
  <c r="G689" i="3"/>
  <c r="H689" i="3" s="1"/>
  <c r="G690" i="3"/>
  <c r="H690" i="3" s="1"/>
  <c r="G691" i="3"/>
  <c r="H691" i="3" s="1"/>
  <c r="G692" i="3"/>
  <c r="H692" i="3" s="1"/>
  <c r="G697" i="3"/>
  <c r="H697" i="3" s="1"/>
  <c r="G698" i="3"/>
  <c r="G699" i="3"/>
  <c r="H699" i="3" s="1"/>
  <c r="G700" i="3"/>
  <c r="H700" i="3" s="1"/>
  <c r="G702" i="3"/>
  <c r="G703" i="3"/>
  <c r="G704" i="3"/>
  <c r="H704" i="3" s="1"/>
  <c r="G705" i="3"/>
  <c r="H705" i="3" s="1"/>
  <c r="G706" i="3"/>
  <c r="H706" i="3" s="1"/>
  <c r="G708" i="3"/>
  <c r="H708" i="3" s="1"/>
  <c r="G709" i="3"/>
  <c r="H709" i="3" s="1"/>
  <c r="G710" i="3"/>
  <c r="H710" i="3" s="1"/>
  <c r="G711" i="3"/>
  <c r="H711" i="3" s="1"/>
  <c r="G712" i="3"/>
  <c r="G713" i="3"/>
  <c r="H713" i="3" s="1"/>
  <c r="G714" i="3"/>
  <c r="H714" i="3" s="1"/>
  <c r="G715" i="3"/>
  <c r="H715" i="3" s="1"/>
  <c r="G718" i="3"/>
  <c r="H718" i="3" s="1"/>
  <c r="G719" i="3"/>
  <c r="H719" i="3" s="1"/>
  <c r="G720" i="3"/>
  <c r="H720" i="3" s="1"/>
  <c r="G721" i="3"/>
  <c r="H721" i="3" s="1"/>
  <c r="G723" i="3"/>
  <c r="H723" i="3" s="1"/>
  <c r="G724" i="3"/>
  <c r="H724" i="3" s="1"/>
  <c r="G726" i="3"/>
  <c r="H726" i="3" s="1"/>
  <c r="G727" i="3"/>
  <c r="H727" i="3" s="1"/>
  <c r="G806" i="3"/>
  <c r="H806" i="3" s="1"/>
  <c r="G807" i="3"/>
  <c r="H807" i="3" s="1"/>
  <c r="G808" i="3"/>
  <c r="H808" i="3" s="1"/>
  <c r="G819" i="3"/>
  <c r="H819" i="3" s="1"/>
  <c r="G820" i="3"/>
  <c r="H820" i="3" s="1"/>
  <c r="G821" i="3"/>
  <c r="H821" i="3" s="1"/>
  <c r="G825" i="3"/>
  <c r="H825" i="3" s="1"/>
  <c r="G838" i="3"/>
  <c r="H838" i="3" s="1"/>
  <c r="G845" i="3"/>
  <c r="G815" i="3"/>
  <c r="G822" i="3"/>
  <c r="H822" i="3" s="1"/>
  <c r="G823" i="3"/>
  <c r="H823" i="3" s="1"/>
  <c r="G824" i="3"/>
  <c r="H824" i="3" s="1"/>
  <c r="G839" i="3"/>
  <c r="H839" i="3" s="1"/>
  <c r="G860" i="3"/>
  <c r="G817" i="3"/>
  <c r="G866" i="3"/>
  <c r="H866" i="3" s="1"/>
  <c r="G810" i="3"/>
  <c r="H810" i="3" s="1"/>
  <c r="H809" i="3" s="1"/>
  <c r="G812" i="3"/>
  <c r="G813" i="3"/>
  <c r="G814" i="3"/>
  <c r="H814" i="3" s="1"/>
  <c r="G816" i="3"/>
  <c r="H816" i="3" s="1"/>
  <c r="G818" i="3"/>
  <c r="G826" i="3"/>
  <c r="H826" i="3" s="1"/>
  <c r="G827" i="3"/>
  <c r="H827" i="3" s="1"/>
  <c r="G828" i="3"/>
  <c r="H828" i="3" s="1"/>
  <c r="G829" i="3"/>
  <c r="H829" i="3" s="1"/>
  <c r="G830" i="3"/>
  <c r="H830" i="3" s="1"/>
  <c r="G833" i="3"/>
  <c r="G834" i="3"/>
  <c r="G835" i="3"/>
  <c r="H835" i="3" s="1"/>
  <c r="G836" i="3"/>
  <c r="H836" i="3" s="1"/>
  <c r="G841" i="3"/>
  <c r="H841" i="3" s="1"/>
  <c r="G842" i="3"/>
  <c r="H842" i="3" s="1"/>
  <c r="G843" i="3"/>
  <c r="H843" i="3" s="1"/>
  <c r="G844" i="3"/>
  <c r="H844" i="3" s="1"/>
  <c r="G846" i="3"/>
  <c r="G847" i="3"/>
  <c r="G848" i="3"/>
  <c r="H848" i="3" s="1"/>
  <c r="G849" i="3"/>
  <c r="H849" i="3" s="1"/>
  <c r="G850" i="3"/>
  <c r="H850" i="3" s="1"/>
  <c r="G852" i="3"/>
  <c r="H852" i="3" s="1"/>
  <c r="G853" i="3"/>
  <c r="H853" i="3" s="1"/>
  <c r="G854" i="3"/>
  <c r="H854" i="3" s="1"/>
  <c r="G855" i="3"/>
  <c r="G856" i="3"/>
  <c r="H856" i="3" s="1"/>
  <c r="G857" i="3"/>
  <c r="G858" i="3"/>
  <c r="H858" i="3" s="1"/>
  <c r="G859" i="3"/>
  <c r="H859" i="3" s="1"/>
  <c r="G862" i="3"/>
  <c r="H862" i="3" s="1"/>
  <c r="G863" i="3"/>
  <c r="H863" i="3" s="1"/>
  <c r="G864" i="3"/>
  <c r="G865" i="3"/>
  <c r="H865" i="3" s="1"/>
  <c r="G867" i="3"/>
  <c r="H867" i="3" s="1"/>
  <c r="G868" i="3"/>
  <c r="G870" i="3"/>
  <c r="H870" i="3" s="1"/>
  <c r="G871" i="3"/>
  <c r="H871" i="3" s="1"/>
  <c r="G878" i="3"/>
  <c r="H878" i="3" s="1"/>
  <c r="G879" i="3"/>
  <c r="H879" i="3" s="1"/>
  <c r="G880" i="3"/>
  <c r="H880" i="3" s="1"/>
  <c r="G891" i="3"/>
  <c r="H891" i="3" s="1"/>
  <c r="G892" i="3"/>
  <c r="H892" i="3" s="1"/>
  <c r="G893" i="3"/>
  <c r="H893" i="3" s="1"/>
  <c r="G910" i="3"/>
  <c r="H910" i="3" s="1"/>
  <c r="G917" i="3"/>
  <c r="G897" i="3"/>
  <c r="G887" i="3"/>
  <c r="H887" i="3" s="1"/>
  <c r="G894" i="3"/>
  <c r="H894" i="3" s="1"/>
  <c r="G895" i="3"/>
  <c r="H895" i="3" s="1"/>
  <c r="G896" i="3"/>
  <c r="H896" i="3" s="1"/>
  <c r="G911" i="3"/>
  <c r="H911" i="3" s="1"/>
  <c r="G932" i="3"/>
  <c r="H932" i="3" s="1"/>
  <c r="H21" i="1" s="1"/>
  <c r="G889" i="3"/>
  <c r="G938" i="3"/>
  <c r="H938" i="3" s="1"/>
  <c r="G882" i="3"/>
  <c r="H882" i="3" s="1"/>
  <c r="H881" i="3" s="1"/>
  <c r="G884" i="3"/>
  <c r="H884" i="3" s="1"/>
  <c r="G885" i="3"/>
  <c r="G886" i="3"/>
  <c r="H886" i="3" s="1"/>
  <c r="G888" i="3"/>
  <c r="H888" i="3" s="1"/>
  <c r="G890" i="3"/>
  <c r="G898" i="3"/>
  <c r="H898" i="3" s="1"/>
  <c r="G899" i="3"/>
  <c r="H899" i="3" s="1"/>
  <c r="G900" i="3"/>
  <c r="H900" i="3" s="1"/>
  <c r="G901" i="3"/>
  <c r="H901" i="3" s="1"/>
  <c r="G902" i="3"/>
  <c r="H902" i="3" s="1"/>
  <c r="G905" i="3"/>
  <c r="G906" i="3"/>
  <c r="G907" i="3"/>
  <c r="H907" i="3" s="1"/>
  <c r="G908" i="3"/>
  <c r="H908" i="3" s="1"/>
  <c r="G913" i="3"/>
  <c r="H913" i="3" s="1"/>
  <c r="G914" i="3"/>
  <c r="H914" i="3" s="1"/>
  <c r="G915" i="3"/>
  <c r="H915" i="3" s="1"/>
  <c r="G916" i="3"/>
  <c r="G918" i="3"/>
  <c r="G919" i="3"/>
  <c r="G920" i="3"/>
  <c r="H920" i="3" s="1"/>
  <c r="G921" i="3"/>
  <c r="H921" i="3" s="1"/>
  <c r="G922" i="3"/>
  <c r="H922" i="3" s="1"/>
  <c r="G924" i="3"/>
  <c r="H924" i="3" s="1"/>
  <c r="G925" i="3"/>
  <c r="H925" i="3" s="1"/>
  <c r="G926" i="3"/>
  <c r="H926" i="3" s="1"/>
  <c r="G927" i="3"/>
  <c r="G928" i="3"/>
  <c r="H928" i="3" s="1"/>
  <c r="G929" i="3"/>
  <c r="H929" i="3" s="1"/>
  <c r="G930" i="3"/>
  <c r="H930" i="3" s="1"/>
  <c r="G931" i="3"/>
  <c r="H931" i="3" s="1"/>
  <c r="G934" i="3"/>
  <c r="H934" i="3" s="1"/>
  <c r="G935" i="3"/>
  <c r="H935" i="3" s="1"/>
  <c r="G936" i="3"/>
  <c r="G937" i="3"/>
  <c r="H937" i="3" s="1"/>
  <c r="G939" i="3"/>
  <c r="H939" i="3" s="1"/>
  <c r="G940" i="3"/>
  <c r="H940" i="3" s="1"/>
  <c r="G942" i="3"/>
  <c r="H942" i="3" s="1"/>
  <c r="G943" i="3"/>
  <c r="H943" i="3" s="1"/>
  <c r="G949" i="3"/>
  <c r="G950" i="3"/>
  <c r="H950" i="3" s="1"/>
  <c r="G951" i="3"/>
  <c r="H951" i="3" s="1"/>
  <c r="G952" i="3"/>
  <c r="H952" i="3" s="1"/>
  <c r="G959" i="3"/>
  <c r="H959" i="3" s="1"/>
  <c r="G963" i="3"/>
  <c r="H963" i="3" s="1"/>
  <c r="G964" i="3"/>
  <c r="H964" i="3" s="1"/>
  <c r="G965" i="3"/>
  <c r="G966" i="3"/>
  <c r="H966" i="3" s="1"/>
  <c r="G967" i="3"/>
  <c r="H967" i="3" s="1"/>
  <c r="G968" i="3"/>
  <c r="H968" i="3" s="1"/>
  <c r="G969" i="3"/>
  <c r="H969" i="3" s="1"/>
  <c r="G982" i="3"/>
  <c r="G983" i="3"/>
  <c r="H983" i="3" s="1"/>
  <c r="G989" i="3"/>
  <c r="G1004" i="3"/>
  <c r="G961" i="3"/>
  <c r="G1010" i="3"/>
  <c r="G954" i="3"/>
  <c r="G953" i="3" s="1"/>
  <c r="G956" i="3"/>
  <c r="H956" i="3" s="1"/>
  <c r="G957" i="3"/>
  <c r="G958" i="3"/>
  <c r="G960" i="3"/>
  <c r="H960" i="3" s="1"/>
  <c r="G962" i="3"/>
  <c r="G970" i="3"/>
  <c r="H970" i="3" s="1"/>
  <c r="G971" i="3"/>
  <c r="H971" i="3" s="1"/>
  <c r="G972" i="3"/>
  <c r="H972" i="3" s="1"/>
  <c r="G973" i="3"/>
  <c r="H973" i="3" s="1"/>
  <c r="G974" i="3"/>
  <c r="G977" i="3"/>
  <c r="G978" i="3"/>
  <c r="G979" i="3"/>
  <c r="G980" i="3"/>
  <c r="H980" i="3" s="1"/>
  <c r="G985" i="3"/>
  <c r="H985" i="3" s="1"/>
  <c r="G986" i="3"/>
  <c r="G987" i="3"/>
  <c r="H987" i="3" s="1"/>
  <c r="G988" i="3"/>
  <c r="H988" i="3" s="1"/>
  <c r="G990" i="3"/>
  <c r="G991" i="3"/>
  <c r="H991" i="3" s="1"/>
  <c r="G992" i="3"/>
  <c r="H992" i="3" s="1"/>
  <c r="G993" i="3"/>
  <c r="G994" i="3"/>
  <c r="H994" i="3" s="1"/>
  <c r="G996" i="3"/>
  <c r="H996" i="3" s="1"/>
  <c r="G997" i="3"/>
  <c r="H997" i="3" s="1"/>
  <c r="G998" i="3"/>
  <c r="H998" i="3" s="1"/>
  <c r="G999" i="3"/>
  <c r="G1000" i="3"/>
  <c r="H1000" i="3" s="1"/>
  <c r="G1001" i="3"/>
  <c r="H1001" i="3" s="1"/>
  <c r="G1002" i="3"/>
  <c r="H1002" i="3" s="1"/>
  <c r="G1003" i="3"/>
  <c r="H1003" i="3" s="1"/>
  <c r="G1006" i="3"/>
  <c r="G1007" i="3"/>
  <c r="H1007" i="3" s="1"/>
  <c r="G1008" i="3"/>
  <c r="G1009" i="3"/>
  <c r="G1011" i="3"/>
  <c r="G1012" i="3"/>
  <c r="H1012" i="3" s="1"/>
  <c r="G1014" i="3"/>
  <c r="G1015" i="3"/>
  <c r="H1015" i="3" s="1"/>
  <c r="G1021" i="3"/>
  <c r="D1021" i="3"/>
  <c r="D1020" i="3" s="1"/>
  <c r="G1031" i="3"/>
  <c r="H1031" i="3" s="1"/>
  <c r="G1035" i="3"/>
  <c r="H1035" i="3" s="1"/>
  <c r="G1036" i="3"/>
  <c r="H1036" i="3" s="1"/>
  <c r="G1037" i="3"/>
  <c r="H1037" i="3" s="1"/>
  <c r="G1038" i="3"/>
  <c r="H1038" i="3" s="1"/>
  <c r="G1039" i="3"/>
  <c r="H1039" i="3" s="1"/>
  <c r="G1040" i="3"/>
  <c r="H1040" i="3" s="1"/>
  <c r="G1041" i="3"/>
  <c r="H1041" i="3" s="1"/>
  <c r="G1054" i="3"/>
  <c r="H1054" i="3" s="1"/>
  <c r="G1055" i="3"/>
  <c r="G1061" i="3"/>
  <c r="G1076" i="3"/>
  <c r="H1076" i="3"/>
  <c r="H23" i="1" s="1"/>
  <c r="G1022" i="3"/>
  <c r="G1023" i="3"/>
  <c r="H1023" i="3" s="1"/>
  <c r="G1024" i="3"/>
  <c r="H1024" i="3" s="1"/>
  <c r="G1026" i="3"/>
  <c r="H1026" i="3" s="1"/>
  <c r="H1025" i="3" s="1"/>
  <c r="G1028" i="3"/>
  <c r="H1028" i="3" s="1"/>
  <c r="G1029" i="3"/>
  <c r="G1030" i="3"/>
  <c r="H1030" i="3" s="1"/>
  <c r="G1032" i="3"/>
  <c r="H1032" i="3" s="1"/>
  <c r="G1033" i="3"/>
  <c r="G1034" i="3"/>
  <c r="G1042" i="3"/>
  <c r="H1042" i="3" s="1"/>
  <c r="G1043" i="3"/>
  <c r="H1043" i="3" s="1"/>
  <c r="G1044" i="3"/>
  <c r="H1044" i="3" s="1"/>
  <c r="G1045" i="3"/>
  <c r="H1045" i="3" s="1"/>
  <c r="G1046" i="3"/>
  <c r="H1046" i="3" s="1"/>
  <c r="G1049" i="3"/>
  <c r="H1049" i="3" s="1"/>
  <c r="G1050" i="3"/>
  <c r="G1051" i="3"/>
  <c r="H1051" i="3" s="1"/>
  <c r="G1052" i="3"/>
  <c r="H1052" i="3" s="1"/>
  <c r="G1057" i="3"/>
  <c r="H1057" i="3" s="1"/>
  <c r="G1058" i="3"/>
  <c r="H1058" i="3" s="1"/>
  <c r="G1059" i="3"/>
  <c r="G1060" i="3"/>
  <c r="H1060" i="3" s="1"/>
  <c r="G1062" i="3"/>
  <c r="G1063" i="3"/>
  <c r="H1063" i="3" s="1"/>
  <c r="G1064" i="3"/>
  <c r="H1064" i="3" s="1"/>
  <c r="G1065" i="3"/>
  <c r="G1066" i="3"/>
  <c r="H1066" i="3" s="1"/>
  <c r="G1068" i="3"/>
  <c r="H1068" i="3" s="1"/>
  <c r="G1069" i="3"/>
  <c r="G1070" i="3"/>
  <c r="H1070" i="3" s="1"/>
  <c r="G1071" i="3"/>
  <c r="H1071" i="3" s="1"/>
  <c r="G1072" i="3"/>
  <c r="H1072" i="3" s="1"/>
  <c r="G1073" i="3"/>
  <c r="H1073" i="3" s="1"/>
  <c r="G1074" i="3"/>
  <c r="H1074" i="3" s="1"/>
  <c r="G1075" i="3"/>
  <c r="H1075" i="3" s="1"/>
  <c r="G1078" i="3"/>
  <c r="H1078" i="3" s="1"/>
  <c r="G1079" i="3"/>
  <c r="H1079" i="3" s="1"/>
  <c r="G1080" i="3"/>
  <c r="H1080" i="3" s="1"/>
  <c r="G1081" i="3"/>
  <c r="H1081" i="3" s="1"/>
  <c r="G1082" i="3"/>
  <c r="H1082" i="3" s="1"/>
  <c r="G1083" i="3"/>
  <c r="H1083" i="3" s="1"/>
  <c r="G1084" i="3"/>
  <c r="H1084" i="3" s="1"/>
  <c r="G1086" i="3"/>
  <c r="G1087" i="3"/>
  <c r="H1087" i="3" s="1"/>
  <c r="F305" i="1"/>
  <c r="F231" i="1"/>
  <c r="D696" i="3"/>
  <c r="K12" i="2"/>
  <c r="D10" i="5" s="1"/>
  <c r="F86" i="1"/>
  <c r="E205" i="1"/>
  <c r="E208" i="1"/>
  <c r="L221" i="6"/>
  <c r="L216" i="6"/>
  <c r="L218" i="6"/>
  <c r="E301" i="1"/>
  <c r="F67" i="1"/>
  <c r="E67" i="1"/>
  <c r="F70" i="1"/>
  <c r="E70" i="1"/>
  <c r="D305" i="1"/>
  <c r="K182" i="6"/>
  <c r="K164" i="6"/>
  <c r="L137" i="6"/>
  <c r="L135" i="6"/>
  <c r="K180" i="6"/>
  <c r="L136" i="6"/>
  <c r="L71" i="6"/>
  <c r="L246" i="6"/>
  <c r="D107" i="11"/>
  <c r="L184" i="6"/>
  <c r="L118" i="6"/>
  <c r="L70" i="6"/>
  <c r="D213" i="3"/>
  <c r="D17" i="3"/>
  <c r="L25" i="6"/>
  <c r="L18" i="6"/>
  <c r="L19" i="6"/>
  <c r="L20" i="6"/>
  <c r="L21" i="6"/>
  <c r="L22" i="6"/>
  <c r="L23" i="6"/>
  <c r="L24"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2" i="6"/>
  <c r="L73" i="6"/>
  <c r="L74" i="6"/>
  <c r="L75" i="6"/>
  <c r="L78" i="6"/>
  <c r="L79" i="6"/>
  <c r="L140" i="6"/>
  <c r="L141" i="6"/>
  <c r="L142" i="6"/>
  <c r="L143" i="6"/>
  <c r="L144" i="6"/>
  <c r="L145" i="6"/>
  <c r="L146" i="6"/>
  <c r="L147" i="6"/>
  <c r="L148" i="6"/>
  <c r="L149" i="6"/>
  <c r="L150" i="6"/>
  <c r="L151" i="6"/>
  <c r="L152" i="6"/>
  <c r="L153" i="6"/>
  <c r="L154" i="6"/>
  <c r="L155" i="6"/>
  <c r="L156" i="6"/>
  <c r="L159" i="6"/>
  <c r="L160" i="6"/>
  <c r="L164" i="6"/>
  <c r="L165" i="6"/>
  <c r="L166" i="6"/>
  <c r="L167" i="6"/>
  <c r="L168" i="6"/>
  <c r="L169" i="6"/>
  <c r="L170" i="6"/>
  <c r="L171" i="6"/>
  <c r="L172" i="6"/>
  <c r="L173" i="6"/>
  <c r="L174" i="6"/>
  <c r="L175" i="6"/>
  <c r="L176" i="6"/>
  <c r="L177" i="6"/>
  <c r="L178" i="6"/>
  <c r="L179" i="6"/>
  <c r="L181" i="6"/>
  <c r="L183" i="6"/>
  <c r="L185" i="6"/>
  <c r="L186" i="6"/>
  <c r="L187" i="6"/>
  <c r="L188" i="6"/>
  <c r="L189" i="6"/>
  <c r="L190" i="6"/>
  <c r="L191" i="6"/>
  <c r="L192" i="6"/>
  <c r="L193" i="6"/>
  <c r="L194" i="6"/>
  <c r="L195" i="6"/>
  <c r="L196" i="6"/>
  <c r="L197" i="6"/>
  <c r="L198" i="6"/>
  <c r="L199" i="6"/>
  <c r="L200" i="6"/>
  <c r="L201" i="6"/>
  <c r="L203" i="6"/>
  <c r="L204" i="6"/>
  <c r="L207" i="6"/>
  <c r="L208" i="6"/>
  <c r="L209" i="6"/>
  <c r="L210" i="6"/>
  <c r="L211" i="6"/>
  <c r="L212" i="6"/>
  <c r="L213" i="6"/>
  <c r="L214" i="6"/>
  <c r="L215" i="6"/>
  <c r="L217" i="6"/>
  <c r="L219" i="6"/>
  <c r="L220" i="6"/>
  <c r="L222" i="6"/>
  <c r="L223" i="6"/>
  <c r="L224" i="6"/>
  <c r="L225" i="6"/>
  <c r="L226" i="6"/>
  <c r="L227" i="6"/>
  <c r="L228" i="6"/>
  <c r="L229" i="6"/>
  <c r="L230" i="6"/>
  <c r="L231" i="6"/>
  <c r="L232" i="6"/>
  <c r="L233" i="6"/>
  <c r="L234" i="6"/>
  <c r="L235" i="6"/>
  <c r="L236" i="6"/>
  <c r="L237" i="6"/>
  <c r="L238" i="6"/>
  <c r="L239" i="6"/>
  <c r="L240" i="6"/>
  <c r="L241" i="6"/>
  <c r="L242" i="6"/>
  <c r="L243" i="6"/>
  <c r="L244"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12" i="6"/>
  <c r="L13" i="6"/>
  <c r="L14" i="6"/>
  <c r="L15" i="6"/>
  <c r="L16" i="6"/>
  <c r="L17" i="6"/>
  <c r="D797" i="3"/>
  <c r="D995" i="3"/>
  <c r="D923" i="3"/>
  <c r="D131" i="3"/>
  <c r="H223" i="3"/>
  <c r="D192" i="3"/>
  <c r="D1005" i="3"/>
  <c r="D976" i="3"/>
  <c r="D953" i="3"/>
  <c r="D69" i="3"/>
  <c r="D48" i="3"/>
  <c r="D59" i="3"/>
  <c r="D912" i="3"/>
  <c r="D904" i="3"/>
  <c r="D883" i="3"/>
  <c r="D861" i="3"/>
  <c r="D840" i="3"/>
  <c r="D832" i="3"/>
  <c r="D811" i="3"/>
  <c r="D141" i="3"/>
  <c r="D120" i="3"/>
  <c r="D112" i="3"/>
  <c r="D91" i="3"/>
  <c r="Y96" i="2"/>
  <c r="Y95" i="2"/>
  <c r="G214" i="1"/>
  <c r="F214" i="1"/>
  <c r="E214" i="1"/>
  <c r="Y65" i="2"/>
  <c r="K55" i="2"/>
  <c r="O55" i="2" s="1"/>
  <c r="L54" i="2"/>
  <c r="F169" i="1" s="1"/>
  <c r="M54" i="2"/>
  <c r="K54" i="2"/>
  <c r="O54" i="2" s="1"/>
  <c r="K49" i="2"/>
  <c r="E154" i="1" s="1"/>
  <c r="H47" i="5"/>
  <c r="P49" i="5"/>
  <c r="Q49" i="5"/>
  <c r="R49" i="5"/>
  <c r="M51" i="2"/>
  <c r="J49" i="5"/>
  <c r="L51" i="2"/>
  <c r="P51" i="2" s="1"/>
  <c r="I49" i="5"/>
  <c r="K51" i="2"/>
  <c r="O51" i="2" s="1"/>
  <c r="H49" i="5"/>
  <c r="P71" i="5"/>
  <c r="P72" i="5"/>
  <c r="K75" i="2"/>
  <c r="E236" i="1" s="1"/>
  <c r="H238" i="1" s="1"/>
  <c r="H71" i="5"/>
  <c r="K76" i="2"/>
  <c r="H72" i="5"/>
  <c r="B72" i="5"/>
  <c r="B71" i="5"/>
  <c r="P14" i="5"/>
  <c r="O14" i="5" s="1"/>
  <c r="E47" i="1"/>
  <c r="H14" i="5"/>
  <c r="G14" i="5"/>
  <c r="D36" i="1"/>
  <c r="E36" i="1"/>
  <c r="F36" i="1"/>
  <c r="G36" i="1"/>
  <c r="M12" i="2"/>
  <c r="Q12" i="2" s="1"/>
  <c r="D39" i="1"/>
  <c r="K13" i="2"/>
  <c r="E39" i="1"/>
  <c r="F39" i="1"/>
  <c r="L13" i="2"/>
  <c r="E11" i="5" s="1"/>
  <c r="G39" i="1"/>
  <c r="M13" i="2"/>
  <c r="Q13" i="2" s="1"/>
  <c r="D42" i="1"/>
  <c r="K14" i="2"/>
  <c r="K20" i="2" s="1"/>
  <c r="E42" i="1"/>
  <c r="F42" i="1"/>
  <c r="L14" i="2"/>
  <c r="P14" i="2" s="1"/>
  <c r="G42" i="1"/>
  <c r="M14" i="2"/>
  <c r="D45" i="1"/>
  <c r="K15" i="2"/>
  <c r="K21" i="2" s="1"/>
  <c r="E45" i="1"/>
  <c r="F45" i="1"/>
  <c r="L15" i="2"/>
  <c r="E13" i="5" s="1"/>
  <c r="G45" i="1"/>
  <c r="M15" i="2"/>
  <c r="F13" i="5" s="1"/>
  <c r="E54" i="1"/>
  <c r="F54" i="1"/>
  <c r="G54" i="1"/>
  <c r="E57" i="1"/>
  <c r="F57" i="1"/>
  <c r="G57" i="1"/>
  <c r="E60" i="1"/>
  <c r="F60" i="1"/>
  <c r="G60" i="1"/>
  <c r="E63" i="1"/>
  <c r="F63" i="1"/>
  <c r="G63" i="1"/>
  <c r="D48" i="1"/>
  <c r="E48" i="1"/>
  <c r="F48" i="1"/>
  <c r="F49" i="1" s="1"/>
  <c r="G48" i="1"/>
  <c r="G49" i="1" s="1"/>
  <c r="E305" i="1"/>
  <c r="K96" i="2"/>
  <c r="J96" i="2" s="1"/>
  <c r="D304" i="1" s="1"/>
  <c r="L96" i="2"/>
  <c r="G305" i="1"/>
  <c r="M96" i="2"/>
  <c r="F92" i="5" s="1"/>
  <c r="C174" i="11"/>
  <c r="D993" i="3"/>
  <c r="D984" i="3" s="1"/>
  <c r="D174" i="11"/>
  <c r="E174" i="11"/>
  <c r="N174" i="11"/>
  <c r="D1065" i="3"/>
  <c r="E31" i="9"/>
  <c r="E37" i="9" s="1"/>
  <c r="E57" i="3" s="1"/>
  <c r="G57" i="3" s="1"/>
  <c r="H57" i="3" s="1"/>
  <c r="E32" i="9"/>
  <c r="E33" i="9"/>
  <c r="E34" i="9"/>
  <c r="E35" i="9"/>
  <c r="E36" i="9"/>
  <c r="K68" i="4"/>
  <c r="K69" i="4"/>
  <c r="K70" i="4"/>
  <c r="K71" i="4"/>
  <c r="K72" i="4"/>
  <c r="K15" i="4"/>
  <c r="N15" i="4" s="1"/>
  <c r="K16" i="4"/>
  <c r="N16" i="4" s="1"/>
  <c r="K17" i="4"/>
  <c r="N17" i="4" s="1"/>
  <c r="K18" i="4"/>
  <c r="N18" i="4" s="1"/>
  <c r="K19" i="4"/>
  <c r="N19" i="4" s="1"/>
  <c r="K20" i="4"/>
  <c r="N20" i="4" s="1"/>
  <c r="K21" i="4"/>
  <c r="N21" i="4" s="1"/>
  <c r="K22" i="4"/>
  <c r="N22" i="4" s="1"/>
  <c r="K23" i="4"/>
  <c r="N23" i="4" s="1"/>
  <c r="K24" i="4"/>
  <c r="N24" i="4" s="1"/>
  <c r="K25" i="4"/>
  <c r="N25" i="4" s="1"/>
  <c r="K26" i="4"/>
  <c r="N26" i="4" s="1"/>
  <c r="K27" i="4"/>
  <c r="N27" i="4" s="1"/>
  <c r="K28" i="4"/>
  <c r="N28" i="4" s="1"/>
  <c r="K29" i="4"/>
  <c r="P29" i="4" s="1"/>
  <c r="K30" i="4"/>
  <c r="N30" i="4" s="1"/>
  <c r="K31" i="4"/>
  <c r="N31" i="4" s="1"/>
  <c r="K32" i="4"/>
  <c r="N32" i="4" s="1"/>
  <c r="K33" i="4"/>
  <c r="N33" i="4" s="1"/>
  <c r="K34" i="4"/>
  <c r="N34" i="4" s="1"/>
  <c r="K35" i="4"/>
  <c r="N35" i="4" s="1"/>
  <c r="K36" i="4"/>
  <c r="N36" i="4" s="1"/>
  <c r="K37" i="4"/>
  <c r="N37" i="4" s="1"/>
  <c r="K38" i="4"/>
  <c r="N38" i="4" s="1"/>
  <c r="K39" i="4"/>
  <c r="N39" i="4" s="1"/>
  <c r="K40" i="4"/>
  <c r="N40" i="4" s="1"/>
  <c r="K41" i="4"/>
  <c r="N41" i="4" s="1"/>
  <c r="K42" i="4"/>
  <c r="N42" i="4" s="1"/>
  <c r="K43" i="4"/>
  <c r="N43" i="4" s="1"/>
  <c r="K44" i="4"/>
  <c r="N44" i="4" s="1"/>
  <c r="K45" i="4"/>
  <c r="N45" i="4" s="1"/>
  <c r="K46" i="4"/>
  <c r="N46" i="4" s="1"/>
  <c r="K47" i="4"/>
  <c r="R47" i="4" s="1"/>
  <c r="K48" i="4"/>
  <c r="N48" i="4" s="1"/>
  <c r="K49" i="4"/>
  <c r="N49" i="4" s="1"/>
  <c r="K50" i="4"/>
  <c r="N50" i="4" s="1"/>
  <c r="K51" i="4"/>
  <c r="N51" i="4" s="1"/>
  <c r="K52" i="4"/>
  <c r="N52" i="4" s="1"/>
  <c r="K53" i="4"/>
  <c r="N53" i="4" s="1"/>
  <c r="K54" i="4"/>
  <c r="N54" i="4" s="1"/>
  <c r="K55" i="4"/>
  <c r="R55" i="4" s="1"/>
  <c r="K56" i="4"/>
  <c r="N56" i="4" s="1"/>
  <c r="K57" i="4"/>
  <c r="N57" i="4" s="1"/>
  <c r="K58" i="4"/>
  <c r="N58" i="4" s="1"/>
  <c r="K59" i="4"/>
  <c r="N59" i="4" s="1"/>
  <c r="K60" i="4"/>
  <c r="N60" i="4" s="1"/>
  <c r="K61" i="4"/>
  <c r="N61" i="4" s="1"/>
  <c r="W41" i="4"/>
  <c r="W46" i="4"/>
  <c r="W49" i="4"/>
  <c r="W60" i="4"/>
  <c r="W73" i="4"/>
  <c r="W81" i="4"/>
  <c r="W16" i="4"/>
  <c r="W20" i="4"/>
  <c r="D67" i="1"/>
  <c r="K22" i="2"/>
  <c r="D20" i="5" s="1"/>
  <c r="L22" i="2"/>
  <c r="G67" i="1"/>
  <c r="M22" i="2"/>
  <c r="Q22" i="2" s="1"/>
  <c r="D70" i="1"/>
  <c r="K23" i="2"/>
  <c r="G70" i="1"/>
  <c r="M23" i="2"/>
  <c r="D73" i="1"/>
  <c r="K24" i="2"/>
  <c r="E73" i="1"/>
  <c r="F73" i="1"/>
  <c r="L24" i="2"/>
  <c r="P24" i="2" s="1"/>
  <c r="G73" i="1"/>
  <c r="M24" i="2"/>
  <c r="Q24" i="2" s="1"/>
  <c r="E79" i="1"/>
  <c r="F79" i="1"/>
  <c r="G79" i="1"/>
  <c r="E82" i="1"/>
  <c r="F82" i="1"/>
  <c r="G82" i="1"/>
  <c r="D86" i="1"/>
  <c r="K28" i="2"/>
  <c r="C32" i="7" s="1"/>
  <c r="E86" i="1"/>
  <c r="L28" i="2"/>
  <c r="E26" i="5" s="1"/>
  <c r="G86" i="1"/>
  <c r="M28" i="2"/>
  <c r="E32" i="7" s="1"/>
  <c r="D89" i="1"/>
  <c r="K29" i="2"/>
  <c r="E89" i="1"/>
  <c r="F89" i="1"/>
  <c r="L29" i="2"/>
  <c r="G89" i="1"/>
  <c r="M29" i="2"/>
  <c r="D95" i="1"/>
  <c r="K30" i="2"/>
  <c r="D28" i="5" s="1"/>
  <c r="E95" i="1"/>
  <c r="F95" i="1"/>
  <c r="L30" i="2"/>
  <c r="D34" i="7" s="1"/>
  <c r="G95" i="1"/>
  <c r="M30" i="2"/>
  <c r="D98" i="1"/>
  <c r="K31" i="2"/>
  <c r="E98" i="1"/>
  <c r="F98" i="1"/>
  <c r="L31" i="2"/>
  <c r="P31" i="2" s="1"/>
  <c r="G98" i="1"/>
  <c r="M31" i="2"/>
  <c r="E35" i="7" s="1"/>
  <c r="E101" i="1"/>
  <c r="K32" i="2"/>
  <c r="O32" i="2" s="1"/>
  <c r="F101" i="1"/>
  <c r="L32" i="2"/>
  <c r="D36" i="7" s="1"/>
  <c r="G101" i="1"/>
  <c r="M32" i="2"/>
  <c r="E104" i="1"/>
  <c r="K33" i="2"/>
  <c r="C37" i="7" s="1"/>
  <c r="F104" i="1"/>
  <c r="L33" i="2"/>
  <c r="G104" i="1"/>
  <c r="M33" i="2"/>
  <c r="E37" i="7" s="1"/>
  <c r="E107" i="1"/>
  <c r="K34" i="2"/>
  <c r="F107" i="1"/>
  <c r="L34" i="2"/>
  <c r="E32" i="5" s="1"/>
  <c r="G107" i="1"/>
  <c r="M34" i="2"/>
  <c r="D110" i="1"/>
  <c r="D109" i="1"/>
  <c r="E110" i="1"/>
  <c r="K35" i="2"/>
  <c r="D33" i="5" s="1"/>
  <c r="F110" i="1"/>
  <c r="L35" i="2"/>
  <c r="E33" i="5" s="1"/>
  <c r="G110" i="1"/>
  <c r="M35" i="2"/>
  <c r="D113" i="1"/>
  <c r="K36" i="2"/>
  <c r="D34" i="5" s="1"/>
  <c r="E113" i="1"/>
  <c r="F113" i="1"/>
  <c r="L36" i="2"/>
  <c r="P36" i="2" s="1"/>
  <c r="G113" i="1"/>
  <c r="M36" i="2"/>
  <c r="M39" i="2" s="1"/>
  <c r="D116" i="1"/>
  <c r="K37" i="2"/>
  <c r="O37" i="2" s="1"/>
  <c r="E116" i="1"/>
  <c r="F116" i="1"/>
  <c r="L37" i="2"/>
  <c r="G116" i="1"/>
  <c r="M37" i="2"/>
  <c r="E122" i="1"/>
  <c r="F122" i="1"/>
  <c r="G122" i="1"/>
  <c r="E125" i="1"/>
  <c r="F125" i="1"/>
  <c r="G125" i="1"/>
  <c r="E128" i="1"/>
  <c r="K41" i="2"/>
  <c r="D39" i="5" s="1"/>
  <c r="F128" i="1"/>
  <c r="L41" i="2"/>
  <c r="E39" i="5" s="1"/>
  <c r="G128" i="1"/>
  <c r="M41" i="2"/>
  <c r="F39" i="5" s="1"/>
  <c r="E131" i="1"/>
  <c r="K42" i="2"/>
  <c r="F131" i="1"/>
  <c r="L42" i="2"/>
  <c r="E40" i="5" s="1"/>
  <c r="G131" i="1"/>
  <c r="M42" i="2"/>
  <c r="E134" i="1"/>
  <c r="K43" i="2"/>
  <c r="D41" i="5" s="1"/>
  <c r="F134" i="1"/>
  <c r="L43" i="2"/>
  <c r="G134" i="1"/>
  <c r="M43" i="2"/>
  <c r="E47" i="7" s="1"/>
  <c r="E137" i="1"/>
  <c r="K44" i="2"/>
  <c r="C48" i="7" s="1"/>
  <c r="F137" i="1"/>
  <c r="L44" i="2"/>
  <c r="E42" i="5" s="1"/>
  <c r="G137" i="1"/>
  <c r="M44" i="2"/>
  <c r="E48" i="7" s="1"/>
  <c r="D92" i="1"/>
  <c r="E92" i="1"/>
  <c r="F92" i="1"/>
  <c r="G92" i="1"/>
  <c r="E141" i="1"/>
  <c r="K45" i="2"/>
  <c r="F141" i="1"/>
  <c r="L45" i="2"/>
  <c r="E43" i="5" s="1"/>
  <c r="G141" i="1"/>
  <c r="M45" i="2"/>
  <c r="E144" i="1"/>
  <c r="K46" i="2"/>
  <c r="F144" i="1"/>
  <c r="L46" i="2"/>
  <c r="G144" i="1"/>
  <c r="M46" i="2"/>
  <c r="E148" i="1"/>
  <c r="K47" i="2"/>
  <c r="O47" i="2" s="1"/>
  <c r="F148" i="1"/>
  <c r="L47" i="2"/>
  <c r="G148" i="1"/>
  <c r="M47" i="2"/>
  <c r="Q47" i="2" s="1"/>
  <c r="E151" i="1"/>
  <c r="K48" i="2"/>
  <c r="F151" i="1"/>
  <c r="L48" i="2"/>
  <c r="E46" i="5" s="1"/>
  <c r="G151" i="1"/>
  <c r="M48" i="2"/>
  <c r="F46" i="5" s="1"/>
  <c r="D155" i="1"/>
  <c r="E155" i="1"/>
  <c r="F155" i="1"/>
  <c r="L49" i="2"/>
  <c r="P49" i="2" s="1"/>
  <c r="G155" i="1"/>
  <c r="M49" i="2"/>
  <c r="Q49" i="2" s="1"/>
  <c r="E158" i="1"/>
  <c r="K50" i="2"/>
  <c r="D48" i="5" s="1"/>
  <c r="F158" i="1"/>
  <c r="L50" i="2"/>
  <c r="G158" i="1"/>
  <c r="M50" i="2"/>
  <c r="F48" i="5" s="1"/>
  <c r="E161" i="1"/>
  <c r="F161" i="1"/>
  <c r="G161" i="1"/>
  <c r="E164" i="1"/>
  <c r="E167" i="1"/>
  <c r="K53" i="2"/>
  <c r="D51" i="5" s="1"/>
  <c r="E170" i="1"/>
  <c r="F170" i="1"/>
  <c r="G170" i="1"/>
  <c r="E173" i="1"/>
  <c r="E176" i="1"/>
  <c r="K56" i="2"/>
  <c r="O56" i="2" s="1"/>
  <c r="F176" i="1"/>
  <c r="L56" i="2"/>
  <c r="G176" i="1"/>
  <c r="M56" i="2"/>
  <c r="E179" i="1"/>
  <c r="C57" i="7"/>
  <c r="F179" i="1"/>
  <c r="G179" i="1"/>
  <c r="E182" i="1"/>
  <c r="K58" i="2"/>
  <c r="F182" i="1"/>
  <c r="L58" i="2"/>
  <c r="G182" i="1"/>
  <c r="M58" i="2"/>
  <c r="Q58" i="2" s="1"/>
  <c r="E185" i="1"/>
  <c r="K59" i="2"/>
  <c r="O59" i="2" s="1"/>
  <c r="E188" i="1"/>
  <c r="K60" i="2"/>
  <c r="F188" i="1"/>
  <c r="L60" i="2"/>
  <c r="D59" i="7" s="1"/>
  <c r="G59" i="7" s="1"/>
  <c r="G188" i="1"/>
  <c r="M60" i="2"/>
  <c r="E191" i="1"/>
  <c r="K64" i="2"/>
  <c r="O64" i="2" s="1"/>
  <c r="F191" i="1"/>
  <c r="L64" i="2"/>
  <c r="G191" i="1"/>
  <c r="M64" i="2"/>
  <c r="F60" i="5" s="1"/>
  <c r="E194" i="1"/>
  <c r="K67" i="2"/>
  <c r="F194" i="1"/>
  <c r="L67" i="2"/>
  <c r="E63" i="5" s="1"/>
  <c r="G194" i="1"/>
  <c r="M67" i="2"/>
  <c r="E198" i="1"/>
  <c r="K63" i="2"/>
  <c r="F198" i="1"/>
  <c r="L63" i="2"/>
  <c r="D62" i="7" s="1"/>
  <c r="G198" i="1"/>
  <c r="M63" i="2"/>
  <c r="Q63" i="2" s="1"/>
  <c r="E201" i="1"/>
  <c r="F201" i="1"/>
  <c r="G201" i="1"/>
  <c r="K65" i="2"/>
  <c r="O65" i="2" s="1"/>
  <c r="F205" i="1"/>
  <c r="L65" i="2"/>
  <c r="G205" i="1"/>
  <c r="M65" i="2"/>
  <c r="Q65" i="2" s="1"/>
  <c r="D208" i="1"/>
  <c r="K66" i="2"/>
  <c r="O66" i="2" s="1"/>
  <c r="F208" i="1"/>
  <c r="L66" i="2"/>
  <c r="G208" i="1"/>
  <c r="M66" i="2"/>
  <c r="D211" i="1"/>
  <c r="D210" i="1"/>
  <c r="E211" i="1"/>
  <c r="F211" i="1"/>
  <c r="G211" i="1"/>
  <c r="D214" i="1"/>
  <c r="K68" i="2"/>
  <c r="L68" i="2"/>
  <c r="D68" i="7" s="1"/>
  <c r="M68" i="2"/>
  <c r="E68" i="7" s="1"/>
  <c r="D231" i="1"/>
  <c r="K73" i="2"/>
  <c r="C74" i="7" s="1"/>
  <c r="E231" i="1"/>
  <c r="L73" i="2"/>
  <c r="G231" i="1"/>
  <c r="M73" i="2"/>
  <c r="F69" i="5" s="1"/>
  <c r="D234" i="1"/>
  <c r="K74" i="2"/>
  <c r="O74" i="2" s="1"/>
  <c r="E234" i="1"/>
  <c r="F234" i="1"/>
  <c r="L74" i="2"/>
  <c r="G234" i="1"/>
  <c r="M74" i="2"/>
  <c r="E237" i="1"/>
  <c r="E240" i="1"/>
  <c r="E246" i="1"/>
  <c r="F246" i="1"/>
  <c r="G246" i="1"/>
  <c r="E249" i="1"/>
  <c r="F249" i="1"/>
  <c r="G249" i="1"/>
  <c r="D253" i="1"/>
  <c r="K80" i="2"/>
  <c r="K84" i="2" s="1"/>
  <c r="O84" i="2" s="1"/>
  <c r="E253" i="1"/>
  <c r="F253" i="1"/>
  <c r="L80" i="2"/>
  <c r="G253" i="1"/>
  <c r="M80" i="2"/>
  <c r="Q80" i="2" s="1"/>
  <c r="D256" i="1"/>
  <c r="K81" i="2"/>
  <c r="E256" i="1"/>
  <c r="F256" i="1"/>
  <c r="L81" i="2"/>
  <c r="G256" i="1"/>
  <c r="M81" i="2"/>
  <c r="Q81" i="2" s="1"/>
  <c r="D259" i="1"/>
  <c r="K82" i="2"/>
  <c r="O82" i="2" s="1"/>
  <c r="E259" i="1"/>
  <c r="E265" i="1"/>
  <c r="F265" i="1"/>
  <c r="G265" i="1"/>
  <c r="E268" i="1"/>
  <c r="F268" i="1"/>
  <c r="G268" i="1"/>
  <c r="E271" i="1"/>
  <c r="D274" i="1"/>
  <c r="K87" i="2"/>
  <c r="O87" i="2" s="1"/>
  <c r="E274" i="1"/>
  <c r="F274" i="1"/>
  <c r="L87" i="2"/>
  <c r="G274" i="1"/>
  <c r="M87" i="2"/>
  <c r="F83" i="5" s="1"/>
  <c r="E278" i="1"/>
  <c r="K88" i="2"/>
  <c r="F278" i="1"/>
  <c r="L88" i="2"/>
  <c r="P88" i="2" s="1"/>
  <c r="G278" i="1"/>
  <c r="M88" i="2"/>
  <c r="E281" i="1"/>
  <c r="K89" i="2"/>
  <c r="D85" i="5" s="1"/>
  <c r="F281" i="1"/>
  <c r="L89" i="2"/>
  <c r="P89" i="2" s="1"/>
  <c r="G281" i="1"/>
  <c r="M89" i="2"/>
  <c r="E285" i="1"/>
  <c r="K90" i="2"/>
  <c r="F285" i="1"/>
  <c r="L90" i="2"/>
  <c r="E86" i="5" s="1"/>
  <c r="G285" i="1"/>
  <c r="M90" i="2"/>
  <c r="Q90" i="2" s="1"/>
  <c r="E288" i="1"/>
  <c r="K91" i="2"/>
  <c r="F288" i="1"/>
  <c r="L91" i="2"/>
  <c r="P91" i="2" s="1"/>
  <c r="G288" i="1"/>
  <c r="M91" i="2"/>
  <c r="D291" i="1"/>
  <c r="D290" i="1"/>
  <c r="E291" i="1"/>
  <c r="K92" i="2"/>
  <c r="C91" i="7" s="1"/>
  <c r="F291" i="1"/>
  <c r="L92" i="2"/>
  <c r="G291" i="1"/>
  <c r="M92" i="2"/>
  <c r="F88" i="5" s="1"/>
  <c r="E297" i="1"/>
  <c r="F297" i="1"/>
  <c r="G297" i="1"/>
  <c r="C95" i="7"/>
  <c r="C96" i="7"/>
  <c r="K95" i="2"/>
  <c r="F301" i="1"/>
  <c r="L95" i="2"/>
  <c r="E91" i="5" s="1"/>
  <c r="G301" i="1"/>
  <c r="M95" i="2"/>
  <c r="F91" i="5" s="1"/>
  <c r="A23" i="1"/>
  <c r="A22" i="1"/>
  <c r="M98" i="7"/>
  <c r="B98" i="7"/>
  <c r="A98" i="7"/>
  <c r="B322" i="6"/>
  <c r="K343" i="6"/>
  <c r="K342" i="6"/>
  <c r="K341" i="6"/>
  <c r="K340" i="6"/>
  <c r="K339" i="6"/>
  <c r="K338" i="6"/>
  <c r="K337" i="6"/>
  <c r="K336" i="6"/>
  <c r="K335" i="6"/>
  <c r="K334" i="6"/>
  <c r="K333" i="6"/>
  <c r="K332" i="6"/>
  <c r="K331" i="6"/>
  <c r="K330" i="6"/>
  <c r="K329" i="6"/>
  <c r="K328" i="6"/>
  <c r="K327" i="6"/>
  <c r="K326" i="6"/>
  <c r="K325" i="6"/>
  <c r="K324" i="6"/>
  <c r="K323" i="6"/>
  <c r="K322" i="6"/>
  <c r="R92" i="5"/>
  <c r="Q92" i="5"/>
  <c r="P92" i="5"/>
  <c r="J92" i="5"/>
  <c r="I92" i="5"/>
  <c r="H92" i="5"/>
  <c r="G92" i="5"/>
  <c r="B92" i="5"/>
  <c r="A92" i="5"/>
  <c r="A1019" i="3"/>
  <c r="F1020" i="3"/>
  <c r="F1027" i="3"/>
  <c r="F1025" i="3" s="1"/>
  <c r="F1048" i="3"/>
  <c r="F1053" i="3"/>
  <c r="F1056" i="3"/>
  <c r="F1067" i="3"/>
  <c r="F1077" i="3"/>
  <c r="F1085" i="3"/>
  <c r="E1020" i="3"/>
  <c r="E1027" i="3"/>
  <c r="E1025" i="3" s="1"/>
  <c r="E1048" i="3"/>
  <c r="E1053" i="3"/>
  <c r="E1056" i="3"/>
  <c r="E1067" i="3"/>
  <c r="E1077" i="3"/>
  <c r="E1085" i="3"/>
  <c r="D1025" i="3"/>
  <c r="D1048" i="3"/>
  <c r="D1053" i="3"/>
  <c r="D1067" i="3"/>
  <c r="D1077" i="3"/>
  <c r="D1085" i="3"/>
  <c r="H81" i="3"/>
  <c r="H153" i="3" s="1"/>
  <c r="H225" i="3" s="1"/>
  <c r="H297" i="3" s="1"/>
  <c r="H369" i="3" s="1"/>
  <c r="H441" i="3" s="1"/>
  <c r="H513" i="3" s="1"/>
  <c r="H585" i="3" s="1"/>
  <c r="H657" i="3" s="1"/>
  <c r="H729" i="3" s="1"/>
  <c r="H801" i="3" s="1"/>
  <c r="H873" i="3" s="1"/>
  <c r="T96" i="2"/>
  <c r="S96" i="2"/>
  <c r="Y74" i="2"/>
  <c r="Y75" i="2"/>
  <c r="Y76" i="2"/>
  <c r="B239" i="1"/>
  <c r="B236" i="1"/>
  <c r="T75" i="2"/>
  <c r="T76" i="2"/>
  <c r="Q91" i="5"/>
  <c r="D303" i="1"/>
  <c r="D283" i="1"/>
  <c r="H70" i="5"/>
  <c r="E229" i="1"/>
  <c r="F229" i="1"/>
  <c r="G229" i="1"/>
  <c r="D229" i="1"/>
  <c r="D203" i="1"/>
  <c r="M51" i="7"/>
  <c r="D146" i="1"/>
  <c r="I29" i="5"/>
  <c r="I33" i="5"/>
  <c r="R13" i="5"/>
  <c r="Y51" i="2"/>
  <c r="Y52" i="2"/>
  <c r="Y53" i="2"/>
  <c r="Y54" i="2"/>
  <c r="Y55" i="2"/>
  <c r="Y56" i="2"/>
  <c r="Y58" i="2"/>
  <c r="Y59" i="2"/>
  <c r="Y60" i="2"/>
  <c r="Y61" i="2"/>
  <c r="T55" i="2"/>
  <c r="T56" i="2"/>
  <c r="T58" i="2"/>
  <c r="T59" i="2"/>
  <c r="T60" i="2"/>
  <c r="B184" i="1"/>
  <c r="B175" i="1"/>
  <c r="B172" i="1"/>
  <c r="B160" i="1"/>
  <c r="T51" i="2"/>
  <c r="B169" i="1"/>
  <c r="B166" i="1"/>
  <c r="B163" i="1"/>
  <c r="T53" i="2"/>
  <c r="T54" i="2"/>
  <c r="T61" i="2"/>
  <c r="T62" i="2"/>
  <c r="Q78" i="5"/>
  <c r="R78" i="5"/>
  <c r="R57" i="5"/>
  <c r="K62" i="2"/>
  <c r="Q58" i="5"/>
  <c r="Q39" i="5"/>
  <c r="R39" i="5"/>
  <c r="Q40" i="5"/>
  <c r="R40" i="5"/>
  <c r="Q41" i="5"/>
  <c r="R41" i="5"/>
  <c r="Q42" i="5"/>
  <c r="R42" i="5"/>
  <c r="J76" i="4"/>
  <c r="K76" i="4"/>
  <c r="J77" i="4"/>
  <c r="K77" i="4"/>
  <c r="J78" i="4"/>
  <c r="K78" i="4"/>
  <c r="J79" i="4"/>
  <c r="K79" i="4"/>
  <c r="J80" i="4"/>
  <c r="K80" i="4"/>
  <c r="J84" i="4"/>
  <c r="K84" i="4"/>
  <c r="J85" i="4"/>
  <c r="K85" i="4"/>
  <c r="K86" i="4"/>
  <c r="K87" i="4"/>
  <c r="K88" i="4"/>
  <c r="K89" i="4"/>
  <c r="K90" i="4"/>
  <c r="J86" i="4"/>
  <c r="J87" i="4"/>
  <c r="J88" i="4"/>
  <c r="J89" i="4"/>
  <c r="J90" i="4"/>
  <c r="J72" i="4"/>
  <c r="J70" i="4"/>
  <c r="J69" i="4"/>
  <c r="J68"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K163" i="11"/>
  <c r="C163" i="11"/>
  <c r="K130" i="11"/>
  <c r="Q130" i="11"/>
  <c r="C130" i="11"/>
  <c r="K119" i="11"/>
  <c r="C119" i="11"/>
  <c r="K97" i="11"/>
  <c r="C97" i="11"/>
  <c r="K75" i="11"/>
  <c r="C75" i="11"/>
  <c r="K42" i="11"/>
  <c r="C42" i="11"/>
  <c r="K31" i="11"/>
  <c r="Q31" i="11"/>
  <c r="C31" i="11"/>
  <c r="K20" i="11"/>
  <c r="C20" i="11"/>
  <c r="J71" i="4"/>
  <c r="K93" i="6"/>
  <c r="N162" i="11"/>
  <c r="D162" i="11"/>
  <c r="E162" i="11"/>
  <c r="C162" i="11"/>
  <c r="K141" i="11"/>
  <c r="C141" i="11"/>
  <c r="N140" i="11"/>
  <c r="D140" i="11"/>
  <c r="E140" i="11"/>
  <c r="C140" i="11"/>
  <c r="D139" i="11"/>
  <c r="E139" i="11"/>
  <c r="F139" i="11"/>
  <c r="G139" i="11"/>
  <c r="H139" i="11"/>
  <c r="I139" i="11"/>
  <c r="J139" i="11"/>
  <c r="K139" i="11"/>
  <c r="L139" i="11"/>
  <c r="M139" i="11"/>
  <c r="N139" i="11"/>
  <c r="C139" i="11"/>
  <c r="K108" i="11"/>
  <c r="C108" i="11"/>
  <c r="D106" i="11"/>
  <c r="E106" i="11"/>
  <c r="F106" i="11"/>
  <c r="G106" i="11"/>
  <c r="H106" i="11"/>
  <c r="I106" i="11"/>
  <c r="J106" i="11"/>
  <c r="K106" i="11"/>
  <c r="L106" i="11"/>
  <c r="M106" i="11"/>
  <c r="N106" i="11"/>
  <c r="C106" i="11"/>
  <c r="D95" i="11"/>
  <c r="C95" i="11"/>
  <c r="E95" i="11"/>
  <c r="F95" i="11"/>
  <c r="G95" i="11"/>
  <c r="H95" i="11"/>
  <c r="I95" i="11"/>
  <c r="J95" i="11"/>
  <c r="K95" i="11"/>
  <c r="L95" i="11"/>
  <c r="M95" i="11"/>
  <c r="N95" i="11"/>
  <c r="Q95" i="11"/>
  <c r="K86" i="11"/>
  <c r="C86" i="11"/>
  <c r="C84" i="11"/>
  <c r="D84" i="11" s="1"/>
  <c r="E84" i="11" s="1"/>
  <c r="F84" i="11" s="1"/>
  <c r="G84" i="11" s="1"/>
  <c r="H84" i="11" s="1"/>
  <c r="I84" i="11" s="1"/>
  <c r="J84" i="11" s="1"/>
  <c r="K84" i="11" s="1"/>
  <c r="K64" i="11"/>
  <c r="C64" i="11"/>
  <c r="D62" i="11"/>
  <c r="E62" i="11"/>
  <c r="F62" i="11"/>
  <c r="G62" i="11"/>
  <c r="H62" i="11"/>
  <c r="I62" i="11"/>
  <c r="J62" i="11"/>
  <c r="K62" i="11"/>
  <c r="L62" i="11"/>
  <c r="M62" i="11"/>
  <c r="N62" i="11"/>
  <c r="C62" i="11"/>
  <c r="K53" i="11"/>
  <c r="C53" i="11"/>
  <c r="C51" i="11"/>
  <c r="D51" i="11" s="1"/>
  <c r="E51" i="11" s="1"/>
  <c r="F51" i="11" s="1"/>
  <c r="G51" i="11" s="1"/>
  <c r="H51" i="11" s="1"/>
  <c r="I51" i="11" s="1"/>
  <c r="J51" i="11" s="1"/>
  <c r="K51" i="11" s="1"/>
  <c r="L51" i="11" s="1"/>
  <c r="M51" i="11" s="1"/>
  <c r="R91" i="5"/>
  <c r="P91" i="5"/>
  <c r="I91" i="5"/>
  <c r="J66" i="5"/>
  <c r="E70" i="2"/>
  <c r="D70" i="2"/>
  <c r="J25" i="5"/>
  <c r="I25" i="5"/>
  <c r="J24" i="5"/>
  <c r="I24" i="5"/>
  <c r="H24" i="5"/>
  <c r="O150" i="11"/>
  <c r="O151" i="11"/>
  <c r="O152" i="11"/>
  <c r="A97" i="7"/>
  <c r="B300" i="6"/>
  <c r="A91" i="5"/>
  <c r="A947" i="3"/>
  <c r="S95" i="2"/>
  <c r="G91" i="5"/>
  <c r="A86" i="5"/>
  <c r="B91" i="5"/>
  <c r="M97" i="7"/>
  <c r="C97" i="7"/>
  <c r="B97" i="7"/>
  <c r="F948" i="3"/>
  <c r="F1005" i="3"/>
  <c r="F1013" i="3"/>
  <c r="F976" i="3"/>
  <c r="F981" i="3"/>
  <c r="F984" i="3"/>
  <c r="F995" i="3"/>
  <c r="E1013" i="3"/>
  <c r="E1005" i="3"/>
  <c r="E995" i="3"/>
  <c r="E984" i="3"/>
  <c r="E981" i="3"/>
  <c r="E976" i="3"/>
  <c r="E955" i="3"/>
  <c r="E953" i="3" s="1"/>
  <c r="F955" i="3"/>
  <c r="F953" i="3" s="1"/>
  <c r="E948" i="3"/>
  <c r="D1013" i="3"/>
  <c r="D981" i="3"/>
  <c r="T95" i="2"/>
  <c r="Q165" i="11"/>
  <c r="Q164" i="11"/>
  <c r="Q163" i="11"/>
  <c r="Q161" i="11"/>
  <c r="Q160" i="11"/>
  <c r="K303" i="6"/>
  <c r="K301" i="6"/>
  <c r="K300" i="6"/>
  <c r="K302" i="6"/>
  <c r="K304" i="6"/>
  <c r="K305" i="6"/>
  <c r="K306" i="6"/>
  <c r="K307" i="6"/>
  <c r="K308" i="6"/>
  <c r="K309" i="6"/>
  <c r="K310" i="6"/>
  <c r="K311" i="6"/>
  <c r="K312" i="6"/>
  <c r="K313" i="6"/>
  <c r="K314" i="6"/>
  <c r="K315" i="6"/>
  <c r="K316" i="6"/>
  <c r="K317" i="6"/>
  <c r="K318" i="6"/>
  <c r="K319" i="6"/>
  <c r="K320" i="6"/>
  <c r="K321" i="6"/>
  <c r="Q153" i="11"/>
  <c r="Q142" i="11"/>
  <c r="Q131" i="11"/>
  <c r="Q120" i="11"/>
  <c r="Q109" i="11"/>
  <c r="Q98" i="11"/>
  <c r="Q87" i="11"/>
  <c r="Q76" i="11"/>
  <c r="Q65" i="11"/>
  <c r="Q54" i="11"/>
  <c r="Q43" i="11"/>
  <c r="Q32" i="11"/>
  <c r="M86" i="7"/>
  <c r="M61" i="7"/>
  <c r="M59" i="7"/>
  <c r="M58" i="7"/>
  <c r="M57" i="7"/>
  <c r="M20" i="7"/>
  <c r="D881" i="3"/>
  <c r="Y14" i="2"/>
  <c r="N105" i="11"/>
  <c r="M105" i="11"/>
  <c r="L105" i="11"/>
  <c r="K105" i="11"/>
  <c r="J105" i="11"/>
  <c r="I105" i="11"/>
  <c r="H105" i="11"/>
  <c r="G105" i="11"/>
  <c r="F105" i="11"/>
  <c r="E105" i="11"/>
  <c r="D105" i="11"/>
  <c r="C105" i="11"/>
  <c r="B62" i="7"/>
  <c r="B63" i="7"/>
  <c r="B64" i="7"/>
  <c r="P54" i="5"/>
  <c r="Q54" i="5"/>
  <c r="R54" i="5"/>
  <c r="P55" i="5"/>
  <c r="Q55" i="5"/>
  <c r="R55" i="5"/>
  <c r="R56" i="5"/>
  <c r="G54" i="5"/>
  <c r="H54" i="5"/>
  <c r="I54" i="5"/>
  <c r="J54" i="5"/>
  <c r="G55" i="5"/>
  <c r="H55" i="5"/>
  <c r="I55" i="5"/>
  <c r="J55" i="5"/>
  <c r="G56" i="5"/>
  <c r="H56" i="5"/>
  <c r="I56" i="5"/>
  <c r="J56" i="5"/>
  <c r="G57" i="5"/>
  <c r="H57" i="5"/>
  <c r="I57" i="5"/>
  <c r="J57" i="5"/>
  <c r="G58" i="5"/>
  <c r="H58" i="5"/>
  <c r="I58" i="5"/>
  <c r="J58" i="5"/>
  <c r="B48" i="5"/>
  <c r="B50" i="5"/>
  <c r="B54" i="5"/>
  <c r="B55" i="5"/>
  <c r="B56" i="5"/>
  <c r="B57" i="5"/>
  <c r="B58" i="5"/>
  <c r="B47" i="5"/>
  <c r="K12" i="6"/>
  <c r="K13" i="6"/>
  <c r="K14" i="6"/>
  <c r="K15" i="6"/>
  <c r="K16" i="6"/>
  <c r="K17" i="6"/>
  <c r="K18" i="6"/>
  <c r="K19" i="6"/>
  <c r="K20" i="6"/>
  <c r="K21" i="6"/>
  <c r="K22" i="6"/>
  <c r="K23" i="6"/>
  <c r="K24"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71" i="6"/>
  <c r="K72" i="6"/>
  <c r="K73" i="6"/>
  <c r="K75" i="6"/>
  <c r="K78" i="6"/>
  <c r="K79" i="6"/>
  <c r="K80" i="6"/>
  <c r="K81" i="6"/>
  <c r="K82" i="6"/>
  <c r="K83" i="6"/>
  <c r="K84" i="6"/>
  <c r="K85" i="6"/>
  <c r="K86" i="6"/>
  <c r="K87" i="6"/>
  <c r="K88" i="6"/>
  <c r="K89" i="6"/>
  <c r="K90" i="6"/>
  <c r="K92"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8" i="6"/>
  <c r="K139" i="6"/>
  <c r="K140" i="6"/>
  <c r="K141" i="6"/>
  <c r="K142" i="6"/>
  <c r="K143" i="6"/>
  <c r="K144" i="6"/>
  <c r="K145" i="6"/>
  <c r="K146" i="6"/>
  <c r="K147" i="6"/>
  <c r="K148" i="6"/>
  <c r="K149" i="6"/>
  <c r="K150" i="6"/>
  <c r="K151" i="6"/>
  <c r="K152" i="6"/>
  <c r="K153" i="6"/>
  <c r="K154" i="6"/>
  <c r="K155" i="6"/>
  <c r="K156" i="6"/>
  <c r="K157" i="6"/>
  <c r="K159" i="6"/>
  <c r="K160" i="6"/>
  <c r="K161" i="6"/>
  <c r="K162" i="6"/>
  <c r="K165" i="6"/>
  <c r="K166" i="6"/>
  <c r="K167" i="6"/>
  <c r="K168" i="6"/>
  <c r="K169" i="6"/>
  <c r="K170" i="6"/>
  <c r="K171" i="6"/>
  <c r="K172" i="6"/>
  <c r="K173" i="6"/>
  <c r="K174" i="6"/>
  <c r="K175" i="6"/>
  <c r="K176" i="6"/>
  <c r="K177" i="6"/>
  <c r="K178" i="6"/>
  <c r="K179" i="6"/>
  <c r="K181" i="6"/>
  <c r="K183" i="6"/>
  <c r="K185" i="6"/>
  <c r="K186" i="6"/>
  <c r="K187" i="6"/>
  <c r="K188" i="6"/>
  <c r="K189" i="6"/>
  <c r="K190" i="6"/>
  <c r="K191" i="6"/>
  <c r="K192" i="6"/>
  <c r="K193" i="6"/>
  <c r="K194" i="6"/>
  <c r="K195" i="6"/>
  <c r="K196" i="6"/>
  <c r="K197" i="6"/>
  <c r="K198" i="6"/>
  <c r="K199" i="6"/>
  <c r="K200" i="6"/>
  <c r="K201" i="6"/>
  <c r="K202" i="6"/>
  <c r="K203" i="6"/>
  <c r="K204" i="6"/>
  <c r="K205"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D221" i="3"/>
  <c r="D45" i="3"/>
  <c r="Q18" i="11"/>
  <c r="Q154" i="11"/>
  <c r="Q152" i="11"/>
  <c r="P152" i="11" s="1"/>
  <c r="Q150" i="11"/>
  <c r="P150" i="11" s="1"/>
  <c r="Q149" i="11"/>
  <c r="Q143" i="11"/>
  <c r="Q141" i="11"/>
  <c r="Q139" i="11"/>
  <c r="Q138" i="11"/>
  <c r="Q132" i="11"/>
  <c r="Q128" i="11"/>
  <c r="Q127" i="11"/>
  <c r="Q121" i="11"/>
  <c r="Q119" i="11"/>
  <c r="Q117" i="11"/>
  <c r="Q116" i="11"/>
  <c r="Q110" i="11"/>
  <c r="Q108" i="11"/>
  <c r="Q106" i="11"/>
  <c r="Q105" i="11"/>
  <c r="Q99" i="11"/>
  <c r="Q97" i="11"/>
  <c r="Q94" i="11"/>
  <c r="Q88" i="11"/>
  <c r="Q86" i="11"/>
  <c r="Q84" i="11"/>
  <c r="Q77" i="11"/>
  <c r="Q75" i="11"/>
  <c r="Q73" i="11"/>
  <c r="Q72" i="11"/>
  <c r="Q66" i="11"/>
  <c r="Q64" i="11"/>
  <c r="Q62" i="11"/>
  <c r="Q61" i="11"/>
  <c r="Q55" i="11"/>
  <c r="Q53" i="11"/>
  <c r="Q51" i="11"/>
  <c r="Q50" i="11"/>
  <c r="Q44" i="11"/>
  <c r="Q42" i="11"/>
  <c r="Q40" i="11"/>
  <c r="Q39" i="11"/>
  <c r="Q33" i="11"/>
  <c r="Q29" i="11"/>
  <c r="Q28" i="11"/>
  <c r="Q22" i="11"/>
  <c r="Q21" i="11"/>
  <c r="Q20" i="11"/>
  <c r="Q17" i="11"/>
  <c r="E55" i="7"/>
  <c r="D55" i="7"/>
  <c r="D477" i="3"/>
  <c r="B193" i="1"/>
  <c r="B190" i="1"/>
  <c r="B187" i="1"/>
  <c r="B181" i="1"/>
  <c r="B178" i="1"/>
  <c r="B157" i="1"/>
  <c r="B154" i="1"/>
  <c r="Y16" i="2"/>
  <c r="B213" i="1"/>
  <c r="Y90" i="2"/>
  <c r="Y62" i="2"/>
  <c r="B90" i="5"/>
  <c r="B89" i="5"/>
  <c r="B84" i="5"/>
  <c r="B85" i="5"/>
  <c r="B86" i="5"/>
  <c r="B87" i="5"/>
  <c r="B88" i="5"/>
  <c r="B83" i="5"/>
  <c r="B81" i="5"/>
  <c r="B82" i="5"/>
  <c r="B80" i="5"/>
  <c r="B79" i="5"/>
  <c r="B77" i="5"/>
  <c r="B78" i="5"/>
  <c r="B76" i="5"/>
  <c r="B75" i="5"/>
  <c r="B74" i="5"/>
  <c r="B73" i="5"/>
  <c r="B68" i="5"/>
  <c r="B69" i="5"/>
  <c r="B70" i="5"/>
  <c r="B67" i="5"/>
  <c r="B66" i="5"/>
  <c r="B65" i="5"/>
  <c r="B40" i="5"/>
  <c r="B41" i="5"/>
  <c r="B42" i="5"/>
  <c r="B43" i="5"/>
  <c r="B44" i="5"/>
  <c r="B45" i="5"/>
  <c r="B46" i="5"/>
  <c r="B59" i="5"/>
  <c r="B60" i="5"/>
  <c r="B61" i="5"/>
  <c r="B62" i="5"/>
  <c r="B63" i="5"/>
  <c r="B64" i="5"/>
  <c r="B39" i="5"/>
  <c r="B38" i="5"/>
  <c r="B37" i="5"/>
  <c r="B36" i="5"/>
  <c r="B27" i="5"/>
  <c r="B28" i="5"/>
  <c r="B29" i="5"/>
  <c r="B30" i="5"/>
  <c r="B31" i="5"/>
  <c r="B32" i="5"/>
  <c r="B33" i="5"/>
  <c r="B34" i="5"/>
  <c r="B35" i="5"/>
  <c r="B26" i="5"/>
  <c r="B25" i="5"/>
  <c r="B24" i="5"/>
  <c r="B23" i="5"/>
  <c r="B21" i="5"/>
  <c r="B22" i="5"/>
  <c r="B20" i="5"/>
  <c r="B17" i="5"/>
  <c r="B18" i="5"/>
  <c r="B19" i="5"/>
  <c r="B16" i="5"/>
  <c r="B15" i="5"/>
  <c r="B11" i="5"/>
  <c r="B12" i="5"/>
  <c r="B13" i="5"/>
  <c r="B10" i="5"/>
  <c r="A84" i="5"/>
  <c r="A76" i="5"/>
  <c r="A69" i="5"/>
  <c r="A67" i="5"/>
  <c r="A61" i="5"/>
  <c r="A59" i="5"/>
  <c r="A47" i="5"/>
  <c r="A45" i="5"/>
  <c r="A43" i="5"/>
  <c r="A26" i="5"/>
  <c r="A20" i="5"/>
  <c r="A10" i="5"/>
  <c r="B278" i="6"/>
  <c r="B256" i="6"/>
  <c r="B234" i="6"/>
  <c r="B212" i="6"/>
  <c r="B190" i="6"/>
  <c r="B168" i="6"/>
  <c r="B146" i="6"/>
  <c r="B124" i="6"/>
  <c r="B102" i="6"/>
  <c r="B80" i="6"/>
  <c r="B58" i="6"/>
  <c r="B36" i="6"/>
  <c r="B11" i="6"/>
  <c r="A875" i="3"/>
  <c r="A803" i="3"/>
  <c r="A731" i="3"/>
  <c r="A659" i="3"/>
  <c r="A587" i="3"/>
  <c r="A515" i="3"/>
  <c r="A443" i="3"/>
  <c r="A371" i="3"/>
  <c r="A299" i="3"/>
  <c r="A227" i="3"/>
  <c r="A155" i="3"/>
  <c r="A83" i="3"/>
  <c r="A11" i="3"/>
  <c r="A284" i="1"/>
  <c r="A277" i="1"/>
  <c r="A252" i="1"/>
  <c r="A230" i="1"/>
  <c r="A223" i="1"/>
  <c r="A204" i="1"/>
  <c r="A197" i="1"/>
  <c r="A154" i="1"/>
  <c r="A147" i="1"/>
  <c r="A140" i="1"/>
  <c r="A85" i="1"/>
  <c r="A66" i="1"/>
  <c r="A35" i="1"/>
  <c r="B95" i="7"/>
  <c r="B96" i="7"/>
  <c r="B94" i="7"/>
  <c r="B93" i="7"/>
  <c r="B92" i="7"/>
  <c r="B87" i="7"/>
  <c r="B88" i="7"/>
  <c r="B89" i="7"/>
  <c r="B90" i="7"/>
  <c r="B91" i="7"/>
  <c r="B86" i="7"/>
  <c r="B84" i="7"/>
  <c r="B85" i="7"/>
  <c r="B83" i="7"/>
  <c r="B82" i="7"/>
  <c r="B80" i="7"/>
  <c r="B81" i="7"/>
  <c r="B79" i="7"/>
  <c r="B78" i="7"/>
  <c r="B77" i="7"/>
  <c r="B76" i="7"/>
  <c r="B73" i="7"/>
  <c r="B74" i="7"/>
  <c r="B75" i="7"/>
  <c r="B72" i="7"/>
  <c r="B71" i="7"/>
  <c r="B70" i="7"/>
  <c r="B69" i="7"/>
  <c r="B46" i="7"/>
  <c r="B47" i="7"/>
  <c r="B48" i="7"/>
  <c r="B49" i="7"/>
  <c r="B50" i="7"/>
  <c r="B51" i="7"/>
  <c r="B52" i="7"/>
  <c r="B65" i="7"/>
  <c r="B66" i="7"/>
  <c r="B67" i="7"/>
  <c r="B68" i="7"/>
  <c r="B45" i="7"/>
  <c r="B44" i="7"/>
  <c r="B43" i="7"/>
  <c r="B42" i="7"/>
  <c r="B33" i="7"/>
  <c r="B34" i="7"/>
  <c r="B35" i="7"/>
  <c r="B36" i="7"/>
  <c r="B37" i="7"/>
  <c r="B38" i="7"/>
  <c r="B39" i="7"/>
  <c r="B40" i="7"/>
  <c r="B41" i="7"/>
  <c r="B32" i="7"/>
  <c r="B31" i="7"/>
  <c r="B30" i="7"/>
  <c r="B29" i="7"/>
  <c r="B27" i="7"/>
  <c r="B28" i="7"/>
  <c r="B26" i="7"/>
  <c r="B23" i="7"/>
  <c r="B24" i="7"/>
  <c r="B25" i="7"/>
  <c r="B22" i="7"/>
  <c r="B21" i="7"/>
  <c r="B18" i="7"/>
  <c r="B19" i="7"/>
  <c r="B20" i="7"/>
  <c r="B17" i="7"/>
  <c r="C166" i="10"/>
  <c r="Y166" i="10" s="1"/>
  <c r="S166" i="10"/>
  <c r="C155" i="10"/>
  <c r="S155" i="10"/>
  <c r="S133" i="10"/>
  <c r="C133" i="10"/>
  <c r="S122" i="10"/>
  <c r="S111" i="10"/>
  <c r="C100" i="10"/>
  <c r="S100" i="10"/>
  <c r="Y97" i="10"/>
  <c r="W97" i="10"/>
  <c r="U97" i="10"/>
  <c r="S97" i="10"/>
  <c r="Q97" i="10"/>
  <c r="O97" i="10"/>
  <c r="M97" i="10"/>
  <c r="K97" i="10"/>
  <c r="I97" i="10"/>
  <c r="G97" i="10"/>
  <c r="E97" i="10"/>
  <c r="C97" i="10"/>
  <c r="C78" i="10"/>
  <c r="S78" i="10"/>
  <c r="C67" i="10"/>
  <c r="S67" i="10"/>
  <c r="C56" i="10"/>
  <c r="S56" i="10"/>
  <c r="C45" i="10"/>
  <c r="S45" i="10"/>
  <c r="C34" i="10"/>
  <c r="S34" i="10"/>
  <c r="E85" i="7"/>
  <c r="E81" i="7"/>
  <c r="D85" i="7"/>
  <c r="D81" i="7"/>
  <c r="R85" i="5"/>
  <c r="R87" i="5"/>
  <c r="R88" i="5"/>
  <c r="R68" i="5"/>
  <c r="R69" i="5"/>
  <c r="R67" i="5"/>
  <c r="R44" i="5"/>
  <c r="R47" i="5"/>
  <c r="R61" i="5"/>
  <c r="R27" i="5"/>
  <c r="R32" i="5"/>
  <c r="R35" i="5"/>
  <c r="Q86" i="5"/>
  <c r="Q77" i="5"/>
  <c r="Q76" i="5"/>
  <c r="Q68" i="5"/>
  <c r="Q69" i="5"/>
  <c r="Q67" i="5"/>
  <c r="Q47" i="5"/>
  <c r="Q48" i="5"/>
  <c r="Q60" i="5"/>
  <c r="Q61" i="5"/>
  <c r="Q62" i="5"/>
  <c r="Q64" i="5"/>
  <c r="Q31" i="5"/>
  <c r="Q34" i="5"/>
  <c r="Q21" i="5"/>
  <c r="Q11" i="5"/>
  <c r="Q13" i="5"/>
  <c r="P76" i="5"/>
  <c r="O76" i="5" s="1"/>
  <c r="P68" i="5"/>
  <c r="P67" i="5"/>
  <c r="P46" i="5"/>
  <c r="P60" i="5"/>
  <c r="P33" i="5"/>
  <c r="P34" i="5"/>
  <c r="P20" i="5"/>
  <c r="O20" i="5" s="1"/>
  <c r="J84" i="5"/>
  <c r="J85" i="5"/>
  <c r="J86" i="5"/>
  <c r="J87" i="5"/>
  <c r="J88" i="5"/>
  <c r="J83" i="5"/>
  <c r="J76" i="5"/>
  <c r="J77" i="5"/>
  <c r="J67" i="5"/>
  <c r="J68" i="5"/>
  <c r="J69" i="5"/>
  <c r="J70" i="5"/>
  <c r="J43" i="5"/>
  <c r="J44" i="5"/>
  <c r="J45" i="5"/>
  <c r="J46" i="5"/>
  <c r="J47" i="5"/>
  <c r="J48" i="5"/>
  <c r="J59" i="5"/>
  <c r="J60" i="5"/>
  <c r="J63" i="5"/>
  <c r="J64" i="5"/>
  <c r="J30" i="5"/>
  <c r="J31" i="5"/>
  <c r="J32" i="5"/>
  <c r="J33" i="5"/>
  <c r="J34" i="5"/>
  <c r="J35" i="5"/>
  <c r="J20" i="5"/>
  <c r="J21" i="5"/>
  <c r="J22" i="5"/>
  <c r="J11" i="5"/>
  <c r="J12" i="5"/>
  <c r="J13" i="5"/>
  <c r="J10" i="5"/>
  <c r="I84" i="5"/>
  <c r="I85" i="5"/>
  <c r="I86" i="5"/>
  <c r="I87" i="5"/>
  <c r="I88" i="5"/>
  <c r="I83" i="5"/>
  <c r="I76" i="5"/>
  <c r="I77" i="5"/>
  <c r="I67" i="5"/>
  <c r="I68" i="5"/>
  <c r="I69" i="5"/>
  <c r="I70" i="5"/>
  <c r="I43" i="5"/>
  <c r="I44" i="5"/>
  <c r="I45" i="5"/>
  <c r="I46" i="5"/>
  <c r="I47" i="5"/>
  <c r="I48" i="5"/>
  <c r="I59" i="5"/>
  <c r="I60" i="5"/>
  <c r="I63" i="5"/>
  <c r="I64" i="5"/>
  <c r="I30" i="5"/>
  <c r="I31" i="5"/>
  <c r="I32" i="5"/>
  <c r="I34" i="5"/>
  <c r="I35" i="5"/>
  <c r="I20" i="5"/>
  <c r="I21" i="5"/>
  <c r="I22" i="5"/>
  <c r="I11" i="5"/>
  <c r="I12" i="5"/>
  <c r="I13" i="5"/>
  <c r="I10" i="5"/>
  <c r="H83" i="5"/>
  <c r="H84" i="5"/>
  <c r="H85" i="5"/>
  <c r="H86" i="5"/>
  <c r="H87" i="5"/>
  <c r="H88" i="5"/>
  <c r="H76" i="5"/>
  <c r="H77" i="5"/>
  <c r="H78" i="5"/>
  <c r="H67" i="5"/>
  <c r="H68" i="5"/>
  <c r="H69" i="5"/>
  <c r="H43" i="5"/>
  <c r="H44" i="5"/>
  <c r="H45" i="5"/>
  <c r="H46" i="5"/>
  <c r="H48" i="5"/>
  <c r="H59" i="5"/>
  <c r="H60" i="5"/>
  <c r="H63" i="5"/>
  <c r="H64" i="5"/>
  <c r="H30" i="5"/>
  <c r="H31" i="5"/>
  <c r="H32" i="5"/>
  <c r="H33" i="5"/>
  <c r="H34" i="5"/>
  <c r="H35" i="5"/>
  <c r="H20" i="5"/>
  <c r="H21" i="5"/>
  <c r="H22" i="5"/>
  <c r="H11" i="5"/>
  <c r="H12" i="5"/>
  <c r="H13" i="5"/>
  <c r="H10" i="5"/>
  <c r="G88" i="5"/>
  <c r="G83" i="5"/>
  <c r="G77" i="5"/>
  <c r="G78" i="5"/>
  <c r="G76" i="5"/>
  <c r="G70" i="5"/>
  <c r="G69" i="5"/>
  <c r="G62" i="5"/>
  <c r="G63" i="5"/>
  <c r="G64" i="5"/>
  <c r="G61" i="5"/>
  <c r="G48" i="5"/>
  <c r="G47" i="5"/>
  <c r="G34" i="5"/>
  <c r="G35" i="5"/>
  <c r="G33" i="5"/>
  <c r="G27" i="5"/>
  <c r="G28" i="5"/>
  <c r="G29" i="5"/>
  <c r="G26" i="5"/>
  <c r="G21" i="5"/>
  <c r="G22" i="5"/>
  <c r="G20" i="5"/>
  <c r="G13" i="5"/>
  <c r="G12" i="5"/>
  <c r="G11" i="5"/>
  <c r="G10" i="5"/>
  <c r="A21" i="1"/>
  <c r="A20" i="1"/>
  <c r="A19" i="1"/>
  <c r="A18" i="1"/>
  <c r="A17" i="1"/>
  <c r="A16" i="1"/>
  <c r="A15" i="1"/>
  <c r="A14" i="1"/>
  <c r="A13" i="1"/>
  <c r="A12" i="1"/>
  <c r="A11" i="1"/>
  <c r="A10" i="1"/>
  <c r="A9" i="1"/>
  <c r="S144" i="10"/>
  <c r="C144" i="10"/>
  <c r="C122" i="10"/>
  <c r="C111" i="10"/>
  <c r="S89" i="10"/>
  <c r="C89" i="10"/>
  <c r="S23" i="10"/>
  <c r="C23" i="10"/>
  <c r="S12" i="10"/>
  <c r="C12" i="10"/>
  <c r="Y12" i="10" s="1"/>
  <c r="D9" i="11"/>
  <c r="M96" i="7"/>
  <c r="M95" i="7"/>
  <c r="M94" i="7"/>
  <c r="M93" i="7"/>
  <c r="M91" i="7"/>
  <c r="M90" i="7"/>
  <c r="M89" i="7"/>
  <c r="M88" i="7"/>
  <c r="M87" i="7"/>
  <c r="M85" i="7"/>
  <c r="M84" i="7"/>
  <c r="M83" i="7"/>
  <c r="M81" i="7"/>
  <c r="M80" i="7"/>
  <c r="M79" i="7"/>
  <c r="M78" i="7"/>
  <c r="M77" i="7"/>
  <c r="M75" i="7"/>
  <c r="M74" i="7"/>
  <c r="M73" i="7"/>
  <c r="M72" i="7"/>
  <c r="M71" i="7"/>
  <c r="M70" i="7"/>
  <c r="M68" i="7"/>
  <c r="M67" i="7"/>
  <c r="M66" i="7"/>
  <c r="M65" i="7"/>
  <c r="M64" i="7"/>
  <c r="M63" i="7"/>
  <c r="M62" i="7"/>
  <c r="M60" i="7"/>
  <c r="M56" i="7"/>
  <c r="M55" i="7"/>
  <c r="M54" i="7"/>
  <c r="M53" i="7"/>
  <c r="M52" i="7"/>
  <c r="M50" i="7"/>
  <c r="M49" i="7"/>
  <c r="M48" i="7"/>
  <c r="M47" i="7"/>
  <c r="M46" i="7"/>
  <c r="M45" i="7"/>
  <c r="M44" i="7"/>
  <c r="M43" i="7"/>
  <c r="M41" i="7"/>
  <c r="M40" i="7"/>
  <c r="M39" i="7"/>
  <c r="M38" i="7"/>
  <c r="M37" i="7"/>
  <c r="M36" i="7"/>
  <c r="M35" i="7"/>
  <c r="M34" i="7"/>
  <c r="M33" i="7"/>
  <c r="M32" i="7"/>
  <c r="M31" i="7"/>
  <c r="M30" i="7"/>
  <c r="M28" i="7"/>
  <c r="M27" i="7"/>
  <c r="M26" i="7"/>
  <c r="M25" i="7"/>
  <c r="M24" i="7"/>
  <c r="M23" i="7"/>
  <c r="M22" i="7"/>
  <c r="M19" i="7"/>
  <c r="M18" i="7"/>
  <c r="M17" i="7"/>
  <c r="D4" i="7"/>
  <c r="B9" i="5"/>
  <c r="A9" i="5"/>
  <c r="S61" i="4"/>
  <c r="S60" i="4"/>
  <c r="S59" i="4"/>
  <c r="S58" i="4"/>
  <c r="S57" i="4"/>
  <c r="S56" i="4"/>
  <c r="S55" i="4"/>
  <c r="S54" i="4"/>
  <c r="S53" i="4"/>
  <c r="R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E4" i="4"/>
  <c r="D933" i="3"/>
  <c r="D909" i="3"/>
  <c r="D941" i="3"/>
  <c r="D851" i="3"/>
  <c r="D837" i="3"/>
  <c r="D869" i="3"/>
  <c r="D809" i="3"/>
  <c r="D779" i="3"/>
  <c r="D765" i="3"/>
  <c r="D737" i="3"/>
  <c r="D707" i="3"/>
  <c r="D693" i="3"/>
  <c r="D688" i="3"/>
  <c r="D667" i="3"/>
  <c r="D665" i="3"/>
  <c r="D653" i="3"/>
  <c r="D645" i="3"/>
  <c r="D621" i="3"/>
  <c r="D593" i="3"/>
  <c r="D549" i="3"/>
  <c r="D521" i="3"/>
  <c r="D501" i="3"/>
  <c r="D491" i="3"/>
  <c r="D449" i="3"/>
  <c r="D429" i="3"/>
  <c r="D408" i="3"/>
  <c r="D405" i="3"/>
  <c r="D400" i="3"/>
  <c r="D377" i="3"/>
  <c r="D333" i="3"/>
  <c r="D305" i="3"/>
  <c r="D264" i="3"/>
  <c r="D261" i="3"/>
  <c r="D233" i="3"/>
  <c r="D189" i="3"/>
  <c r="G161" i="3"/>
  <c r="D161" i="3"/>
  <c r="D117" i="3"/>
  <c r="D89" i="3"/>
  <c r="D4" i="3"/>
  <c r="Y94" i="2"/>
  <c r="T94" i="2"/>
  <c r="J90" i="5"/>
  <c r="I90" i="5"/>
  <c r="H90" i="5"/>
  <c r="T93" i="2"/>
  <c r="Y92" i="2"/>
  <c r="T92" i="2"/>
  <c r="Y91" i="2"/>
  <c r="T91" i="2"/>
  <c r="T90" i="2"/>
  <c r="S90" i="2"/>
  <c r="Y89" i="2"/>
  <c r="T89" i="2"/>
  <c r="Y88" i="2"/>
  <c r="T88" i="2"/>
  <c r="S88" i="2"/>
  <c r="Y87" i="2"/>
  <c r="T87" i="2"/>
  <c r="Y86" i="2"/>
  <c r="T86" i="2"/>
  <c r="H82" i="5"/>
  <c r="Y85" i="2"/>
  <c r="T85" i="2"/>
  <c r="J81" i="5"/>
  <c r="I81" i="5"/>
  <c r="H81" i="5"/>
  <c r="Y84" i="2"/>
  <c r="T84" i="2"/>
  <c r="J80" i="5"/>
  <c r="I80" i="5"/>
  <c r="H80" i="5"/>
  <c r="T83" i="2"/>
  <c r="Y82" i="2"/>
  <c r="T82" i="2"/>
  <c r="T81" i="2"/>
  <c r="T80" i="2"/>
  <c r="S80" i="2"/>
  <c r="Y79" i="2"/>
  <c r="T79" i="2"/>
  <c r="J75" i="5"/>
  <c r="I75" i="5"/>
  <c r="H75" i="5"/>
  <c r="Y78" i="2"/>
  <c r="T78" i="2"/>
  <c r="J74" i="5"/>
  <c r="I74" i="5"/>
  <c r="H74" i="5"/>
  <c r="T77" i="2"/>
  <c r="T74" i="2"/>
  <c r="T73" i="2"/>
  <c r="S73" i="2"/>
  <c r="Y72" i="2"/>
  <c r="T72" i="2"/>
  <c r="D68" i="5"/>
  <c r="Y71" i="2"/>
  <c r="S71" i="2"/>
  <c r="D72" i="7"/>
  <c r="Y70" i="2"/>
  <c r="T70" i="2"/>
  <c r="T69" i="2"/>
  <c r="T68" i="2"/>
  <c r="Y67" i="2"/>
  <c r="T67" i="2"/>
  <c r="Y66" i="2"/>
  <c r="T66" i="2"/>
  <c r="T65" i="2"/>
  <c r="S65" i="2"/>
  <c r="Y64" i="2"/>
  <c r="T64" i="2"/>
  <c r="Y63" i="2"/>
  <c r="T63" i="2"/>
  <c r="S63" i="2"/>
  <c r="T52" i="2"/>
  <c r="Y50" i="2"/>
  <c r="T50" i="2"/>
  <c r="Y49" i="2"/>
  <c r="T49" i="2"/>
  <c r="S49" i="2"/>
  <c r="Y48" i="2"/>
  <c r="T48" i="2"/>
  <c r="Y47" i="2"/>
  <c r="T47" i="2"/>
  <c r="S47" i="2"/>
  <c r="Y46" i="2"/>
  <c r="T46" i="2"/>
  <c r="Y45" i="2"/>
  <c r="T45" i="2"/>
  <c r="S45" i="2"/>
  <c r="Y44" i="2"/>
  <c r="T44" i="2"/>
  <c r="Y43" i="2"/>
  <c r="T43" i="2"/>
  <c r="Y42" i="2"/>
  <c r="T42" i="2"/>
  <c r="Y41" i="2"/>
  <c r="T41" i="2"/>
  <c r="Y40" i="2"/>
  <c r="T40" i="2"/>
  <c r="J38" i="5"/>
  <c r="I38" i="5"/>
  <c r="H38" i="5"/>
  <c r="Y39" i="2"/>
  <c r="T39" i="2"/>
  <c r="J37" i="5"/>
  <c r="I37" i="5"/>
  <c r="H37" i="5"/>
  <c r="T38" i="2"/>
  <c r="Y37" i="2"/>
  <c r="T37" i="2"/>
  <c r="Y36" i="2"/>
  <c r="T36" i="2"/>
  <c r="Y35" i="2"/>
  <c r="T35" i="2"/>
  <c r="Y34" i="2"/>
  <c r="T34" i="2"/>
  <c r="Y33" i="2"/>
  <c r="T33" i="2"/>
  <c r="Y32" i="2"/>
  <c r="T32" i="2"/>
  <c r="Y31" i="2"/>
  <c r="T31" i="2"/>
  <c r="Y30" i="2"/>
  <c r="T30" i="2"/>
  <c r="Y29" i="2"/>
  <c r="T29" i="2"/>
  <c r="Y28" i="2"/>
  <c r="S28" i="2"/>
  <c r="Y27" i="2"/>
  <c r="T27" i="2"/>
  <c r="H25" i="5"/>
  <c r="Y26" i="2"/>
  <c r="T26" i="2"/>
  <c r="T25" i="2"/>
  <c r="Y24" i="2"/>
  <c r="T24" i="2"/>
  <c r="Y23" i="2"/>
  <c r="T23" i="2"/>
  <c r="Y22" i="2"/>
  <c r="T22" i="2"/>
  <c r="Y21" i="2"/>
  <c r="T21" i="2"/>
  <c r="J19" i="5"/>
  <c r="I19" i="5"/>
  <c r="H19" i="5"/>
  <c r="Y20" i="2"/>
  <c r="T20" i="2"/>
  <c r="J18" i="5"/>
  <c r="I18" i="5"/>
  <c r="H18" i="5"/>
  <c r="Y19" i="2"/>
  <c r="T19" i="2"/>
  <c r="J17" i="5"/>
  <c r="I17" i="5"/>
  <c r="H17" i="5"/>
  <c r="Y18" i="2"/>
  <c r="T18" i="2"/>
  <c r="J16" i="5"/>
  <c r="I16" i="5"/>
  <c r="H16" i="5"/>
  <c r="Y15" i="2"/>
  <c r="T15" i="2"/>
  <c r="T14" i="2"/>
  <c r="Y13" i="2"/>
  <c r="T13" i="2"/>
  <c r="Y12" i="2"/>
  <c r="T12" i="2"/>
  <c r="S12" i="2"/>
  <c r="I228" i="1"/>
  <c r="H228" i="1"/>
  <c r="I225" i="1"/>
  <c r="H225" i="1"/>
  <c r="E56" i="7"/>
  <c r="D56" i="7"/>
  <c r="G56" i="7" s="1"/>
  <c r="G305" i="3"/>
  <c r="Y100" i="10"/>
  <c r="AA100" i="10" s="1"/>
  <c r="P41" i="4"/>
  <c r="R41" i="4"/>
  <c r="P17" i="4"/>
  <c r="R17" i="4"/>
  <c r="R28" i="4"/>
  <c r="P53" i="4"/>
  <c r="D357" i="3"/>
  <c r="D365" i="3"/>
  <c r="D293" i="3"/>
  <c r="D77" i="3"/>
  <c r="D509" i="3"/>
  <c r="D725" i="3"/>
  <c r="D149" i="3"/>
  <c r="D437" i="3"/>
  <c r="D581" i="3"/>
  <c r="Q83" i="11"/>
  <c r="H61" i="11"/>
  <c r="I61" i="11" s="1"/>
  <c r="J61" i="11" s="1"/>
  <c r="K61" i="11" s="1"/>
  <c r="L61" i="11" s="1"/>
  <c r="M61" i="11" s="1"/>
  <c r="D285" i="3"/>
  <c r="J29" i="5"/>
  <c r="J28" i="5"/>
  <c r="J27" i="5"/>
  <c r="J26" i="5"/>
  <c r="H28" i="5"/>
  <c r="H26" i="5"/>
  <c r="I28" i="5"/>
  <c r="I27" i="5"/>
  <c r="I26" i="5"/>
  <c r="H29" i="5"/>
  <c r="H27" i="5"/>
  <c r="H62" i="5"/>
  <c r="I62" i="5"/>
  <c r="H61" i="5"/>
  <c r="I61" i="5"/>
  <c r="J62" i="5"/>
  <c r="J61" i="5"/>
  <c r="H39" i="5"/>
  <c r="I39" i="5"/>
  <c r="J39" i="5"/>
  <c r="H40" i="5"/>
  <c r="I40" i="5"/>
  <c r="J40" i="5"/>
  <c r="H41" i="5"/>
  <c r="I41" i="5"/>
  <c r="J41" i="5"/>
  <c r="H42" i="5"/>
  <c r="I42" i="5"/>
  <c r="J42" i="5"/>
  <c r="K69" i="6"/>
  <c r="Q84" i="5"/>
  <c r="R64" i="5"/>
  <c r="P11" i="5"/>
  <c r="O11" i="5" s="1"/>
  <c r="R62" i="5"/>
  <c r="K158" i="6"/>
  <c r="K74" i="6"/>
  <c r="C63" i="11"/>
  <c r="N63" i="11"/>
  <c r="P32" i="5"/>
  <c r="Q87" i="5"/>
  <c r="R29" i="5"/>
  <c r="M61" i="2"/>
  <c r="Y73" i="2"/>
  <c r="P35" i="5"/>
  <c r="P28" i="5"/>
  <c r="O28" i="5" s="1"/>
  <c r="P44" i="5"/>
  <c r="R21" i="5"/>
  <c r="P42" i="5"/>
  <c r="P86" i="5"/>
  <c r="Q12" i="5"/>
  <c r="Q33" i="5"/>
  <c r="Q27" i="5"/>
  <c r="P31" i="5"/>
  <c r="R45" i="5"/>
  <c r="P45" i="5"/>
  <c r="P70" i="5"/>
  <c r="O70" i="5" s="1"/>
  <c r="P85" i="5"/>
  <c r="R11" i="5"/>
  <c r="R76" i="5"/>
  <c r="P26" i="5"/>
  <c r="O26" i="5" s="1"/>
  <c r="P64" i="5"/>
  <c r="O64" i="5" s="1"/>
  <c r="P83" i="5"/>
  <c r="O83" i="5" s="1"/>
  <c r="Q46" i="5"/>
  <c r="Q85" i="5"/>
  <c r="R10" i="5"/>
  <c r="R60" i="5"/>
  <c r="P13" i="5"/>
  <c r="O13" i="5" s="1"/>
  <c r="P88" i="5"/>
  <c r="Q44" i="5"/>
  <c r="Q83" i="5"/>
  <c r="R30" i="5"/>
  <c r="R86" i="5"/>
  <c r="P56" i="5"/>
  <c r="P30" i="5"/>
  <c r="P62" i="5"/>
  <c r="O62" i="5" s="1"/>
  <c r="Q35" i="5"/>
  <c r="R48" i="5"/>
  <c r="R83" i="5"/>
  <c r="P59" i="5"/>
  <c r="Q32" i="5"/>
  <c r="Q43" i="5"/>
  <c r="Q70" i="5"/>
  <c r="L62" i="2"/>
  <c r="P63" i="5"/>
  <c r="O63" i="5" s="1"/>
  <c r="P40" i="5"/>
  <c r="Q56" i="5"/>
  <c r="P22" i="5"/>
  <c r="O22" i="5" s="1"/>
  <c r="P78" i="5"/>
  <c r="O78" i="5" s="1"/>
  <c r="Q29" i="5"/>
  <c r="Q45" i="5"/>
  <c r="R12" i="5"/>
  <c r="P58" i="5"/>
  <c r="Q63" i="5"/>
  <c r="P61" i="5"/>
  <c r="O61" i="5" s="1"/>
  <c r="P69" i="5"/>
  <c r="O69" i="5" s="1"/>
  <c r="P27" i="5"/>
  <c r="O27" i="5" s="1"/>
  <c r="R46" i="5"/>
  <c r="R70" i="5"/>
  <c r="P84" i="5"/>
  <c r="Q26" i="5"/>
  <c r="R43" i="5"/>
  <c r="P48" i="5"/>
  <c r="P12" i="5"/>
  <c r="O12" i="5" s="1"/>
  <c r="R20" i="5"/>
  <c r="R33" i="5"/>
  <c r="J91" i="5"/>
  <c r="R58" i="5"/>
  <c r="M62" i="2"/>
  <c r="Q62" i="2" s="1"/>
  <c r="Q57" i="5"/>
  <c r="L61" i="2"/>
  <c r="D60" i="7" s="1"/>
  <c r="R22" i="5"/>
  <c r="P29" i="5"/>
  <c r="O29" i="5" s="1"/>
  <c r="P43" i="5"/>
  <c r="P77" i="5"/>
  <c r="O77" i="5" s="1"/>
  <c r="Q88" i="5"/>
  <c r="P87" i="5"/>
  <c r="P21" i="5"/>
  <c r="O21" i="5" s="1"/>
  <c r="P47" i="5"/>
  <c r="O47" i="5" s="1"/>
  <c r="R77" i="5"/>
  <c r="R84" i="5"/>
  <c r="P10" i="5"/>
  <c r="O10" i="5" s="1"/>
  <c r="R31" i="5"/>
  <c r="R26" i="5"/>
  <c r="Q59" i="5"/>
  <c r="R28" i="5"/>
  <c r="R63" i="5"/>
  <c r="Q20" i="5"/>
  <c r="R34" i="5"/>
  <c r="Q28" i="5"/>
  <c r="P41" i="5"/>
  <c r="Y81" i="2"/>
  <c r="K61" i="2"/>
  <c r="P57" i="5"/>
  <c r="Q22" i="5"/>
  <c r="Q30" i="5"/>
  <c r="H91" i="5"/>
  <c r="R59" i="5"/>
  <c r="P39" i="5"/>
  <c r="P28" i="4"/>
  <c r="E96" i="7"/>
  <c r="E107" i="11"/>
  <c r="Y56" i="10" l="1"/>
  <c r="AA56" i="10" s="1"/>
  <c r="Y155" i="10"/>
  <c r="Y133" i="10"/>
  <c r="P50" i="4"/>
  <c r="N47" i="4"/>
  <c r="D12" i="5"/>
  <c r="H55" i="7"/>
  <c r="F57" i="7"/>
  <c r="F37" i="7"/>
  <c r="R23" i="4"/>
  <c r="F96" i="7"/>
  <c r="E20" i="7"/>
  <c r="C19" i="7"/>
  <c r="Y144" i="10"/>
  <c r="AA144" i="10" s="1"/>
  <c r="H20" i="7"/>
  <c r="R43" i="4"/>
  <c r="L68" i="5"/>
  <c r="N141" i="11"/>
  <c r="P141" i="11" s="1"/>
  <c r="H37" i="7"/>
  <c r="H35" i="7"/>
  <c r="H66" i="5"/>
  <c r="E219" i="1"/>
  <c r="P48" i="4"/>
  <c r="I66" i="5"/>
  <c r="F219" i="1"/>
  <c r="F221" i="1" s="1"/>
  <c r="R49" i="4"/>
  <c r="F74" i="7"/>
  <c r="H56" i="7"/>
  <c r="G60" i="7"/>
  <c r="Q76" i="10"/>
  <c r="N108" i="11"/>
  <c r="O108" i="11" s="1"/>
  <c r="P151" i="11"/>
  <c r="K43" i="10"/>
  <c r="N119" i="11"/>
  <c r="P119" i="11" s="1"/>
  <c r="H945" i="3"/>
  <c r="H1017" i="3" s="1"/>
  <c r="G36" i="7"/>
  <c r="J12" i="2"/>
  <c r="D35" i="1" s="1"/>
  <c r="D37" i="1" s="1"/>
  <c r="K81" i="4"/>
  <c r="R20" i="4"/>
  <c r="P20" i="4"/>
  <c r="Y34" i="10"/>
  <c r="AA34" i="10" s="1"/>
  <c r="P43" i="4"/>
  <c r="P31" i="4"/>
  <c r="P21" i="4"/>
  <c r="R21" i="4"/>
  <c r="P54" i="4"/>
  <c r="J49" i="2"/>
  <c r="N49" i="2" s="1"/>
  <c r="G449" i="3"/>
  <c r="N42" i="11"/>
  <c r="P42" i="11" s="1"/>
  <c r="I229" i="1"/>
  <c r="J228" i="1"/>
  <c r="H229" i="1"/>
  <c r="AA97" i="10"/>
  <c r="J225" i="1"/>
  <c r="D38" i="7"/>
  <c r="G38" i="7" s="1"/>
  <c r="C40" i="7"/>
  <c r="F40" i="7" s="1"/>
  <c r="J36" i="2"/>
  <c r="D112" i="1" s="1"/>
  <c r="H85" i="7"/>
  <c r="E80" i="7"/>
  <c r="H80" i="7" s="1"/>
  <c r="F41" i="5"/>
  <c r="N41" i="5" s="1"/>
  <c r="M86" i="5"/>
  <c r="E54" i="7"/>
  <c r="H54" i="7" s="1"/>
  <c r="L48" i="5"/>
  <c r="F97" i="7"/>
  <c r="N55" i="4"/>
  <c r="P22" i="4"/>
  <c r="R22" i="4"/>
  <c r="S153" i="10"/>
  <c r="Y78" i="10"/>
  <c r="AA78" i="10" s="1"/>
  <c r="N163" i="11"/>
  <c r="O163" i="11" s="1"/>
  <c r="E161" i="11"/>
  <c r="D128" i="11"/>
  <c r="Y164" i="10"/>
  <c r="I153" i="10"/>
  <c r="M142" i="10"/>
  <c r="Q131" i="10"/>
  <c r="C120" i="10"/>
  <c r="S109" i="10"/>
  <c r="O87" i="10"/>
  <c r="Y76" i="10"/>
  <c r="Q32" i="10"/>
  <c r="N86" i="11"/>
  <c r="O86" i="11" s="1"/>
  <c r="C154" i="10"/>
  <c r="G154" i="10" s="1"/>
  <c r="Y154" i="10" s="1"/>
  <c r="I142" i="10"/>
  <c r="K98" i="10"/>
  <c r="C131" i="10"/>
  <c r="C87" i="10"/>
  <c r="AA166" i="10"/>
  <c r="M256" i="6"/>
  <c r="D805" i="3" s="1"/>
  <c r="H805" i="3" s="1"/>
  <c r="H804" i="3" s="1"/>
  <c r="U76" i="10"/>
  <c r="Y32" i="10"/>
  <c r="G54" i="10"/>
  <c r="Q164" i="10"/>
  <c r="W98" i="10"/>
  <c r="E76" i="10"/>
  <c r="U32" i="10"/>
  <c r="S98" i="10"/>
  <c r="U87" i="10"/>
  <c r="C165" i="10"/>
  <c r="G165" i="10" s="1"/>
  <c r="Y165" i="10" s="1"/>
  <c r="M109" i="10"/>
  <c r="E30" i="11"/>
  <c r="E87" i="10"/>
  <c r="O139" i="11"/>
  <c r="N40" i="11"/>
  <c r="W153" i="10"/>
  <c r="W87" i="10"/>
  <c r="G153" i="10"/>
  <c r="C142" i="10"/>
  <c r="E131" i="10"/>
  <c r="C121" i="10"/>
  <c r="G121" i="10" s="1"/>
  <c r="Y121" i="10" s="1"/>
  <c r="G76" i="10"/>
  <c r="C44" i="10"/>
  <c r="E44" i="10" s="1"/>
  <c r="C132" i="10"/>
  <c r="G132" i="10" s="1"/>
  <c r="Y132" i="10" s="1"/>
  <c r="S43" i="10"/>
  <c r="O10" i="10"/>
  <c r="C110" i="10"/>
  <c r="E110" i="10" s="1"/>
  <c r="E142" i="10"/>
  <c r="I131" i="10"/>
  <c r="W54" i="10"/>
  <c r="G32" i="10"/>
  <c r="I21" i="10"/>
  <c r="E54" i="10"/>
  <c r="C153" i="10"/>
  <c r="C143" i="10"/>
  <c r="G143" i="10" s="1"/>
  <c r="Y143" i="10" s="1"/>
  <c r="Q142" i="10"/>
  <c r="C128" i="11"/>
  <c r="W40" i="4"/>
  <c r="W15" i="4"/>
  <c r="R39" i="4"/>
  <c r="P39" i="4"/>
  <c r="R60" i="4"/>
  <c r="P60" i="4"/>
  <c r="P55" i="4"/>
  <c r="P49" i="4"/>
  <c r="P32" i="4"/>
  <c r="N29" i="4"/>
  <c r="P56" i="4"/>
  <c r="P33" i="4"/>
  <c r="R31" i="4"/>
  <c r="P26" i="4"/>
  <c r="R46" i="4"/>
  <c r="R25" i="4"/>
  <c r="P46" i="4"/>
  <c r="P47" i="4"/>
  <c r="P44" i="4"/>
  <c r="R56" i="4"/>
  <c r="R54" i="4"/>
  <c r="P35" i="4"/>
  <c r="R32" i="4"/>
  <c r="P27" i="4"/>
  <c r="P59" i="4"/>
  <c r="R36" i="4"/>
  <c r="R38" i="4"/>
  <c r="P25" i="4"/>
  <c r="P38" i="4"/>
  <c r="R59" i="4"/>
  <c r="R35" i="4"/>
  <c r="R44" i="4"/>
  <c r="R52" i="4"/>
  <c r="R48" i="4"/>
  <c r="P52" i="4"/>
  <c r="R15" i="4"/>
  <c r="E28" i="5"/>
  <c r="M28" i="5" s="1"/>
  <c r="D18" i="7"/>
  <c r="G18" i="7" s="1"/>
  <c r="L19" i="2"/>
  <c r="P19" i="2" s="1"/>
  <c r="C54" i="7"/>
  <c r="F54" i="7" s="1"/>
  <c r="C17" i="7"/>
  <c r="F17" i="7" s="1"/>
  <c r="E98" i="7"/>
  <c r="H98" i="7" s="1"/>
  <c r="D92" i="5"/>
  <c r="L92" i="5" s="1"/>
  <c r="O96" i="2"/>
  <c r="N96" i="2"/>
  <c r="E84" i="5"/>
  <c r="M84" i="5" s="1"/>
  <c r="E172" i="1"/>
  <c r="H174" i="1" s="1"/>
  <c r="C47" i="5"/>
  <c r="K47" i="5" s="1"/>
  <c r="E45" i="7"/>
  <c r="H45" i="7" s="1"/>
  <c r="F31" i="5"/>
  <c r="N31" i="5" s="1"/>
  <c r="L34" i="5"/>
  <c r="C26" i="7"/>
  <c r="F26" i="7" s="1"/>
  <c r="D789" i="3"/>
  <c r="AA133" i="10"/>
  <c r="C99" i="10"/>
  <c r="D40" i="3"/>
  <c r="D39" i="3" s="1"/>
  <c r="D760" i="3"/>
  <c r="N41" i="11"/>
  <c r="O142" i="10"/>
  <c r="S87" i="10"/>
  <c r="C54" i="10"/>
  <c r="K153" i="10"/>
  <c r="I164" i="10"/>
  <c r="S131" i="10"/>
  <c r="Y43" i="10"/>
  <c r="Y98" i="10"/>
  <c r="I76" i="10"/>
  <c r="I32" i="10"/>
  <c r="N64" i="11"/>
  <c r="O64" i="11" s="1"/>
  <c r="H68" i="7"/>
  <c r="D19" i="3"/>
  <c r="E85" i="11"/>
  <c r="E41" i="11"/>
  <c r="D30" i="11"/>
  <c r="Q109" i="10"/>
  <c r="C47" i="7"/>
  <c r="F47" i="7" s="1"/>
  <c r="D31" i="5"/>
  <c r="L31" i="5" s="1"/>
  <c r="M40" i="11"/>
  <c r="G142" i="10"/>
  <c r="K87" i="10"/>
  <c r="K54" i="10"/>
  <c r="Y153" i="10"/>
  <c r="W164" i="10"/>
  <c r="K131" i="10"/>
  <c r="Q43" i="10"/>
  <c r="Q98" i="10"/>
  <c r="W76" i="10"/>
  <c r="W32" i="10"/>
  <c r="D687" i="3"/>
  <c r="Y122" i="10"/>
  <c r="AA122" i="10" s="1"/>
  <c r="Y45" i="10"/>
  <c r="AA45" i="10" s="1"/>
  <c r="K25" i="6"/>
  <c r="C11" i="10" s="1"/>
  <c r="R34" i="4"/>
  <c r="G68" i="7"/>
  <c r="G62" i="7"/>
  <c r="H48" i="7"/>
  <c r="F32" i="7"/>
  <c r="N30" i="11"/>
  <c r="Y111" i="10"/>
  <c r="AA111" i="10" s="1"/>
  <c r="U10" i="10"/>
  <c r="O141" i="11"/>
  <c r="I10" i="10"/>
  <c r="W109" i="10"/>
  <c r="K70" i="6"/>
  <c r="U142" i="10"/>
  <c r="Y87" i="10"/>
  <c r="Y54" i="10"/>
  <c r="Q153" i="10"/>
  <c r="O164" i="10"/>
  <c r="Y131" i="10"/>
  <c r="I43" i="10"/>
  <c r="I98" i="10"/>
  <c r="O76" i="10"/>
  <c r="O32" i="10"/>
  <c r="G55" i="7"/>
  <c r="C22" i="10"/>
  <c r="N74" i="11"/>
  <c r="M73" i="11"/>
  <c r="W43" i="10"/>
  <c r="M322" i="6"/>
  <c r="N129" i="11"/>
  <c r="C118" i="11"/>
  <c r="K29" i="11"/>
  <c r="H96" i="7"/>
  <c r="M91" i="5"/>
  <c r="D53" i="7"/>
  <c r="G53" i="7" s="1"/>
  <c r="C74" i="11"/>
  <c r="R57" i="4"/>
  <c r="P61" i="4"/>
  <c r="W142" i="10"/>
  <c r="Q87" i="10"/>
  <c r="S54" i="10"/>
  <c r="O153" i="10"/>
  <c r="M164" i="10"/>
  <c r="W131" i="10"/>
  <c r="G43" i="10"/>
  <c r="G98" i="10"/>
  <c r="M76" i="10"/>
  <c r="M32" i="10"/>
  <c r="G89" i="3"/>
  <c r="N118" i="11"/>
  <c r="F48" i="7"/>
  <c r="K73" i="4"/>
  <c r="C129" i="11"/>
  <c r="E118" i="11"/>
  <c r="L182" i="6"/>
  <c r="Q54" i="10"/>
  <c r="E164" i="10"/>
  <c r="O131" i="10"/>
  <c r="U43" i="10"/>
  <c r="K184" i="6"/>
  <c r="C55" i="10"/>
  <c r="F128" i="11"/>
  <c r="P15" i="4"/>
  <c r="O43" i="10"/>
  <c r="F29" i="5"/>
  <c r="N29" i="5" s="1"/>
  <c r="P51" i="4"/>
  <c r="P57" i="4"/>
  <c r="U98" i="10"/>
  <c r="G81" i="7"/>
  <c r="D85" i="11"/>
  <c r="D40" i="7"/>
  <c r="G40" i="7" s="1"/>
  <c r="P34" i="4"/>
  <c r="D39" i="7"/>
  <c r="G39" i="7" s="1"/>
  <c r="N107" i="11"/>
  <c r="R40" i="4"/>
  <c r="R29" i="4"/>
  <c r="AA155" i="10"/>
  <c r="S142" i="10"/>
  <c r="M87" i="10"/>
  <c r="O54" i="10"/>
  <c r="U153" i="10"/>
  <c r="C164" i="10"/>
  <c r="G131" i="10"/>
  <c r="M43" i="10"/>
  <c r="M98" i="10"/>
  <c r="C76" i="10"/>
  <c r="C32" i="10"/>
  <c r="G85" i="7"/>
  <c r="K91" i="4"/>
  <c r="F95" i="7"/>
  <c r="H47" i="7"/>
  <c r="D184" i="3"/>
  <c r="E173" i="11"/>
  <c r="J173" i="11"/>
  <c r="K173" i="11"/>
  <c r="M173" i="11"/>
  <c r="N173" i="11"/>
  <c r="F173" i="11"/>
  <c r="G173" i="11"/>
  <c r="H173" i="11"/>
  <c r="I173" i="11"/>
  <c r="L173" i="11"/>
  <c r="D173" i="11"/>
  <c r="C173" i="11"/>
  <c r="L180" i="6"/>
  <c r="C52" i="11"/>
  <c r="K163" i="6"/>
  <c r="C77" i="10" s="1"/>
  <c r="U164" i="10"/>
  <c r="K137" i="6"/>
  <c r="C66" i="10" s="1"/>
  <c r="P139" i="11"/>
  <c r="E32" i="10"/>
  <c r="E63" i="7"/>
  <c r="H63" i="7" s="1"/>
  <c r="E63" i="11"/>
  <c r="O63" i="11" s="1"/>
  <c r="P40" i="4"/>
  <c r="K142" i="10"/>
  <c r="I87" i="10"/>
  <c r="M54" i="10"/>
  <c r="M153" i="10"/>
  <c r="S164" i="10"/>
  <c r="U131" i="10"/>
  <c r="E43" i="10"/>
  <c r="E98" i="10"/>
  <c r="S76" i="10"/>
  <c r="S32" i="10"/>
  <c r="G72" i="7"/>
  <c r="Y23" i="10"/>
  <c r="AA23" i="10" s="1"/>
  <c r="H81" i="7"/>
  <c r="P162" i="11"/>
  <c r="N53" i="11"/>
  <c r="O53" i="11" s="1"/>
  <c r="P140" i="11"/>
  <c r="N20" i="11"/>
  <c r="P20" i="11" s="1"/>
  <c r="D212" i="1"/>
  <c r="N52" i="11"/>
  <c r="H386" i="3"/>
  <c r="I161" i="11"/>
  <c r="N19" i="11"/>
  <c r="D19" i="11"/>
  <c r="E19" i="11"/>
  <c r="C19" i="11"/>
  <c r="U54" i="10"/>
  <c r="P95" i="11"/>
  <c r="O106" i="11"/>
  <c r="G737" i="3"/>
  <c r="R18" i="4"/>
  <c r="E22" i="5"/>
  <c r="M22" i="5" s="1"/>
  <c r="D40" i="11"/>
  <c r="P36" i="4"/>
  <c r="R26" i="4"/>
  <c r="Y142" i="10"/>
  <c r="G87" i="10"/>
  <c r="I54" i="10"/>
  <c r="E153" i="10"/>
  <c r="K164" i="10"/>
  <c r="M131" i="10"/>
  <c r="C43" i="10"/>
  <c r="C98" i="10"/>
  <c r="K76" i="10"/>
  <c r="K32" i="10"/>
  <c r="C88" i="10"/>
  <c r="N130" i="11"/>
  <c r="O130" i="11" s="1"/>
  <c r="G34" i="7"/>
  <c r="H32" i="7"/>
  <c r="M278" i="6"/>
  <c r="D877" i="3" s="1"/>
  <c r="D876" i="3" s="1"/>
  <c r="D875" i="3" s="1"/>
  <c r="L202" i="6"/>
  <c r="F19" i="7"/>
  <c r="G164" i="10"/>
  <c r="R51" i="4"/>
  <c r="R37" i="4"/>
  <c r="O98" i="10"/>
  <c r="C107" i="11"/>
  <c r="E34" i="5"/>
  <c r="M34" i="5" s="1"/>
  <c r="C34" i="7"/>
  <c r="F34" i="7" s="1"/>
  <c r="E91" i="7"/>
  <c r="H91" i="7" s="1"/>
  <c r="P18" i="4"/>
  <c r="P23" i="4"/>
  <c r="Y89" i="10"/>
  <c r="AA89" i="10" s="1"/>
  <c r="F91" i="7"/>
  <c r="M161" i="11"/>
  <c r="K120" i="10"/>
  <c r="O120" i="10"/>
  <c r="Y120" i="10"/>
  <c r="M128" i="11"/>
  <c r="U120" i="10"/>
  <c r="E120" i="10"/>
  <c r="M120" i="10"/>
  <c r="N128" i="11"/>
  <c r="I120" i="10"/>
  <c r="G120" i="10"/>
  <c r="G128" i="11"/>
  <c r="W120" i="10"/>
  <c r="S120" i="10"/>
  <c r="Q120" i="10"/>
  <c r="K117" i="11"/>
  <c r="O109" i="10"/>
  <c r="E109" i="10"/>
  <c r="K109" i="10"/>
  <c r="M117" i="11"/>
  <c r="C109" i="10"/>
  <c r="U109" i="10"/>
  <c r="I109" i="10"/>
  <c r="G109" i="10"/>
  <c r="Y109" i="10"/>
  <c r="H117" i="11"/>
  <c r="I40" i="11"/>
  <c r="H40" i="11"/>
  <c r="G21" i="10"/>
  <c r="U21" i="10"/>
  <c r="K21" i="10"/>
  <c r="C21" i="10"/>
  <c r="Y21" i="10"/>
  <c r="E21" i="10"/>
  <c r="C29" i="11"/>
  <c r="M21" i="10"/>
  <c r="W21" i="10"/>
  <c r="G29" i="11"/>
  <c r="S21" i="10"/>
  <c r="O21" i="10"/>
  <c r="Q21" i="10"/>
  <c r="Q10" i="10"/>
  <c r="G10" i="10"/>
  <c r="K10" i="10"/>
  <c r="E10" i="10"/>
  <c r="M10" i="10"/>
  <c r="S10" i="10"/>
  <c r="Y10" i="10"/>
  <c r="E18" i="11"/>
  <c r="H18" i="11"/>
  <c r="G18" i="11"/>
  <c r="J18" i="11"/>
  <c r="K18" i="11"/>
  <c r="L18" i="11"/>
  <c r="I18" i="11"/>
  <c r="F18" i="11"/>
  <c r="C18" i="11"/>
  <c r="M18" i="11"/>
  <c r="D18" i="11"/>
  <c r="N18" i="11"/>
  <c r="C10" i="10"/>
  <c r="W10" i="10"/>
  <c r="AA12" i="10"/>
  <c r="O140" i="11"/>
  <c r="O62" i="11"/>
  <c r="P106" i="11"/>
  <c r="O162" i="11"/>
  <c r="N97" i="11"/>
  <c r="P97" i="11" s="1"/>
  <c r="O95" i="11"/>
  <c r="N31" i="11"/>
  <c r="O31" i="11" s="1"/>
  <c r="O105" i="11"/>
  <c r="P105" i="11"/>
  <c r="E52" i="11"/>
  <c r="E117" i="11"/>
  <c r="E74" i="11"/>
  <c r="D41" i="11"/>
  <c r="M212" i="6"/>
  <c r="D661" i="3" s="1"/>
  <c r="J40" i="11"/>
  <c r="C161" i="11"/>
  <c r="N117" i="11"/>
  <c r="K40" i="11"/>
  <c r="G117" i="11"/>
  <c r="G161" i="11"/>
  <c r="D29" i="11"/>
  <c r="D804" i="3"/>
  <c r="D803" i="3" s="1"/>
  <c r="E40" i="11"/>
  <c r="L29" i="11"/>
  <c r="E129" i="11"/>
  <c r="C40" i="11"/>
  <c r="H161" i="11"/>
  <c r="J161" i="11"/>
  <c r="L128" i="11"/>
  <c r="I117" i="11"/>
  <c r="L117" i="11"/>
  <c r="N29" i="11"/>
  <c r="C30" i="11"/>
  <c r="C41" i="11"/>
  <c r="N73" i="11"/>
  <c r="C117" i="11"/>
  <c r="D118" i="11"/>
  <c r="J128" i="11"/>
  <c r="D129" i="11"/>
  <c r="E29" i="11"/>
  <c r="G40" i="11"/>
  <c r="C85" i="11"/>
  <c r="D52" i="11"/>
  <c r="F40" i="11"/>
  <c r="D74" i="11"/>
  <c r="H128" i="11"/>
  <c r="M300" i="6"/>
  <c r="D949" i="3" s="1"/>
  <c r="D948" i="3" s="1"/>
  <c r="M36" i="6"/>
  <c r="D85" i="3" s="1"/>
  <c r="M11" i="6"/>
  <c r="D13" i="3" s="1"/>
  <c r="M234" i="6"/>
  <c r="D733" i="3" s="1"/>
  <c r="K161" i="11"/>
  <c r="F117" i="11"/>
  <c r="F29" i="11"/>
  <c r="N85" i="11"/>
  <c r="N161" i="11"/>
  <c r="I128" i="11"/>
  <c r="K128" i="11"/>
  <c r="D117" i="11"/>
  <c r="L40" i="11"/>
  <c r="N51" i="11"/>
  <c r="O51" i="11" s="1"/>
  <c r="H29" i="11"/>
  <c r="M29" i="11"/>
  <c r="I29" i="11"/>
  <c r="E128" i="11"/>
  <c r="F161" i="11"/>
  <c r="P62" i="11"/>
  <c r="J117" i="11"/>
  <c r="D161" i="11"/>
  <c r="J29" i="11"/>
  <c r="L161" i="11"/>
  <c r="O174" i="11"/>
  <c r="P16" i="4"/>
  <c r="R16" i="4"/>
  <c r="R61" i="4"/>
  <c r="R27" i="4"/>
  <c r="P58" i="4"/>
  <c r="R50" i="4"/>
  <c r="P30" i="4"/>
  <c r="R42" i="4"/>
  <c r="P24" i="4"/>
  <c r="R45" i="4"/>
  <c r="P37" i="4"/>
  <c r="R30" i="4"/>
  <c r="P42" i="4"/>
  <c r="R24" i="4"/>
  <c r="P45" i="4"/>
  <c r="R33" i="4"/>
  <c r="R19" i="4"/>
  <c r="R58" i="4"/>
  <c r="P19" i="4"/>
  <c r="L33" i="5"/>
  <c r="E304" i="1"/>
  <c r="E306" i="1" s="1"/>
  <c r="E307" i="1" s="1"/>
  <c r="M46" i="5"/>
  <c r="M40" i="5"/>
  <c r="L39" i="5"/>
  <c r="E74" i="7"/>
  <c r="H74" i="7" s="1"/>
  <c r="D48" i="7"/>
  <c r="G48" i="7" s="1"/>
  <c r="D46" i="7"/>
  <c r="G46" i="7" s="1"/>
  <c r="C45" i="7"/>
  <c r="F45" i="7" s="1"/>
  <c r="D26" i="5"/>
  <c r="L26" i="5" s="1"/>
  <c r="D88" i="5"/>
  <c r="L88" i="5" s="1"/>
  <c r="D52" i="7"/>
  <c r="G52" i="7" s="1"/>
  <c r="D45" i="5"/>
  <c r="L45" i="5" s="1"/>
  <c r="E94" i="1"/>
  <c r="E96" i="1" s="1"/>
  <c r="C53" i="7"/>
  <c r="F53" i="7" s="1"/>
  <c r="F26" i="5"/>
  <c r="N26" i="5" s="1"/>
  <c r="F86" i="5"/>
  <c r="N86" i="5" s="1"/>
  <c r="M84" i="2"/>
  <c r="E83" i="7" s="1"/>
  <c r="H83" i="7" s="1"/>
  <c r="F77" i="5"/>
  <c r="N77" i="5" s="1"/>
  <c r="D61" i="5"/>
  <c r="L61" i="5" s="1"/>
  <c r="C63" i="7"/>
  <c r="F63" i="7" s="1"/>
  <c r="M42" i="5"/>
  <c r="D54" i="5"/>
  <c r="L54" i="5" s="1"/>
  <c r="M85" i="2"/>
  <c r="G267" i="1" s="1"/>
  <c r="G269" i="1" s="1"/>
  <c r="D66" i="7"/>
  <c r="G66" i="7" s="1"/>
  <c r="L85" i="5"/>
  <c r="N83" i="5"/>
  <c r="D60" i="5"/>
  <c r="L60" i="5" s="1"/>
  <c r="N48" i="5"/>
  <c r="E72" i="7"/>
  <c r="H72" i="7" s="1"/>
  <c r="E255" i="1"/>
  <c r="E257" i="1" s="1"/>
  <c r="O81" i="2"/>
  <c r="D54" i="7"/>
  <c r="G54" i="7" s="1"/>
  <c r="P50" i="2"/>
  <c r="E41" i="7"/>
  <c r="H41" i="7" s="1"/>
  <c r="Q37" i="2"/>
  <c r="D72" i="5"/>
  <c r="L72" i="5" s="1"/>
  <c r="O76" i="2"/>
  <c r="F57" i="5"/>
  <c r="N57" i="5" s="1"/>
  <c r="Q61" i="2"/>
  <c r="C72" i="7"/>
  <c r="F72" i="7" s="1"/>
  <c r="D58" i="5"/>
  <c r="L58" i="5" s="1"/>
  <c r="O62" i="2"/>
  <c r="E88" i="5"/>
  <c r="M88" i="5" s="1"/>
  <c r="P92" i="2"/>
  <c r="E284" i="1"/>
  <c r="H286" i="1" s="1"/>
  <c r="O90" i="2"/>
  <c r="F84" i="5"/>
  <c r="N84" i="5" s="1"/>
  <c r="Q88" i="2"/>
  <c r="E277" i="1"/>
  <c r="H279" i="1" s="1"/>
  <c r="O88" i="2"/>
  <c r="D86" i="7"/>
  <c r="G86" i="7" s="1"/>
  <c r="P87" i="2"/>
  <c r="F255" i="1"/>
  <c r="F257" i="1" s="1"/>
  <c r="P81" i="2"/>
  <c r="G230" i="1"/>
  <c r="G232" i="1" s="1"/>
  <c r="Q73" i="2"/>
  <c r="J73" i="2"/>
  <c r="N73" i="2" s="1"/>
  <c r="O73" i="2"/>
  <c r="G213" i="1"/>
  <c r="G215" i="1" s="1"/>
  <c r="Q68" i="2"/>
  <c r="G207" i="1"/>
  <c r="G209" i="1" s="1"/>
  <c r="Q66" i="2"/>
  <c r="F204" i="1"/>
  <c r="F206" i="1" s="1"/>
  <c r="P65" i="2"/>
  <c r="F197" i="1"/>
  <c r="F199" i="1" s="1"/>
  <c r="P63" i="2"/>
  <c r="G193" i="1"/>
  <c r="G195" i="1" s="1"/>
  <c r="Q67" i="2"/>
  <c r="E193" i="1"/>
  <c r="H195" i="1" s="1"/>
  <c r="O67" i="2"/>
  <c r="D63" i="7"/>
  <c r="G63" i="7" s="1"/>
  <c r="P64" i="2"/>
  <c r="G187" i="1"/>
  <c r="G189" i="1" s="1"/>
  <c r="Q60" i="2"/>
  <c r="E187" i="1"/>
  <c r="H189" i="1" s="1"/>
  <c r="O60" i="2"/>
  <c r="E181" i="1"/>
  <c r="H183" i="1" s="1"/>
  <c r="O58" i="2"/>
  <c r="E54" i="5"/>
  <c r="M54" i="5" s="1"/>
  <c r="F175" i="1"/>
  <c r="F177" i="1" s="1"/>
  <c r="P56" i="2"/>
  <c r="E163" i="1"/>
  <c r="H165" i="1" s="1"/>
  <c r="O52" i="2"/>
  <c r="G150" i="1"/>
  <c r="G152" i="1" s="1"/>
  <c r="Q48" i="2"/>
  <c r="E150" i="1"/>
  <c r="E152" i="1" s="1"/>
  <c r="O48" i="2"/>
  <c r="E45" i="5"/>
  <c r="M45" i="5" s="1"/>
  <c r="P47" i="2"/>
  <c r="F44" i="5"/>
  <c r="N44" i="5" s="1"/>
  <c r="Q46" i="2"/>
  <c r="E143" i="1"/>
  <c r="H145" i="1" s="1"/>
  <c r="O46" i="2"/>
  <c r="F140" i="1"/>
  <c r="F142" i="1" s="1"/>
  <c r="P45" i="2"/>
  <c r="G136" i="1"/>
  <c r="G138" i="1" s="1"/>
  <c r="Q44" i="2"/>
  <c r="D42" i="5"/>
  <c r="L42" i="5" s="1"/>
  <c r="O44" i="2"/>
  <c r="D47" i="7"/>
  <c r="G47" i="7" s="1"/>
  <c r="P43" i="2"/>
  <c r="G130" i="1"/>
  <c r="G132" i="1" s="1"/>
  <c r="Q42" i="2"/>
  <c r="E130" i="1"/>
  <c r="E132" i="1" s="1"/>
  <c r="O42" i="2"/>
  <c r="F127" i="1"/>
  <c r="F129" i="1" s="1"/>
  <c r="P41" i="2"/>
  <c r="E112" i="1"/>
  <c r="E114" i="1" s="1"/>
  <c r="O36" i="2"/>
  <c r="F109" i="1"/>
  <c r="F111" i="1" s="1"/>
  <c r="P35" i="2"/>
  <c r="F106" i="1"/>
  <c r="F108" i="1" s="1"/>
  <c r="P34" i="2"/>
  <c r="G103" i="1"/>
  <c r="G105" i="1" s="1"/>
  <c r="Q33" i="2"/>
  <c r="E103" i="1"/>
  <c r="H105" i="1" s="1"/>
  <c r="O33" i="2"/>
  <c r="E30" i="5"/>
  <c r="M30" i="5" s="1"/>
  <c r="P32" i="2"/>
  <c r="G304" i="1"/>
  <c r="G306" i="1" s="1"/>
  <c r="G307" i="1" s="1"/>
  <c r="Q96" i="2"/>
  <c r="F52" i="5"/>
  <c r="N52" i="5" s="1"/>
  <c r="Q54" i="2"/>
  <c r="E68" i="5"/>
  <c r="M68" i="5" s="1"/>
  <c r="G300" i="1"/>
  <c r="G302" i="1" s="1"/>
  <c r="G303" i="1" s="1"/>
  <c r="Q95" i="2"/>
  <c r="N36" i="2"/>
  <c r="M39" i="5"/>
  <c r="E95" i="7"/>
  <c r="H95" i="7" s="1"/>
  <c r="C60" i="7"/>
  <c r="F60" i="7" s="1"/>
  <c r="O61" i="2"/>
  <c r="F67" i="5"/>
  <c r="N67" i="5" s="1"/>
  <c r="E58" i="5"/>
  <c r="M58" i="5" s="1"/>
  <c r="P62" i="2"/>
  <c r="F300" i="1"/>
  <c r="F302" i="1" s="1"/>
  <c r="F303" i="1" s="1"/>
  <c r="P95" i="2"/>
  <c r="E94" i="7"/>
  <c r="H94" i="7" s="1"/>
  <c r="G255" i="1"/>
  <c r="G257" i="1" s="1"/>
  <c r="G233" i="1"/>
  <c r="G235" i="1" s="1"/>
  <c r="Q74" i="2"/>
  <c r="L70" i="2"/>
  <c r="P70" i="2" s="1"/>
  <c r="P68" i="2"/>
  <c r="G157" i="1"/>
  <c r="G159" i="1" s="1"/>
  <c r="Q50" i="2"/>
  <c r="E157" i="1"/>
  <c r="H159" i="1" s="1"/>
  <c r="O50" i="2"/>
  <c r="D154" i="1"/>
  <c r="D156" i="1" s="1"/>
  <c r="D196" i="1" s="1"/>
  <c r="L40" i="2"/>
  <c r="P37" i="2"/>
  <c r="D71" i="5"/>
  <c r="L71" i="5" s="1"/>
  <c r="O75" i="2"/>
  <c r="G160" i="1"/>
  <c r="G162" i="1" s="1"/>
  <c r="Q51" i="2"/>
  <c r="E52" i="5"/>
  <c r="M52" i="5" s="1"/>
  <c r="P54" i="2"/>
  <c r="E300" i="1"/>
  <c r="H302" i="1" s="1"/>
  <c r="H303" i="1" s="1"/>
  <c r="C22" i="1" s="1"/>
  <c r="O95" i="2"/>
  <c r="F252" i="1"/>
  <c r="F254" i="1" s="1"/>
  <c r="P80" i="2"/>
  <c r="L79" i="2"/>
  <c r="F248" i="1" s="1"/>
  <c r="F250" i="1" s="1"/>
  <c r="P74" i="2"/>
  <c r="J68" i="2"/>
  <c r="C64" i="5" s="1"/>
  <c r="K64" i="5" s="1"/>
  <c r="O68" i="2"/>
  <c r="G121" i="1"/>
  <c r="G123" i="1" s="1"/>
  <c r="Q39" i="2"/>
  <c r="E57" i="5"/>
  <c r="M57" i="5" s="1"/>
  <c r="P61" i="2"/>
  <c r="E67" i="5"/>
  <c r="M67" i="5" s="1"/>
  <c r="C73" i="7"/>
  <c r="F73" i="7" s="1"/>
  <c r="M94" i="2"/>
  <c r="Q94" i="2" s="1"/>
  <c r="Q92" i="2"/>
  <c r="E290" i="1"/>
  <c r="E292" i="1" s="1"/>
  <c r="O92" i="2"/>
  <c r="F87" i="5"/>
  <c r="N87" i="5" s="1"/>
  <c r="Q91" i="2"/>
  <c r="E287" i="1"/>
  <c r="E289" i="1" s="1"/>
  <c r="O91" i="2"/>
  <c r="F284" i="1"/>
  <c r="F286" i="1" s="1"/>
  <c r="P90" i="2"/>
  <c r="G280" i="1"/>
  <c r="G282" i="1" s="1"/>
  <c r="Q89" i="2"/>
  <c r="E280" i="1"/>
  <c r="H282" i="1" s="1"/>
  <c r="O89" i="2"/>
  <c r="F277" i="1"/>
  <c r="F279" i="1" s="1"/>
  <c r="G273" i="1"/>
  <c r="G275" i="1" s="1"/>
  <c r="Q87" i="2"/>
  <c r="D74" i="7"/>
  <c r="G74" i="7" s="1"/>
  <c r="P73" i="2"/>
  <c r="E62" i="5"/>
  <c r="M62" i="5" s="1"/>
  <c r="P66" i="2"/>
  <c r="E197" i="1"/>
  <c r="H199" i="1" s="1"/>
  <c r="O63" i="2"/>
  <c r="F210" i="1"/>
  <c r="F212" i="1" s="1"/>
  <c r="P67" i="2"/>
  <c r="G190" i="1"/>
  <c r="G192" i="1" s="1"/>
  <c r="Q64" i="2"/>
  <c r="E56" i="5"/>
  <c r="M56" i="5" s="1"/>
  <c r="P60" i="2"/>
  <c r="D58" i="7"/>
  <c r="G58" i="7" s="1"/>
  <c r="P58" i="2"/>
  <c r="G178" i="1"/>
  <c r="G180" i="1" s="1"/>
  <c r="E178" i="1"/>
  <c r="E180" i="1" s="1"/>
  <c r="G175" i="1"/>
  <c r="G177" i="1" s="1"/>
  <c r="Q56" i="2"/>
  <c r="E166" i="1"/>
  <c r="H168" i="1" s="1"/>
  <c r="O53" i="2"/>
  <c r="F150" i="1"/>
  <c r="F152" i="1" s="1"/>
  <c r="P48" i="2"/>
  <c r="F143" i="1"/>
  <c r="F145" i="1" s="1"/>
  <c r="P46" i="2"/>
  <c r="G140" i="1"/>
  <c r="G142" i="1" s="1"/>
  <c r="Q45" i="2"/>
  <c r="E140" i="1"/>
  <c r="H142" i="1" s="1"/>
  <c r="O45" i="2"/>
  <c r="F136" i="1"/>
  <c r="F138" i="1" s="1"/>
  <c r="P44" i="2"/>
  <c r="G133" i="1"/>
  <c r="G135" i="1" s="1"/>
  <c r="Q43" i="2"/>
  <c r="E133" i="1"/>
  <c r="H135" i="1" s="1"/>
  <c r="O43" i="2"/>
  <c r="F130" i="1"/>
  <c r="F132" i="1" s="1"/>
  <c r="P42" i="2"/>
  <c r="G127" i="1"/>
  <c r="G129" i="1" s="1"/>
  <c r="Q41" i="2"/>
  <c r="E127" i="1"/>
  <c r="H129" i="1" s="1"/>
  <c r="O41" i="2"/>
  <c r="G112" i="1"/>
  <c r="G114" i="1" s="1"/>
  <c r="Q36" i="2"/>
  <c r="E39" i="7"/>
  <c r="H39" i="7" s="1"/>
  <c r="Q35" i="2"/>
  <c r="E109" i="1"/>
  <c r="E111" i="1" s="1"/>
  <c r="O35" i="2"/>
  <c r="E38" i="7"/>
  <c r="H38" i="7" s="1"/>
  <c r="Q34" i="2"/>
  <c r="E106" i="1"/>
  <c r="H108" i="1" s="1"/>
  <c r="O34" i="2"/>
  <c r="F103" i="1"/>
  <c r="F105" i="1" s="1"/>
  <c r="P33" i="2"/>
  <c r="G100" i="1"/>
  <c r="G102" i="1" s="1"/>
  <c r="Q32" i="2"/>
  <c r="D98" i="7"/>
  <c r="G98" i="7" s="1"/>
  <c r="P96" i="2"/>
  <c r="D47" i="5"/>
  <c r="L47" i="5" s="1"/>
  <c r="O49" i="2"/>
  <c r="G91" i="1"/>
  <c r="G93" i="1" s="1"/>
  <c r="Q31" i="2"/>
  <c r="J29" i="2"/>
  <c r="N29" i="2" s="1"/>
  <c r="O29" i="2"/>
  <c r="F85" i="1"/>
  <c r="F87" i="1" s="1"/>
  <c r="P28" i="2"/>
  <c r="J22" i="2"/>
  <c r="O22" i="2"/>
  <c r="G44" i="1"/>
  <c r="G46" i="1" s="1"/>
  <c r="Q15" i="2"/>
  <c r="J14" i="2"/>
  <c r="O14" i="2"/>
  <c r="F38" i="1"/>
  <c r="F40" i="1" s="1"/>
  <c r="P13" i="2"/>
  <c r="E35" i="1"/>
  <c r="E37" i="1" s="1"/>
  <c r="O12" i="2"/>
  <c r="G94" i="1"/>
  <c r="G96" i="1" s="1"/>
  <c r="Q30" i="2"/>
  <c r="G88" i="1"/>
  <c r="G90" i="1" s="1"/>
  <c r="Q29" i="2"/>
  <c r="J24" i="2"/>
  <c r="N24" i="2" s="1"/>
  <c r="O24" i="2"/>
  <c r="K27" i="2"/>
  <c r="O27" i="2" s="1"/>
  <c r="O23" i="2"/>
  <c r="F66" i="1"/>
  <c r="F68" i="1" s="1"/>
  <c r="P22" i="2"/>
  <c r="E62" i="1"/>
  <c r="H64" i="1" s="1"/>
  <c r="O21" i="2"/>
  <c r="E59" i="1"/>
  <c r="H61" i="1" s="1"/>
  <c r="O20" i="2"/>
  <c r="F12" i="5"/>
  <c r="N12" i="5" s="1"/>
  <c r="Q14" i="2"/>
  <c r="J13" i="2"/>
  <c r="N13" i="2" s="1"/>
  <c r="O13" i="2"/>
  <c r="D19" i="5"/>
  <c r="L19" i="5" s="1"/>
  <c r="C35" i="7"/>
  <c r="F35" i="7" s="1"/>
  <c r="O31" i="2"/>
  <c r="F94" i="1"/>
  <c r="F96" i="1" s="1"/>
  <c r="P30" i="2"/>
  <c r="J30" i="2"/>
  <c r="N30" i="2" s="1"/>
  <c r="O30" i="2"/>
  <c r="F88" i="1"/>
  <c r="F90" i="1" s="1"/>
  <c r="P29" i="2"/>
  <c r="F21" i="5"/>
  <c r="N21" i="5" s="1"/>
  <c r="Q23" i="2"/>
  <c r="J15" i="2"/>
  <c r="O15" i="2"/>
  <c r="N13" i="5"/>
  <c r="G85" i="1"/>
  <c r="G87" i="1" s="1"/>
  <c r="Q28" i="2"/>
  <c r="J28" i="2"/>
  <c r="O28" i="2"/>
  <c r="L21" i="2"/>
  <c r="P15" i="2"/>
  <c r="D14" i="5"/>
  <c r="L14" i="5" s="1"/>
  <c r="O16" i="2"/>
  <c r="D26" i="7"/>
  <c r="G26" i="7" s="1"/>
  <c r="E52" i="7"/>
  <c r="H52" i="7" s="1"/>
  <c r="D91" i="5"/>
  <c r="L91" i="5" s="1"/>
  <c r="D94" i="7"/>
  <c r="G94" i="7" s="1"/>
  <c r="E76" i="5"/>
  <c r="M76" i="5" s="1"/>
  <c r="D83" i="5"/>
  <c r="L83" i="5" s="1"/>
  <c r="C18" i="7"/>
  <c r="F18" i="7" s="1"/>
  <c r="C24" i="7"/>
  <c r="F24" i="7" s="1"/>
  <c r="C59" i="7"/>
  <c r="F59" i="7" s="1"/>
  <c r="D22" i="5"/>
  <c r="L22" i="5" s="1"/>
  <c r="E65" i="7"/>
  <c r="H65" i="7" s="1"/>
  <c r="E61" i="5"/>
  <c r="M61" i="5" s="1"/>
  <c r="M32" i="5"/>
  <c r="L28" i="5"/>
  <c r="L41" i="5"/>
  <c r="L20" i="5"/>
  <c r="M63" i="5"/>
  <c r="M43" i="5"/>
  <c r="L12" i="5"/>
  <c r="M26" i="5"/>
  <c r="F42" i="5"/>
  <c r="N42" i="5" s="1"/>
  <c r="E20" i="5"/>
  <c r="M20" i="5" s="1"/>
  <c r="D84" i="5"/>
  <c r="L84" i="5" s="1"/>
  <c r="E59" i="5"/>
  <c r="M59" i="5" s="1"/>
  <c r="C89" i="7"/>
  <c r="F89" i="7" s="1"/>
  <c r="C87" i="7"/>
  <c r="F87" i="7" s="1"/>
  <c r="E33" i="7"/>
  <c r="H33" i="7" s="1"/>
  <c r="D49" i="7"/>
  <c r="G49" i="7" s="1"/>
  <c r="C50" i="7"/>
  <c r="F50" i="7" s="1"/>
  <c r="E72" i="1"/>
  <c r="E74" i="1" s="1"/>
  <c r="K19" i="2"/>
  <c r="C23" i="7" s="1"/>
  <c r="F23" i="7" s="1"/>
  <c r="E38" i="1"/>
  <c r="E40" i="1" s="1"/>
  <c r="D45" i="7"/>
  <c r="G45" i="7" s="1"/>
  <c r="C27" i="7"/>
  <c r="F27" i="7" s="1"/>
  <c r="D97" i="7"/>
  <c r="G97" i="7" s="1"/>
  <c r="E34" i="7"/>
  <c r="H34" i="7" s="1"/>
  <c r="D11" i="5"/>
  <c r="L11" i="5" s="1"/>
  <c r="C52" i="7"/>
  <c r="F52" i="7" s="1"/>
  <c r="F40" i="5"/>
  <c r="N40" i="5" s="1"/>
  <c r="C28" i="7"/>
  <c r="F28" i="7" s="1"/>
  <c r="D13" i="5"/>
  <c r="L13" i="5" s="1"/>
  <c r="C25" i="7"/>
  <c r="F25" i="7" s="1"/>
  <c r="D46" i="5"/>
  <c r="L46" i="5" s="1"/>
  <c r="D67" i="5"/>
  <c r="L67" i="5" s="1"/>
  <c r="F193" i="1"/>
  <c r="F195" i="1" s="1"/>
  <c r="K39" i="2"/>
  <c r="O39" i="2" s="1"/>
  <c r="L26" i="2"/>
  <c r="P26" i="2" s="1"/>
  <c r="D18" i="5"/>
  <c r="L18" i="5" s="1"/>
  <c r="L10" i="5"/>
  <c r="F28" i="5"/>
  <c r="N28" i="5" s="1"/>
  <c r="D86" i="5"/>
  <c r="L86" i="5" s="1"/>
  <c r="D21" i="5"/>
  <c r="L21" i="5" s="1"/>
  <c r="F27" i="5"/>
  <c r="N27" i="5" s="1"/>
  <c r="M11" i="5"/>
  <c r="D73" i="7"/>
  <c r="G73" i="7" s="1"/>
  <c r="D44" i="5"/>
  <c r="L44" i="5" s="1"/>
  <c r="N88" i="5"/>
  <c r="E239" i="1"/>
  <c r="E241" i="1" s="1"/>
  <c r="I241" i="1" s="1"/>
  <c r="E88" i="7"/>
  <c r="H88" i="7" s="1"/>
  <c r="M70" i="2"/>
  <c r="Q70" i="2" s="1"/>
  <c r="D77" i="5"/>
  <c r="L77" i="5" s="1"/>
  <c r="C39" i="7"/>
  <c r="F39" i="7" s="1"/>
  <c r="F70" i="5"/>
  <c r="N70" i="5" s="1"/>
  <c r="F34" i="5"/>
  <c r="N34" i="5" s="1"/>
  <c r="C90" i="7"/>
  <c r="F90" i="7" s="1"/>
  <c r="F85" i="5"/>
  <c r="N85" i="5" s="1"/>
  <c r="E27" i="5"/>
  <c r="M27" i="5" s="1"/>
  <c r="E27" i="7"/>
  <c r="H27" i="7" s="1"/>
  <c r="D89" i="7"/>
  <c r="G89" i="7" s="1"/>
  <c r="D55" i="5"/>
  <c r="L55" i="5" s="1"/>
  <c r="D56" i="5"/>
  <c r="L56" i="5" s="1"/>
  <c r="D79" i="7"/>
  <c r="G79" i="7" s="1"/>
  <c r="G290" i="1"/>
  <c r="G292" i="1" s="1"/>
  <c r="E156" i="1"/>
  <c r="E40" i="7"/>
  <c r="H40" i="7" s="1"/>
  <c r="C38" i="7"/>
  <c r="F38" i="7" s="1"/>
  <c r="E86" i="7"/>
  <c r="H86" i="7" s="1"/>
  <c r="D64" i="7"/>
  <c r="G64" i="7" s="1"/>
  <c r="C80" i="7"/>
  <c r="F80" i="7" s="1"/>
  <c r="N39" i="5"/>
  <c r="C61" i="7"/>
  <c r="F61" i="7" s="1"/>
  <c r="D87" i="5"/>
  <c r="L87" i="5" s="1"/>
  <c r="D32" i="5"/>
  <c r="L32" i="5" s="1"/>
  <c r="D33" i="7"/>
  <c r="G33" i="7" s="1"/>
  <c r="N69" i="5"/>
  <c r="C88" i="7"/>
  <c r="F88" i="7" s="1"/>
  <c r="D87" i="7"/>
  <c r="G87" i="7" s="1"/>
  <c r="D57" i="7"/>
  <c r="G57" i="7" s="1"/>
  <c r="C58" i="7"/>
  <c r="F58" i="7" s="1"/>
  <c r="L94" i="2"/>
  <c r="P94" i="2" s="1"/>
  <c r="K85" i="2"/>
  <c r="O85" i="2" s="1"/>
  <c r="L84" i="2"/>
  <c r="P84" i="2" s="1"/>
  <c r="J81" i="2"/>
  <c r="D205" i="1"/>
  <c r="E264" i="1"/>
  <c r="H266" i="1" s="1"/>
  <c r="D80" i="5"/>
  <c r="L80" i="5" s="1"/>
  <c r="C83" i="7"/>
  <c r="F83" i="7" s="1"/>
  <c r="E88" i="1"/>
  <c r="E90" i="1" s="1"/>
  <c r="D27" i="5"/>
  <c r="L27" i="5" s="1"/>
  <c r="D69" i="5"/>
  <c r="L69" i="5" s="1"/>
  <c r="E35" i="5"/>
  <c r="M35" i="5" s="1"/>
  <c r="F56" i="5"/>
  <c r="N56" i="5" s="1"/>
  <c r="C62" i="7"/>
  <c r="F62" i="7" s="1"/>
  <c r="F30" i="5"/>
  <c r="N30" i="5" s="1"/>
  <c r="C94" i="7"/>
  <c r="F94" i="7" s="1"/>
  <c r="D59" i="5"/>
  <c r="L59" i="5" s="1"/>
  <c r="D76" i="5"/>
  <c r="L76" i="5" s="1"/>
  <c r="Y68" i="2"/>
  <c r="C55" i="7"/>
  <c r="F55" i="7" s="1"/>
  <c r="E57" i="7"/>
  <c r="H57" i="7" s="1"/>
  <c r="D64" i="5"/>
  <c r="L64" i="5" s="1"/>
  <c r="K70" i="2"/>
  <c r="O70" i="2" s="1"/>
  <c r="J16" i="2"/>
  <c r="N12" i="2"/>
  <c r="C33" i="7"/>
  <c r="F33" i="7" s="1"/>
  <c r="D40" i="5"/>
  <c r="L40" i="5" s="1"/>
  <c r="E60" i="7"/>
  <c r="H60" i="7" s="1"/>
  <c r="N46" i="5"/>
  <c r="E46" i="7"/>
  <c r="H46" i="7" s="1"/>
  <c r="D63" i="5"/>
  <c r="L63" i="5" s="1"/>
  <c r="E36" i="7"/>
  <c r="H36" i="7" s="1"/>
  <c r="F54" i="5"/>
  <c r="N54" i="5" s="1"/>
  <c r="K94" i="2"/>
  <c r="E213" i="1"/>
  <c r="F187" i="1"/>
  <c r="F189" i="1" s="1"/>
  <c r="F178" i="1"/>
  <c r="F180" i="1" s="1"/>
  <c r="F171" i="1"/>
  <c r="G97" i="1"/>
  <c r="G99" i="1" s="1"/>
  <c r="E66" i="1"/>
  <c r="E68" i="1" s="1"/>
  <c r="D53" i="5"/>
  <c r="L53" i="5" s="1"/>
  <c r="F37" i="5"/>
  <c r="N37" i="5" s="1"/>
  <c r="E75" i="7"/>
  <c r="H75" i="7" s="1"/>
  <c r="E77" i="5"/>
  <c r="M77" i="5" s="1"/>
  <c r="E90" i="7"/>
  <c r="H90" i="7" s="1"/>
  <c r="C46" i="7"/>
  <c r="F46" i="7" s="1"/>
  <c r="C68" i="7"/>
  <c r="F68" i="7" s="1"/>
  <c r="C66" i="7"/>
  <c r="F66" i="7" s="1"/>
  <c r="F62" i="5"/>
  <c r="N62" i="5" s="1"/>
  <c r="D67" i="7"/>
  <c r="G67" i="7" s="1"/>
  <c r="D41" i="7"/>
  <c r="G41" i="7" s="1"/>
  <c r="D80" i="7"/>
  <c r="G80" i="7" s="1"/>
  <c r="F290" i="1"/>
  <c r="F292" i="1" s="1"/>
  <c r="G287" i="1"/>
  <c r="G289" i="1" s="1"/>
  <c r="L85" i="2"/>
  <c r="D84" i="7" s="1"/>
  <c r="G84" i="7" s="1"/>
  <c r="M79" i="2"/>
  <c r="Q79" i="2" s="1"/>
  <c r="F115" i="1"/>
  <c r="F117" i="1" s="1"/>
  <c r="F49" i="5"/>
  <c r="N49" i="5" s="1"/>
  <c r="E147" i="1"/>
  <c r="H149" i="1" s="1"/>
  <c r="C51" i="7"/>
  <c r="F51" i="7" s="1"/>
  <c r="J31" i="2"/>
  <c r="D29" i="5"/>
  <c r="L29" i="5" s="1"/>
  <c r="D50" i="7"/>
  <c r="G50" i="7" s="1"/>
  <c r="J87" i="2"/>
  <c r="C86" i="7"/>
  <c r="F86" i="7" s="1"/>
  <c r="J82" i="2"/>
  <c r="F22" i="5"/>
  <c r="N22" i="5" s="1"/>
  <c r="G72" i="1"/>
  <c r="G74" i="1" s="1"/>
  <c r="E28" i="7"/>
  <c r="H28" i="7" s="1"/>
  <c r="E49" i="5"/>
  <c r="M49" i="5" s="1"/>
  <c r="F160" i="1"/>
  <c r="F162" i="1" s="1"/>
  <c r="G147" i="1"/>
  <c r="G149" i="1" s="1"/>
  <c r="F45" i="5"/>
  <c r="N45" i="5" s="1"/>
  <c r="C49" i="7"/>
  <c r="F49" i="7" s="1"/>
  <c r="D30" i="5"/>
  <c r="L30" i="5" s="1"/>
  <c r="E43" i="7"/>
  <c r="H43" i="7" s="1"/>
  <c r="E44" i="5"/>
  <c r="M44" i="5" s="1"/>
  <c r="D61" i="7"/>
  <c r="G61" i="7" s="1"/>
  <c r="D57" i="5"/>
  <c r="L57" i="5" s="1"/>
  <c r="E49" i="7"/>
  <c r="H49" i="7" s="1"/>
  <c r="D78" i="5"/>
  <c r="L78" i="5" s="1"/>
  <c r="E238" i="1"/>
  <c r="I238" i="1" s="1"/>
  <c r="J238" i="1" s="1"/>
  <c r="J65" i="2"/>
  <c r="N65" i="2" s="1"/>
  <c r="E204" i="1"/>
  <c r="E206" i="1" s="1"/>
  <c r="C64" i="7"/>
  <c r="F64" i="7" s="1"/>
  <c r="C56" i="7"/>
  <c r="F56" i="7" s="1"/>
  <c r="F58" i="5"/>
  <c r="N58" i="5" s="1"/>
  <c r="E61" i="7"/>
  <c r="H61" i="7" s="1"/>
  <c r="J74" i="2"/>
  <c r="N74" i="2" s="1"/>
  <c r="D70" i="5"/>
  <c r="L70" i="5" s="1"/>
  <c r="E233" i="1"/>
  <c r="K79" i="2"/>
  <c r="O79" i="2" s="1"/>
  <c r="E100" i="1"/>
  <c r="C36" i="7"/>
  <c r="F36" i="7" s="1"/>
  <c r="D43" i="5"/>
  <c r="L43" i="5" s="1"/>
  <c r="F43" i="5"/>
  <c r="N43" i="5" s="1"/>
  <c r="C75" i="7"/>
  <c r="F75" i="7" s="1"/>
  <c r="E51" i="7"/>
  <c r="H51" i="7" s="1"/>
  <c r="E207" i="1"/>
  <c r="E209" i="1" s="1"/>
  <c r="D62" i="5"/>
  <c r="L62" i="5" s="1"/>
  <c r="J66" i="2"/>
  <c r="N66" i="2" s="1"/>
  <c r="C65" i="7"/>
  <c r="F65" i="7" s="1"/>
  <c r="E136" i="1"/>
  <c r="H138" i="1" s="1"/>
  <c r="F133" i="1"/>
  <c r="F135" i="1" s="1"/>
  <c r="E41" i="5"/>
  <c r="M41" i="5" s="1"/>
  <c r="K40" i="2"/>
  <c r="O40" i="2" s="1"/>
  <c r="J37" i="2"/>
  <c r="N37" i="2" s="1"/>
  <c r="D35" i="5"/>
  <c r="L35" i="5" s="1"/>
  <c r="E115" i="1"/>
  <c r="E117" i="1" s="1"/>
  <c r="C41" i="7"/>
  <c r="F41" i="7" s="1"/>
  <c r="N91" i="5"/>
  <c r="N60" i="5"/>
  <c r="M13" i="5"/>
  <c r="E59" i="7"/>
  <c r="H59" i="7" s="1"/>
  <c r="F64" i="5"/>
  <c r="N64" i="5" s="1"/>
  <c r="E230" i="1"/>
  <c r="E232" i="1" s="1"/>
  <c r="K78" i="2"/>
  <c r="O78" i="2" s="1"/>
  <c r="E200" i="1"/>
  <c r="H202" i="1" s="1"/>
  <c r="G69" i="1"/>
  <c r="G71" i="1" s="1"/>
  <c r="M27" i="2"/>
  <c r="G41" i="1"/>
  <c r="G43" i="1" s="1"/>
  <c r="E19" i="7"/>
  <c r="H19" i="7" s="1"/>
  <c r="E41" i="1"/>
  <c r="E43" i="1" s="1"/>
  <c r="C67" i="7"/>
  <c r="F67" i="7" s="1"/>
  <c r="E184" i="1"/>
  <c r="E186" i="1" s="1"/>
  <c r="I186" i="1" s="1"/>
  <c r="F181" i="1"/>
  <c r="F183" i="1" s="1"/>
  <c r="E55" i="5"/>
  <c r="M55" i="5" s="1"/>
  <c r="G154" i="1"/>
  <c r="G156" i="1" s="1"/>
  <c r="E53" i="7"/>
  <c r="H53" i="7" s="1"/>
  <c r="F47" i="5"/>
  <c r="N47" i="5" s="1"/>
  <c r="M40" i="2"/>
  <c r="Q40" i="2" s="1"/>
  <c r="G115" i="1"/>
  <c r="G117" i="1" s="1"/>
  <c r="F35" i="5"/>
  <c r="N35" i="5" s="1"/>
  <c r="J23" i="2"/>
  <c r="N23" i="2" s="1"/>
  <c r="E69" i="1"/>
  <c r="E71" i="1" s="1"/>
  <c r="F304" i="1"/>
  <c r="F306" i="1" s="1"/>
  <c r="F307" i="1" s="1"/>
  <c r="E92" i="5"/>
  <c r="M92" i="5" s="1"/>
  <c r="E44" i="1"/>
  <c r="C20" i="7"/>
  <c r="F20" i="7" s="1"/>
  <c r="F41" i="1"/>
  <c r="F43" i="1" s="1"/>
  <c r="E12" i="5"/>
  <c r="M12" i="5" s="1"/>
  <c r="D19" i="7"/>
  <c r="G19" i="7" s="1"/>
  <c r="J80" i="2"/>
  <c r="D252" i="1" s="1"/>
  <c r="D254" i="1" s="1"/>
  <c r="C79" i="7"/>
  <c r="F79" i="7" s="1"/>
  <c r="O80" i="2"/>
  <c r="E175" i="1"/>
  <c r="H177" i="1" s="1"/>
  <c r="F147" i="1"/>
  <c r="F149" i="1" s="1"/>
  <c r="D51" i="7"/>
  <c r="G51" i="7" s="1"/>
  <c r="F112" i="1"/>
  <c r="F114" i="1" s="1"/>
  <c r="L39" i="2"/>
  <c r="P39" i="2" s="1"/>
  <c r="D111" i="1"/>
  <c r="D28" i="7"/>
  <c r="G28" i="7" s="1"/>
  <c r="F72" i="1"/>
  <c r="F74" i="1" s="1"/>
  <c r="D49" i="5"/>
  <c r="L49" i="5" s="1"/>
  <c r="E160" i="1"/>
  <c r="D52" i="5"/>
  <c r="L52" i="5" s="1"/>
  <c r="E169" i="1"/>
  <c r="D292" i="1"/>
  <c r="D299" i="1" s="1"/>
  <c r="G169" i="1"/>
  <c r="G171" i="1" s="1"/>
  <c r="K18" i="2"/>
  <c r="O18" i="2" s="1"/>
  <c r="D306" i="1"/>
  <c r="D95" i="7"/>
  <c r="G95" i="7" s="1"/>
  <c r="F280" i="1"/>
  <c r="F282" i="1" s="1"/>
  <c r="D88" i="7"/>
  <c r="G88" i="7" s="1"/>
  <c r="F273" i="1"/>
  <c r="F275" i="1" s="1"/>
  <c r="E83" i="5"/>
  <c r="M83" i="5" s="1"/>
  <c r="G181" i="1"/>
  <c r="G183" i="1" s="1"/>
  <c r="F55" i="5"/>
  <c r="N55" i="5" s="1"/>
  <c r="F97" i="1"/>
  <c r="F99" i="1" s="1"/>
  <c r="E29" i="5"/>
  <c r="M29" i="5" s="1"/>
  <c r="F69" i="1"/>
  <c r="F71" i="1" s="1"/>
  <c r="E21" i="5"/>
  <c r="M21" i="5" s="1"/>
  <c r="E31" i="5"/>
  <c r="M31" i="5" s="1"/>
  <c r="F63" i="5"/>
  <c r="N63" i="5" s="1"/>
  <c r="E58" i="7"/>
  <c r="H58" i="7" s="1"/>
  <c r="G204" i="1"/>
  <c r="G206" i="1" s="1"/>
  <c r="E64" i="7"/>
  <c r="H64" i="7" s="1"/>
  <c r="F61" i="5"/>
  <c r="N61" i="5" s="1"/>
  <c r="G38" i="1"/>
  <c r="G40" i="1" s="1"/>
  <c r="M19" i="2"/>
  <c r="Q19" i="2" s="1"/>
  <c r="E18" i="7"/>
  <c r="H18" i="7" s="1"/>
  <c r="E97" i="7"/>
  <c r="H97" i="7" s="1"/>
  <c r="E48" i="5"/>
  <c r="M48" i="5" s="1"/>
  <c r="E66" i="7"/>
  <c r="H66" i="7" s="1"/>
  <c r="D91" i="7"/>
  <c r="G91" i="7" s="1"/>
  <c r="D32" i="7"/>
  <c r="G32" i="7" s="1"/>
  <c r="D35" i="7"/>
  <c r="G35" i="7" s="1"/>
  <c r="D27" i="7"/>
  <c r="G27" i="7" s="1"/>
  <c r="E73" i="7"/>
  <c r="H73" i="7" s="1"/>
  <c r="F68" i="5"/>
  <c r="N68" i="5" s="1"/>
  <c r="F233" i="1"/>
  <c r="F235" i="1" s="1"/>
  <c r="D75" i="7"/>
  <c r="G75" i="7" s="1"/>
  <c r="E70" i="5"/>
  <c r="M70" i="5" s="1"/>
  <c r="F230" i="1"/>
  <c r="F232" i="1" s="1"/>
  <c r="L78" i="2"/>
  <c r="P78" i="2" s="1"/>
  <c r="E69" i="5"/>
  <c r="M69" i="5" s="1"/>
  <c r="E67" i="7"/>
  <c r="H67" i="7" s="1"/>
  <c r="G210" i="1"/>
  <c r="G212" i="1" s="1"/>
  <c r="F44" i="1"/>
  <c r="F46" i="1" s="1"/>
  <c r="D20" i="7"/>
  <c r="G20" i="7" s="1"/>
  <c r="G35" i="1"/>
  <c r="G37" i="1" s="1"/>
  <c r="F10" i="5"/>
  <c r="N10" i="5" s="1"/>
  <c r="E17" i="7"/>
  <c r="H17" i="7" s="1"/>
  <c r="L27" i="2"/>
  <c r="P27" i="2" s="1"/>
  <c r="G284" i="1"/>
  <c r="G286" i="1" s="1"/>
  <c r="E89" i="7"/>
  <c r="H89" i="7" s="1"/>
  <c r="G277" i="1"/>
  <c r="G279" i="1" s="1"/>
  <c r="E87" i="7"/>
  <c r="H87" i="7" s="1"/>
  <c r="G252" i="1"/>
  <c r="G254" i="1" s="1"/>
  <c r="E79" i="7"/>
  <c r="H79" i="7" s="1"/>
  <c r="G197" i="1"/>
  <c r="G199" i="1" s="1"/>
  <c r="E62" i="7"/>
  <c r="H62" i="7" s="1"/>
  <c r="F59" i="5"/>
  <c r="N59" i="5" s="1"/>
  <c r="G106" i="1"/>
  <c r="G108" i="1" s="1"/>
  <c r="F32" i="5"/>
  <c r="N32" i="5" s="1"/>
  <c r="F190" i="1"/>
  <c r="F192" i="1" s="1"/>
  <c r="E60" i="5"/>
  <c r="M60" i="5" s="1"/>
  <c r="D37" i="7"/>
  <c r="G37" i="7" s="1"/>
  <c r="D96" i="7"/>
  <c r="G96" i="7" s="1"/>
  <c r="E85" i="5"/>
  <c r="M85" i="5" s="1"/>
  <c r="F76" i="5"/>
  <c r="N76" i="5" s="1"/>
  <c r="F11" i="5"/>
  <c r="N11" i="5" s="1"/>
  <c r="F287" i="1"/>
  <c r="F289" i="1" s="1"/>
  <c r="E87" i="5"/>
  <c r="M87" i="5" s="1"/>
  <c r="D90" i="7"/>
  <c r="G90" i="7" s="1"/>
  <c r="F213" i="1"/>
  <c r="F215" i="1" s="1"/>
  <c r="E64" i="5"/>
  <c r="M64" i="5" s="1"/>
  <c r="F207" i="1"/>
  <c r="F209" i="1" s="1"/>
  <c r="D65" i="7"/>
  <c r="G65" i="7" s="1"/>
  <c r="F157" i="1"/>
  <c r="F159" i="1" s="1"/>
  <c r="F154" i="1"/>
  <c r="F156" i="1" s="1"/>
  <c r="E47" i="5"/>
  <c r="M47" i="5" s="1"/>
  <c r="G143" i="1"/>
  <c r="G145" i="1" s="1"/>
  <c r="E50" i="7"/>
  <c r="H50" i="7" s="1"/>
  <c r="F91" i="1"/>
  <c r="F93" i="1" s="1"/>
  <c r="G109" i="1"/>
  <c r="G111" i="1" s="1"/>
  <c r="F33" i="5"/>
  <c r="N33" i="5" s="1"/>
  <c r="F100" i="1"/>
  <c r="F102" i="1" s="1"/>
  <c r="G66" i="1"/>
  <c r="G68" i="1" s="1"/>
  <c r="E26" i="7"/>
  <c r="H26" i="7" s="1"/>
  <c r="F20" i="5"/>
  <c r="N20" i="5" s="1"/>
  <c r="M33" i="5"/>
  <c r="N92" i="5"/>
  <c r="L84" i="11"/>
  <c r="M84" i="11" s="1"/>
  <c r="N84" i="11" s="1"/>
  <c r="Y67" i="10"/>
  <c r="AA67" i="10" s="1"/>
  <c r="C81" i="7"/>
  <c r="F81" i="7" s="1"/>
  <c r="C92" i="5"/>
  <c r="C98" i="7"/>
  <c r="F98" i="7" s="1"/>
  <c r="K86" i="2"/>
  <c r="O86" i="2" s="1"/>
  <c r="E252" i="1"/>
  <c r="M78" i="2"/>
  <c r="Q78" i="2" s="1"/>
  <c r="E210" i="1"/>
  <c r="G200" i="1"/>
  <c r="G202" i="1" s="1"/>
  <c r="C65" i="10"/>
  <c r="E273" i="1"/>
  <c r="E258" i="1"/>
  <c r="F200" i="1"/>
  <c r="F202" i="1" s="1"/>
  <c r="E190" i="1"/>
  <c r="M26" i="2"/>
  <c r="Q26" i="2" s="1"/>
  <c r="K26" i="2"/>
  <c r="O26" i="2" s="1"/>
  <c r="K62" i="4"/>
  <c r="E91" i="1"/>
  <c r="E97" i="1"/>
  <c r="E85" i="1"/>
  <c r="D635" i="3"/>
  <c r="D203" i="3"/>
  <c r="D275" i="3"/>
  <c r="D347" i="3"/>
  <c r="E49" i="1"/>
  <c r="M20" i="2"/>
  <c r="Q20" i="2" s="1"/>
  <c r="L20" i="2"/>
  <c r="P20" i="2" s="1"/>
  <c r="D419" i="3"/>
  <c r="D399" i="3" s="1"/>
  <c r="M58" i="6"/>
  <c r="D157" i="3" s="1"/>
  <c r="O175" i="11"/>
  <c r="M21" i="2"/>
  <c r="Q21" i="2" s="1"/>
  <c r="D955" i="3"/>
  <c r="M80" i="6"/>
  <c r="D229" i="3" s="1"/>
  <c r="M18" i="2"/>
  <c r="Q18" i="2" s="1"/>
  <c r="D563" i="3"/>
  <c r="M146" i="6"/>
  <c r="D445" i="3" s="1"/>
  <c r="M102" i="6"/>
  <c r="D301" i="3" s="1"/>
  <c r="H1065" i="3"/>
  <c r="H962" i="3"/>
  <c r="H1004" i="3"/>
  <c r="H22" i="1" s="1"/>
  <c r="H936" i="3"/>
  <c r="H933" i="3" s="1"/>
  <c r="H885" i="3"/>
  <c r="H889" i="3"/>
  <c r="I21" i="1" s="1"/>
  <c r="H847" i="3"/>
  <c r="H815" i="3"/>
  <c r="H702" i="3"/>
  <c r="H356" i="3"/>
  <c r="H13" i="1" s="1"/>
  <c r="H284" i="3"/>
  <c r="H12" i="1" s="1"/>
  <c r="H127" i="3"/>
  <c r="H122" i="3"/>
  <c r="H114" i="3"/>
  <c r="H98" i="3"/>
  <c r="H93" i="3"/>
  <c r="H97" i="3"/>
  <c r="H76" i="3"/>
  <c r="H61" i="3"/>
  <c r="H43" i="3"/>
  <c r="H26" i="3"/>
  <c r="H68" i="3"/>
  <c r="H9" i="1" s="1"/>
  <c r="H788" i="3"/>
  <c r="H19" i="1" s="1"/>
  <c r="H775" i="3"/>
  <c r="H761" i="3"/>
  <c r="I73" i="11"/>
  <c r="H219" i="3"/>
  <c r="H169" i="3"/>
  <c r="H177" i="3"/>
  <c r="H243" i="3"/>
  <c r="D739" i="3"/>
  <c r="H1061" i="3"/>
  <c r="H1021" i="3"/>
  <c r="F23" i="1" s="1"/>
  <c r="H1011" i="3"/>
  <c r="H1006" i="3"/>
  <c r="H978" i="3"/>
  <c r="H954" i="3"/>
  <c r="H953" i="3" s="1"/>
  <c r="H989" i="3"/>
  <c r="H855" i="3"/>
  <c r="H833" i="3"/>
  <c r="H845" i="3"/>
  <c r="H548" i="3"/>
  <c r="H500" i="3"/>
  <c r="H15" i="1" s="1"/>
  <c r="H151" i="3"/>
  <c r="H149" i="3" s="1"/>
  <c r="H145" i="3"/>
  <c r="H135" i="3"/>
  <c r="H126" i="3"/>
  <c r="H113" i="3"/>
  <c r="H140" i="3"/>
  <c r="H10" i="1" s="1"/>
  <c r="H125" i="3"/>
  <c r="H55" i="3"/>
  <c r="H50" i="3"/>
  <c r="H42" i="3"/>
  <c r="H18" i="3"/>
  <c r="H17" i="3" s="1"/>
  <c r="H783" i="3"/>
  <c r="H774" i="3"/>
  <c r="H770" i="3"/>
  <c r="H764" i="3"/>
  <c r="H218" i="3"/>
  <c r="H200" i="3"/>
  <c r="H187" i="3"/>
  <c r="K76" i="6"/>
  <c r="D768" i="3"/>
  <c r="H1033" i="3"/>
  <c r="H1009" i="3"/>
  <c r="H999" i="3"/>
  <c r="H990" i="3"/>
  <c r="H977" i="3"/>
  <c r="H958" i="3"/>
  <c r="H1010" i="3"/>
  <c r="H919" i="3"/>
  <c r="H906" i="3"/>
  <c r="H897" i="3"/>
  <c r="H864" i="3"/>
  <c r="H813" i="3"/>
  <c r="H817" i="3"/>
  <c r="I20" i="1" s="1"/>
  <c r="H674" i="3"/>
  <c r="H667" i="3" s="1"/>
  <c r="H716" i="3"/>
  <c r="H18" i="1" s="1"/>
  <c r="H701" i="3"/>
  <c r="G18" i="1" s="1"/>
  <c r="H572" i="3"/>
  <c r="H16" i="1" s="1"/>
  <c r="H79" i="3"/>
  <c r="H77" i="3" s="1"/>
  <c r="H63" i="3"/>
  <c r="H54" i="3"/>
  <c r="H41" i="3"/>
  <c r="H33" i="3"/>
  <c r="H773" i="3"/>
  <c r="H763" i="3"/>
  <c r="H795" i="3"/>
  <c r="H217" i="3"/>
  <c r="H212" i="3"/>
  <c r="H11" i="1" s="1"/>
  <c r="H194" i="3"/>
  <c r="H185" i="3"/>
  <c r="H182" i="3"/>
  <c r="H166" i="3"/>
  <c r="D1027" i="3"/>
  <c r="D1019" i="3" s="1"/>
  <c r="D544" i="3"/>
  <c r="H1062" i="3"/>
  <c r="H993" i="3"/>
  <c r="H974" i="3"/>
  <c r="H957" i="3"/>
  <c r="H961" i="3"/>
  <c r="H927" i="3"/>
  <c r="H923" i="3" s="1"/>
  <c r="H918" i="3"/>
  <c r="H905" i="3"/>
  <c r="H917" i="3"/>
  <c r="H818" i="3"/>
  <c r="H860" i="3"/>
  <c r="H20" i="1" s="1"/>
  <c r="H703" i="3"/>
  <c r="H698" i="3"/>
  <c r="H148" i="3"/>
  <c r="H133" i="3"/>
  <c r="H128" i="3"/>
  <c r="H115" i="3"/>
  <c r="H146" i="3"/>
  <c r="H105" i="3"/>
  <c r="H72" i="3"/>
  <c r="H21" i="3"/>
  <c r="H25" i="3"/>
  <c r="I9" i="1" s="1"/>
  <c r="H53" i="3"/>
  <c r="H798" i="3"/>
  <c r="H797" i="3" s="1"/>
  <c r="H762" i="3"/>
  <c r="H794" i="3"/>
  <c r="H792" i="3"/>
  <c r="H753" i="3"/>
  <c r="H758" i="3"/>
  <c r="H745" i="3"/>
  <c r="H741" i="3"/>
  <c r="H220" i="3"/>
  <c r="H216" i="3"/>
  <c r="H207" i="3"/>
  <c r="H198" i="3"/>
  <c r="H186" i="3"/>
  <c r="H170" i="3"/>
  <c r="H165" i="3"/>
  <c r="H197" i="3"/>
  <c r="D1056" i="3"/>
  <c r="D1047" i="3" s="1"/>
  <c r="C73" i="11"/>
  <c r="K73" i="11"/>
  <c r="H73" i="11"/>
  <c r="L73" i="11"/>
  <c r="J73" i="11"/>
  <c r="D73" i="11"/>
  <c r="F73" i="11"/>
  <c r="E73" i="11"/>
  <c r="M124" i="6"/>
  <c r="D373" i="3" s="1"/>
  <c r="H373" i="3" s="1"/>
  <c r="H372" i="3" s="1"/>
  <c r="F14" i="1" s="1"/>
  <c r="G73" i="11"/>
  <c r="E65" i="10"/>
  <c r="N75" i="11"/>
  <c r="P75" i="11" s="1"/>
  <c r="G65" i="10"/>
  <c r="Q65" i="10"/>
  <c r="M65" i="10"/>
  <c r="K65" i="10"/>
  <c r="W65" i="10"/>
  <c r="Y65" i="10"/>
  <c r="O65" i="10"/>
  <c r="U65" i="10"/>
  <c r="I65" i="10"/>
  <c r="S65" i="10"/>
  <c r="G621" i="3"/>
  <c r="G189" i="3"/>
  <c r="D616" i="3"/>
  <c r="D328" i="3"/>
  <c r="D472" i="3"/>
  <c r="D471" i="3" s="1"/>
  <c r="H619" i="3"/>
  <c r="H600" i="3"/>
  <c r="H458" i="3"/>
  <c r="H456" i="3"/>
  <c r="H605" i="3"/>
  <c r="H244" i="3"/>
  <c r="H744" i="3"/>
  <c r="H475" i="3"/>
  <c r="H771" i="3"/>
  <c r="H627" i="3"/>
  <c r="H624" i="3" s="1"/>
  <c r="H459" i="3"/>
  <c r="H604" i="3"/>
  <c r="H316" i="3"/>
  <c r="H242" i="3"/>
  <c r="D163" i="3"/>
  <c r="H529" i="3"/>
  <c r="H617" i="3"/>
  <c r="G12" i="3"/>
  <c r="G149" i="3"/>
  <c r="G881" i="3"/>
  <c r="G112" i="3"/>
  <c r="G616" i="3"/>
  <c r="G797" i="3"/>
  <c r="E947" i="3"/>
  <c r="H329" i="3"/>
  <c r="F947" i="3"/>
  <c r="H577" i="3"/>
  <c r="G1025" i="3"/>
  <c r="H257" i="3"/>
  <c r="G516" i="3"/>
  <c r="G45" i="3"/>
  <c r="G909" i="3"/>
  <c r="G333" i="3"/>
  <c r="G521" i="3"/>
  <c r="G693" i="3"/>
  <c r="G549" i="3"/>
  <c r="G725" i="3"/>
  <c r="G732" i="3"/>
  <c r="G377" i="3"/>
  <c r="H621" i="3"/>
  <c r="G293" i="3"/>
  <c r="G69" i="3"/>
  <c r="G156" i="3"/>
  <c r="G653" i="3"/>
  <c r="F1019" i="3"/>
  <c r="H365" i="3"/>
  <c r="H189" i="3"/>
  <c r="G477" i="3"/>
  <c r="H909" i="3"/>
  <c r="G869" i="3"/>
  <c r="G665" i="3"/>
  <c r="H941" i="3"/>
  <c r="G876" i="3"/>
  <c r="G660" i="3"/>
  <c r="G809" i="3"/>
  <c r="G405" i="3"/>
  <c r="G120" i="3"/>
  <c r="G444" i="3"/>
  <c r="G840" i="3"/>
  <c r="G472" i="3"/>
  <c r="D256" i="3"/>
  <c r="D255" i="3" s="1"/>
  <c r="D307" i="3"/>
  <c r="H1034" i="3"/>
  <c r="D451" i="3"/>
  <c r="D379" i="3"/>
  <c r="H460" i="3"/>
  <c r="H312" i="3"/>
  <c r="H315" i="3"/>
  <c r="H603" i="3"/>
  <c r="H245" i="3"/>
  <c r="H483" i="3"/>
  <c r="H480" i="3" s="1"/>
  <c r="H339" i="3"/>
  <c r="H336" i="3" s="1"/>
  <c r="H331" i="3"/>
  <c r="H314" i="3"/>
  <c r="H746" i="3"/>
  <c r="H532" i="3"/>
  <c r="H259" i="3"/>
  <c r="D595" i="3"/>
  <c r="H531" i="3"/>
  <c r="D235" i="3"/>
  <c r="D552" i="3"/>
  <c r="H546" i="3"/>
  <c r="H578" i="3"/>
  <c r="H567" i="3"/>
  <c r="H560" i="3"/>
  <c r="H554" i="3"/>
  <c r="H557" i="3"/>
  <c r="D573" i="3"/>
  <c r="H558" i="3"/>
  <c r="H525" i="3"/>
  <c r="H537" i="3"/>
  <c r="H530" i="3"/>
  <c r="D523" i="3"/>
  <c r="H526" i="3"/>
  <c r="H576" i="3"/>
  <c r="G141" i="3"/>
  <c r="G40" i="3"/>
  <c r="G59" i="3"/>
  <c r="G904" i="3"/>
  <c r="E975" i="3"/>
  <c r="F1047" i="3"/>
  <c r="H979" i="3"/>
  <c r="G624" i="3"/>
  <c r="G163" i="3"/>
  <c r="H533" i="3"/>
  <c r="G552" i="3"/>
  <c r="G419" i="3"/>
  <c r="G509" i="3"/>
  <c r="G696" i="3"/>
  <c r="D975" i="3"/>
  <c r="G645" i="3"/>
  <c r="H400" i="3"/>
  <c r="I18" i="1"/>
  <c r="G264" i="3"/>
  <c r="G213" i="3"/>
  <c r="G233" i="3"/>
  <c r="G328" i="3"/>
  <c r="G228" i="3"/>
  <c r="G667" i="3"/>
  <c r="H221" i="3"/>
  <c r="G192" i="3"/>
  <c r="G184" i="3"/>
  <c r="G635" i="3"/>
  <c r="G408" i="3"/>
  <c r="G221" i="3"/>
  <c r="H837" i="3"/>
  <c r="H477" i="3"/>
  <c r="G768" i="3"/>
  <c r="G717" i="3"/>
  <c r="G923" i="3"/>
  <c r="G365" i="3"/>
  <c r="E1047" i="3"/>
  <c r="H846" i="3"/>
  <c r="H653" i="3"/>
  <c r="H581" i="3"/>
  <c r="H387" i="3"/>
  <c r="H173" i="3"/>
  <c r="G77" i="3"/>
  <c r="G573" i="3"/>
  <c r="G804" i="3"/>
  <c r="G256" i="3"/>
  <c r="G379" i="3"/>
  <c r="G760" i="3"/>
  <c r="G933" i="3"/>
  <c r="G1077" i="3"/>
  <c r="G48" i="3"/>
  <c r="G765" i="3"/>
  <c r="G688" i="3"/>
  <c r="G523" i="3"/>
  <c r="G19" i="3"/>
  <c r="G491" i="3"/>
  <c r="G372" i="3"/>
  <c r="G91" i="3"/>
  <c r="D111" i="3"/>
  <c r="G739" i="3"/>
  <c r="H717" i="3"/>
  <c r="I17" i="1"/>
  <c r="G203" i="3"/>
  <c r="G948" i="3"/>
  <c r="I15" i="1"/>
  <c r="G941" i="3"/>
  <c r="G347" i="3"/>
  <c r="G976" i="3"/>
  <c r="G480" i="3"/>
  <c r="G235" i="3"/>
  <c r="G285" i="3"/>
  <c r="G451" i="3"/>
  <c r="G357" i="3"/>
  <c r="G117" i="3"/>
  <c r="G544" i="3"/>
  <c r="G837" i="3"/>
  <c r="G437" i="3"/>
  <c r="G593" i="3"/>
  <c r="D903" i="3"/>
  <c r="E1019" i="3"/>
  <c r="H869" i="3"/>
  <c r="H509" i="3"/>
  <c r="H285" i="3"/>
  <c r="H1055" i="3"/>
  <c r="G1053" i="3"/>
  <c r="G501" i="3"/>
  <c r="G261" i="3"/>
  <c r="G131" i="3"/>
  <c r="G84" i="3"/>
  <c r="G336" i="3"/>
  <c r="G400" i="3"/>
  <c r="G429" i="3"/>
  <c r="G789" i="3"/>
  <c r="G581" i="3"/>
  <c r="G17" i="3"/>
  <c r="G563" i="3"/>
  <c r="D831" i="3"/>
  <c r="C143" i="11" s="1"/>
  <c r="G995" i="3"/>
  <c r="F975" i="3"/>
  <c r="H117" i="3"/>
  <c r="H725" i="3"/>
  <c r="H473" i="3"/>
  <c r="I12" i="1"/>
  <c r="H693" i="3"/>
  <c r="H293" i="3"/>
  <c r="H261" i="3"/>
  <c r="H437" i="3"/>
  <c r="H264" i="3"/>
  <c r="H1086" i="3"/>
  <c r="H1085" i="3" s="1"/>
  <c r="G1085" i="3"/>
  <c r="H1029" i="3"/>
  <c r="G1027" i="3"/>
  <c r="H1022" i="3"/>
  <c r="G1020" i="3"/>
  <c r="H1008" i="3"/>
  <c r="G1005" i="3"/>
  <c r="H982" i="3"/>
  <c r="H981" i="3" s="1"/>
  <c r="G981" i="3"/>
  <c r="H965" i="3"/>
  <c r="G955" i="3"/>
  <c r="H868" i="3"/>
  <c r="G861" i="3"/>
  <c r="H1077" i="3"/>
  <c r="H986" i="3"/>
  <c r="G984" i="3"/>
  <c r="H712" i="3"/>
  <c r="G707" i="3"/>
  <c r="H276" i="3"/>
  <c r="G275" i="3"/>
  <c r="H1059" i="3"/>
  <c r="G1056" i="3"/>
  <c r="H890" i="3"/>
  <c r="G883" i="3"/>
  <c r="H916" i="3"/>
  <c r="G912" i="3"/>
  <c r="H304" i="3"/>
  <c r="G300" i="3"/>
  <c r="H780" i="3"/>
  <c r="G779" i="3"/>
  <c r="H1050" i="3"/>
  <c r="H1048" i="3" s="1"/>
  <c r="G1048" i="3"/>
  <c r="H1014" i="3"/>
  <c r="H1013" i="3" s="1"/>
  <c r="G1013" i="3"/>
  <c r="H834" i="3"/>
  <c r="G832" i="3"/>
  <c r="H812" i="3"/>
  <c r="G811" i="3"/>
  <c r="H602" i="3"/>
  <c r="G595" i="3"/>
  <c r="H592" i="3"/>
  <c r="G588" i="3"/>
  <c r="H1069" i="3"/>
  <c r="H1067" i="3" s="1"/>
  <c r="G1067" i="3"/>
  <c r="H857" i="3"/>
  <c r="G851" i="3"/>
  <c r="H308" i="3"/>
  <c r="G307" i="3"/>
  <c r="H357" i="3"/>
  <c r="I13" i="1"/>
  <c r="H549" i="3"/>
  <c r="H688" i="3"/>
  <c r="H645" i="3"/>
  <c r="H501" i="3"/>
  <c r="I14" i="1"/>
  <c r="H333" i="3"/>
  <c r="H765" i="3"/>
  <c r="H408" i="3"/>
  <c r="H45" i="3"/>
  <c r="H405" i="3"/>
  <c r="H429" i="3"/>
  <c r="P108" i="11" l="1"/>
  <c r="O119" i="11"/>
  <c r="E121" i="10"/>
  <c r="H141" i="3"/>
  <c r="O42" i="11"/>
  <c r="C10" i="5"/>
  <c r="K10" i="5" s="1"/>
  <c r="H221" i="1"/>
  <c r="E221" i="1"/>
  <c r="I221" i="1" s="1"/>
  <c r="J221" i="1" s="1"/>
  <c r="H984" i="3"/>
  <c r="N62" i="4"/>
  <c r="E132" i="10"/>
  <c r="AA132" i="10" s="1"/>
  <c r="H861" i="3"/>
  <c r="E1016" i="3"/>
  <c r="G20" i="1"/>
  <c r="E154" i="10"/>
  <c r="AA154" i="10" s="1"/>
  <c r="H69" i="3"/>
  <c r="W83" i="4"/>
  <c r="P63" i="11"/>
  <c r="N96" i="11"/>
  <c r="P118" i="11"/>
  <c r="D96" i="11"/>
  <c r="E96" i="11"/>
  <c r="G222" i="1"/>
  <c r="F222" i="1"/>
  <c r="H616" i="3"/>
  <c r="D759" i="3"/>
  <c r="M132" i="11" s="1"/>
  <c r="D327" i="3"/>
  <c r="H904" i="3"/>
  <c r="H995" i="3"/>
  <c r="H789" i="3"/>
  <c r="G23" i="1"/>
  <c r="H347" i="3"/>
  <c r="H768" i="3"/>
  <c r="H192" i="3"/>
  <c r="H275" i="3"/>
  <c r="H1020" i="3"/>
  <c r="G9" i="1"/>
  <c r="P64" i="11"/>
  <c r="P53" i="11"/>
  <c r="P107" i="11"/>
  <c r="O97" i="11"/>
  <c r="P86" i="11"/>
  <c r="P163" i="11"/>
  <c r="O20" i="11"/>
  <c r="M190" i="6"/>
  <c r="D589" i="3" s="1"/>
  <c r="H589" i="3" s="1"/>
  <c r="H588" i="3" s="1"/>
  <c r="F17" i="1" s="1"/>
  <c r="O107" i="11"/>
  <c r="M168" i="10"/>
  <c r="F196" i="1"/>
  <c r="G196" i="1"/>
  <c r="J229" i="1"/>
  <c r="F56" i="1"/>
  <c r="F58" i="1" s="1"/>
  <c r="D78" i="7"/>
  <c r="G78" i="7" s="1"/>
  <c r="D23" i="7"/>
  <c r="G23" i="7" s="1"/>
  <c r="F80" i="5"/>
  <c r="N80" i="5" s="1"/>
  <c r="H156" i="1"/>
  <c r="D230" i="1"/>
  <c r="D232" i="1" s="1"/>
  <c r="I232" i="1" s="1"/>
  <c r="E17" i="5"/>
  <c r="M17" i="5" s="1"/>
  <c r="E143" i="10"/>
  <c r="AA143" i="10" s="1"/>
  <c r="M168" i="6"/>
  <c r="D517" i="3" s="1"/>
  <c r="E165" i="10"/>
  <c r="AA165" i="10" s="1"/>
  <c r="P130" i="11"/>
  <c r="G44" i="10"/>
  <c r="Y44" i="10" s="1"/>
  <c r="C33" i="10"/>
  <c r="G33" i="10" s="1"/>
  <c r="Y33" i="10" s="1"/>
  <c r="O19" i="11"/>
  <c r="AA153" i="10"/>
  <c r="H949" i="3"/>
  <c r="H948" i="3" s="1"/>
  <c r="F22" i="1" s="1"/>
  <c r="AA131" i="10"/>
  <c r="AA87" i="10"/>
  <c r="AA10" i="10"/>
  <c r="G110" i="10"/>
  <c r="Y110" i="10" s="1"/>
  <c r="H877" i="3"/>
  <c r="H876" i="3" s="1"/>
  <c r="AA32" i="10"/>
  <c r="AA142" i="10"/>
  <c r="P51" i="11"/>
  <c r="O173" i="11"/>
  <c r="H1056" i="3"/>
  <c r="I22" i="1"/>
  <c r="I23" i="1"/>
  <c r="G21" i="1"/>
  <c r="H840" i="3"/>
  <c r="H811" i="3"/>
  <c r="H803" i="3" s="1"/>
  <c r="H760" i="3"/>
  <c r="I19" i="1"/>
  <c r="G19" i="1"/>
  <c r="H696" i="3"/>
  <c r="I11" i="1"/>
  <c r="H184" i="3"/>
  <c r="H91" i="3"/>
  <c r="H48" i="3"/>
  <c r="H40" i="3"/>
  <c r="H289" i="1"/>
  <c r="E286" i="1"/>
  <c r="I286" i="1" s="1"/>
  <c r="J286" i="1" s="1"/>
  <c r="E174" i="1"/>
  <c r="I174" i="1" s="1"/>
  <c r="J174" i="1" s="1"/>
  <c r="E135" i="1"/>
  <c r="I135" i="1" s="1"/>
  <c r="J135" i="1" s="1"/>
  <c r="E61" i="1"/>
  <c r="H306" i="1"/>
  <c r="C23" i="1" s="1"/>
  <c r="Q84" i="2"/>
  <c r="G264" i="1"/>
  <c r="G266" i="1" s="1"/>
  <c r="G276" i="1" s="1"/>
  <c r="D93" i="7"/>
  <c r="G93" i="7" s="1"/>
  <c r="F296" i="1"/>
  <c r="F298" i="1" s="1"/>
  <c r="F299" i="1" s="1"/>
  <c r="H292" i="1"/>
  <c r="E279" i="1"/>
  <c r="H203" i="1"/>
  <c r="E145" i="1"/>
  <c r="I145" i="1" s="1"/>
  <c r="J145" i="1" s="1"/>
  <c r="D30" i="7"/>
  <c r="G30" i="7" s="1"/>
  <c r="D38" i="1"/>
  <c r="D40" i="1" s="1"/>
  <c r="I40" i="1" s="1"/>
  <c r="H37" i="1"/>
  <c r="C22" i="5"/>
  <c r="K22" i="5" s="1"/>
  <c r="I176" i="11"/>
  <c r="K176" i="11"/>
  <c r="M176" i="11"/>
  <c r="N176" i="11"/>
  <c r="F176" i="11"/>
  <c r="G176" i="11"/>
  <c r="H176" i="11"/>
  <c r="J176" i="11"/>
  <c r="L176" i="11"/>
  <c r="C176" i="11"/>
  <c r="D176" i="11"/>
  <c r="E176" i="11"/>
  <c r="G77" i="10"/>
  <c r="Y77" i="10" s="1"/>
  <c r="E77" i="10"/>
  <c r="H120" i="3"/>
  <c r="O129" i="11"/>
  <c r="O118" i="11"/>
  <c r="AA98" i="10"/>
  <c r="G22" i="10"/>
  <c r="Y22" i="10" s="1"/>
  <c r="E22" i="10"/>
  <c r="AA54" i="10"/>
  <c r="AA110" i="10"/>
  <c r="H545" i="3"/>
  <c r="H544" i="3" s="1"/>
  <c r="H213" i="3"/>
  <c r="AA43" i="10"/>
  <c r="H19" i="3"/>
  <c r="G11" i="10"/>
  <c r="E11" i="10"/>
  <c r="H832" i="3"/>
  <c r="H976" i="3"/>
  <c r="P74" i="11"/>
  <c r="E99" i="10"/>
  <c r="G99" i="10"/>
  <c r="C31" i="7"/>
  <c r="F31" i="7" s="1"/>
  <c r="AA76" i="10"/>
  <c r="AA121" i="10"/>
  <c r="F283" i="1"/>
  <c r="D17" i="5"/>
  <c r="L17" i="5" s="1"/>
  <c r="E66" i="10"/>
  <c r="G66" i="10"/>
  <c r="Y66" i="10" s="1"/>
  <c r="E121" i="11"/>
  <c r="I121" i="11"/>
  <c r="J121" i="11"/>
  <c r="N121" i="11"/>
  <c r="F121" i="11"/>
  <c r="G121" i="11"/>
  <c r="H121" i="11"/>
  <c r="K121" i="11"/>
  <c r="L121" i="11"/>
  <c r="M121" i="11"/>
  <c r="P30" i="11"/>
  <c r="P52" i="11"/>
  <c r="D183" i="3"/>
  <c r="E142" i="1"/>
  <c r="I142" i="1" s="1"/>
  <c r="AA164" i="10"/>
  <c r="G55" i="10"/>
  <c r="Y55" i="10" s="1"/>
  <c r="E55" i="10"/>
  <c r="E215" i="1"/>
  <c r="H112" i="3"/>
  <c r="G10" i="1"/>
  <c r="H180" i="1"/>
  <c r="D71" i="7"/>
  <c r="G71" i="7" s="1"/>
  <c r="G88" i="10"/>
  <c r="E88" i="10"/>
  <c r="C96" i="11"/>
  <c r="D947" i="3"/>
  <c r="C164" i="11" s="1"/>
  <c r="O161" i="11"/>
  <c r="AA120" i="10"/>
  <c r="O128" i="11"/>
  <c r="AA109" i="10"/>
  <c r="AA21" i="10"/>
  <c r="O75" i="11"/>
  <c r="P31" i="11"/>
  <c r="P128" i="11"/>
  <c r="P129" i="11"/>
  <c r="O117" i="11"/>
  <c r="O29" i="11"/>
  <c r="P161" i="11"/>
  <c r="H733" i="3"/>
  <c r="H732" i="3" s="1"/>
  <c r="F19" i="1" s="1"/>
  <c r="D732" i="3"/>
  <c r="D731" i="3" s="1"/>
  <c r="H85" i="3"/>
  <c r="H84" i="3" s="1"/>
  <c r="F10" i="1" s="1"/>
  <c r="D84" i="3"/>
  <c r="D83" i="3" s="1"/>
  <c r="D152" i="3" s="1"/>
  <c r="Q25" i="10" s="1"/>
  <c r="P85" i="11"/>
  <c r="O85" i="11"/>
  <c r="O74" i="11"/>
  <c r="O52" i="11"/>
  <c r="P19" i="11"/>
  <c r="P29" i="11"/>
  <c r="O40" i="11"/>
  <c r="H661" i="3"/>
  <c r="H660" i="3" s="1"/>
  <c r="H659" i="3" s="1"/>
  <c r="D660" i="3"/>
  <c r="D659" i="3" s="1"/>
  <c r="D728" i="3" s="1"/>
  <c r="P117" i="11"/>
  <c r="H13" i="3"/>
  <c r="H12" i="3" s="1"/>
  <c r="F9" i="1" s="1"/>
  <c r="D12" i="3"/>
  <c r="D11" i="3" s="1"/>
  <c r="D80" i="3" s="1"/>
  <c r="P41" i="11"/>
  <c r="O41" i="11"/>
  <c r="P40" i="11"/>
  <c r="O18" i="11"/>
  <c r="P18" i="11"/>
  <c r="O30" i="11"/>
  <c r="R62" i="4"/>
  <c r="P62" i="4"/>
  <c r="H779" i="3"/>
  <c r="H707" i="3"/>
  <c r="H563" i="3"/>
  <c r="H491" i="3"/>
  <c r="H131" i="3"/>
  <c r="H59" i="3"/>
  <c r="E282" i="1"/>
  <c r="I282" i="1" s="1"/>
  <c r="J282" i="1" s="1"/>
  <c r="E93" i="7"/>
  <c r="H93" i="7" s="1"/>
  <c r="H132" i="1"/>
  <c r="E195" i="1"/>
  <c r="I195" i="1" s="1"/>
  <c r="J195" i="1" s="1"/>
  <c r="E183" i="1"/>
  <c r="I183" i="1" s="1"/>
  <c r="J183" i="1" s="1"/>
  <c r="E105" i="1"/>
  <c r="I105" i="1" s="1"/>
  <c r="J105" i="1" s="1"/>
  <c r="H111" i="1"/>
  <c r="F90" i="5"/>
  <c r="N90" i="5" s="1"/>
  <c r="G296" i="1"/>
  <c r="G298" i="1" s="1"/>
  <c r="G299" i="1" s="1"/>
  <c r="H241" i="1"/>
  <c r="J241" i="1" s="1"/>
  <c r="C27" i="5"/>
  <c r="K27" i="5" s="1"/>
  <c r="E84" i="7"/>
  <c r="H84" i="7" s="1"/>
  <c r="Q85" i="2"/>
  <c r="E108" i="1"/>
  <c r="I108" i="1" s="1"/>
  <c r="J108" i="1" s="1"/>
  <c r="E90" i="5"/>
  <c r="M90" i="5" s="1"/>
  <c r="C69" i="5"/>
  <c r="K69" i="5" s="1"/>
  <c r="F81" i="5"/>
  <c r="N81" i="5" s="1"/>
  <c r="H146" i="1"/>
  <c r="H114" i="1"/>
  <c r="E199" i="1"/>
  <c r="I199" i="1" s="1"/>
  <c r="J199" i="1" s="1"/>
  <c r="D72" i="1"/>
  <c r="D74" i="1" s="1"/>
  <c r="I74" i="1" s="1"/>
  <c r="E159" i="1"/>
  <c r="I159" i="1" s="1"/>
  <c r="J159" i="1" s="1"/>
  <c r="E168" i="1"/>
  <c r="I168" i="1" s="1"/>
  <c r="J168" i="1" s="1"/>
  <c r="I152" i="1"/>
  <c r="D114" i="1"/>
  <c r="I114" i="1" s="1"/>
  <c r="C11" i="5"/>
  <c r="K11" i="5" s="1"/>
  <c r="E66" i="5"/>
  <c r="M66" i="5" s="1"/>
  <c r="D90" i="5"/>
  <c r="L90" i="5" s="1"/>
  <c r="O94" i="2"/>
  <c r="F124" i="1"/>
  <c r="F126" i="1" s="1"/>
  <c r="P40" i="2"/>
  <c r="D44" i="7"/>
  <c r="G44" i="7" s="1"/>
  <c r="C83" i="5"/>
  <c r="K83" i="5" s="1"/>
  <c r="N87" i="2"/>
  <c r="C28" i="5"/>
  <c r="K28" i="5" s="1"/>
  <c r="D213" i="1"/>
  <c r="D215" i="1" s="1"/>
  <c r="N68" i="2"/>
  <c r="E81" i="5"/>
  <c r="M81" i="5" s="1"/>
  <c r="P85" i="2"/>
  <c r="D94" i="1"/>
  <c r="H152" i="1"/>
  <c r="H153" i="1" s="1"/>
  <c r="E75" i="5"/>
  <c r="M75" i="5" s="1"/>
  <c r="P79" i="2"/>
  <c r="C76" i="5"/>
  <c r="K76" i="5" s="1"/>
  <c r="N80" i="2"/>
  <c r="E302" i="1"/>
  <c r="E303" i="1" s="1"/>
  <c r="E189" i="1"/>
  <c r="I189" i="1" s="1"/>
  <c r="J189" i="1" s="1"/>
  <c r="C78" i="5"/>
  <c r="K78" i="5" s="1"/>
  <c r="N82" i="2"/>
  <c r="E165" i="1"/>
  <c r="I165" i="1" s="1"/>
  <c r="J165" i="1" s="1"/>
  <c r="E38" i="5"/>
  <c r="M38" i="5" s="1"/>
  <c r="C77" i="5"/>
  <c r="K77" i="5" s="1"/>
  <c r="N81" i="2"/>
  <c r="E129" i="1"/>
  <c r="I129" i="1" s="1"/>
  <c r="J129" i="1" s="1"/>
  <c r="E31" i="7"/>
  <c r="H31" i="7" s="1"/>
  <c r="Q27" i="2"/>
  <c r="D25" i="5"/>
  <c r="L25" i="5" s="1"/>
  <c r="D85" i="1"/>
  <c r="D87" i="1" s="1"/>
  <c r="N28" i="2"/>
  <c r="C26" i="5"/>
  <c r="K26" i="5" s="1"/>
  <c r="D47" i="1"/>
  <c r="H49" i="1" s="1"/>
  <c r="N16" i="2"/>
  <c r="F62" i="1"/>
  <c r="F64" i="1" s="1"/>
  <c r="P21" i="2"/>
  <c r="D25" i="7"/>
  <c r="G25" i="7" s="1"/>
  <c r="C13" i="5"/>
  <c r="K13" i="5" s="1"/>
  <c r="N15" i="2"/>
  <c r="D97" i="1"/>
  <c r="D99" i="1" s="1"/>
  <c r="N31" i="2"/>
  <c r="D88" i="1"/>
  <c r="D90" i="1" s="1"/>
  <c r="I90" i="1" s="1"/>
  <c r="E56" i="1"/>
  <c r="H58" i="1" s="1"/>
  <c r="O19" i="2"/>
  <c r="E19" i="5"/>
  <c r="M19" i="5" s="1"/>
  <c r="D41" i="1"/>
  <c r="D43" i="1" s="1"/>
  <c r="I43" i="1" s="1"/>
  <c r="N14" i="2"/>
  <c r="C12" i="5"/>
  <c r="K12" i="5" s="1"/>
  <c r="D66" i="1"/>
  <c r="N22" i="2"/>
  <c r="C20" i="5"/>
  <c r="K20" i="5" s="1"/>
  <c r="E64" i="1"/>
  <c r="D44" i="1"/>
  <c r="D46" i="1" s="1"/>
  <c r="E81" i="1"/>
  <c r="H83" i="1" s="1"/>
  <c r="F153" i="1"/>
  <c r="D91" i="1"/>
  <c r="D93" i="1" s="1"/>
  <c r="F267" i="1"/>
  <c r="F269" i="1" s="1"/>
  <c r="E121" i="1"/>
  <c r="C43" i="7"/>
  <c r="F43" i="7" s="1"/>
  <c r="D37" i="5"/>
  <c r="L37" i="5" s="1"/>
  <c r="F78" i="1"/>
  <c r="F80" i="1" s="1"/>
  <c r="E24" i="5"/>
  <c r="M24" i="5" s="1"/>
  <c r="H186" i="1"/>
  <c r="J186" i="1" s="1"/>
  <c r="F264" i="1"/>
  <c r="F266" i="1" s="1"/>
  <c r="D83" i="7"/>
  <c r="G83" i="7" s="1"/>
  <c r="E80" i="5"/>
  <c r="M80" i="5" s="1"/>
  <c r="D273" i="1"/>
  <c r="D275" i="1" s="1"/>
  <c r="E267" i="1"/>
  <c r="D81" i="5"/>
  <c r="L81" i="5" s="1"/>
  <c r="C84" i="7"/>
  <c r="F84" i="7" s="1"/>
  <c r="G146" i="1"/>
  <c r="E46" i="1"/>
  <c r="G203" i="1"/>
  <c r="E266" i="1"/>
  <c r="D255" i="1"/>
  <c r="F66" i="5"/>
  <c r="N66" i="5" s="1"/>
  <c r="E71" i="7"/>
  <c r="H71" i="7" s="1"/>
  <c r="I132" i="1"/>
  <c r="I156" i="1"/>
  <c r="I292" i="1"/>
  <c r="E149" i="1"/>
  <c r="E153" i="1" s="1"/>
  <c r="G248" i="1"/>
  <c r="G250" i="1" s="1"/>
  <c r="F75" i="5"/>
  <c r="N75" i="5" s="1"/>
  <c r="E78" i="7"/>
  <c r="H78" i="7" s="1"/>
  <c r="E296" i="1"/>
  <c r="C93" i="7"/>
  <c r="F93" i="7" s="1"/>
  <c r="C14" i="5"/>
  <c r="K14" i="5" s="1"/>
  <c r="C71" i="7"/>
  <c r="F71" i="7" s="1"/>
  <c r="D66" i="5"/>
  <c r="L66" i="5" s="1"/>
  <c r="E171" i="1"/>
  <c r="I171" i="1" s="1"/>
  <c r="H171" i="1"/>
  <c r="D69" i="1"/>
  <c r="C21" i="5"/>
  <c r="K21" i="5" s="1"/>
  <c r="D115" i="1"/>
  <c r="D117" i="1" s="1"/>
  <c r="I117" i="1" s="1"/>
  <c r="E87" i="1"/>
  <c r="D258" i="1"/>
  <c r="D260" i="1" s="1"/>
  <c r="E53" i="1"/>
  <c r="D16" i="5"/>
  <c r="L16" i="5" s="1"/>
  <c r="C22" i="7"/>
  <c r="F22" i="7" s="1"/>
  <c r="E235" i="1"/>
  <c r="C29" i="5"/>
  <c r="K29" i="5" s="1"/>
  <c r="E99" i="1"/>
  <c r="E177" i="1"/>
  <c r="I177" i="1" s="1"/>
  <c r="J177" i="1" s="1"/>
  <c r="E162" i="1"/>
  <c r="I162" i="1" s="1"/>
  <c r="H162" i="1"/>
  <c r="E138" i="1"/>
  <c r="I138" i="1" s="1"/>
  <c r="J138" i="1" s="1"/>
  <c r="G81" i="1"/>
  <c r="G83" i="1" s="1"/>
  <c r="F25" i="5"/>
  <c r="N25" i="5" s="1"/>
  <c r="D233" i="1"/>
  <c r="D235" i="1" s="1"/>
  <c r="C70" i="5"/>
  <c r="K70" i="5" s="1"/>
  <c r="D204" i="1"/>
  <c r="D206" i="1" s="1"/>
  <c r="C61" i="5"/>
  <c r="K61" i="5" s="1"/>
  <c r="F121" i="1"/>
  <c r="F123" i="1" s="1"/>
  <c r="D43" i="7"/>
  <c r="G43" i="7" s="1"/>
  <c r="E37" i="5"/>
  <c r="M37" i="5" s="1"/>
  <c r="G124" i="1"/>
  <c r="G126" i="1" s="1"/>
  <c r="G139" i="1" s="1"/>
  <c r="F38" i="5"/>
  <c r="N38" i="5" s="1"/>
  <c r="E44" i="7"/>
  <c r="H44" i="7" s="1"/>
  <c r="D207" i="1"/>
  <c r="C62" i="5"/>
  <c r="K62" i="5" s="1"/>
  <c r="E102" i="1"/>
  <c r="I102" i="1" s="1"/>
  <c r="H102" i="1"/>
  <c r="E124" i="1"/>
  <c r="D38" i="5"/>
  <c r="L38" i="5" s="1"/>
  <c r="C44" i="7"/>
  <c r="F44" i="7" s="1"/>
  <c r="I180" i="1"/>
  <c r="E245" i="1"/>
  <c r="D74" i="5"/>
  <c r="L74" i="5" s="1"/>
  <c r="C77" i="7"/>
  <c r="F77" i="7" s="1"/>
  <c r="E248" i="1"/>
  <c r="D75" i="5"/>
  <c r="L75" i="5" s="1"/>
  <c r="C78" i="7"/>
  <c r="F78" i="7" s="1"/>
  <c r="E202" i="1"/>
  <c r="I202" i="1" s="1"/>
  <c r="I306" i="1"/>
  <c r="B23" i="1" s="1"/>
  <c r="D307" i="1"/>
  <c r="G283" i="1"/>
  <c r="F146" i="1"/>
  <c r="G153" i="1"/>
  <c r="I289" i="1"/>
  <c r="E74" i="5"/>
  <c r="M74" i="5" s="1"/>
  <c r="D77" i="7"/>
  <c r="G77" i="7" s="1"/>
  <c r="F245" i="1"/>
  <c r="F247" i="1" s="1"/>
  <c r="F251" i="1" s="1"/>
  <c r="F81" i="1"/>
  <c r="F83" i="1" s="1"/>
  <c r="E25" i="5"/>
  <c r="M25" i="5" s="1"/>
  <c r="D31" i="7"/>
  <c r="G31" i="7" s="1"/>
  <c r="G56" i="1"/>
  <c r="G58" i="1" s="1"/>
  <c r="E23" i="7"/>
  <c r="H23" i="7" s="1"/>
  <c r="F17" i="5"/>
  <c r="N17" i="5" s="1"/>
  <c r="F203" i="1"/>
  <c r="G53" i="1"/>
  <c r="G55" i="1" s="1"/>
  <c r="F16" i="5"/>
  <c r="N16" i="5" s="1"/>
  <c r="E22" i="7"/>
  <c r="H22" i="7" s="1"/>
  <c r="H254" i="1"/>
  <c r="E254" i="1"/>
  <c r="I254" i="1" s="1"/>
  <c r="E93" i="1"/>
  <c r="H912" i="3"/>
  <c r="H903" i="3" s="1"/>
  <c r="L154" i="11" s="1"/>
  <c r="I10" i="1"/>
  <c r="D615" i="3"/>
  <c r="H110" i="11" s="1"/>
  <c r="O73" i="11"/>
  <c r="H644" i="3"/>
  <c r="H428" i="3"/>
  <c r="H445" i="3"/>
  <c r="H444" i="3" s="1"/>
  <c r="F15" i="1" s="1"/>
  <c r="D444" i="3"/>
  <c r="D443" i="3" s="1"/>
  <c r="D512" i="3" s="1"/>
  <c r="U80" i="10" s="1"/>
  <c r="E78" i="1"/>
  <c r="D24" i="5"/>
  <c r="L24" i="5" s="1"/>
  <c r="C30" i="7"/>
  <c r="F30" i="7" s="1"/>
  <c r="H212" i="1"/>
  <c r="E212" i="1"/>
  <c r="I212" i="1" s="1"/>
  <c r="D82" i="5"/>
  <c r="L82" i="5" s="1"/>
  <c r="E270" i="1"/>
  <c r="C85" i="7"/>
  <c r="F85" i="7" s="1"/>
  <c r="E275" i="1"/>
  <c r="O84" i="11"/>
  <c r="P84" i="11"/>
  <c r="H883" i="3"/>
  <c r="H955" i="3"/>
  <c r="H203" i="3"/>
  <c r="H229" i="3"/>
  <c r="H228" i="3" s="1"/>
  <c r="F12" i="1" s="1"/>
  <c r="D228" i="3"/>
  <c r="D227" i="3" s="1"/>
  <c r="D296" i="3" s="1"/>
  <c r="I47" i="10" s="1"/>
  <c r="F59" i="1"/>
  <c r="F61" i="1" s="1"/>
  <c r="D24" i="7"/>
  <c r="G24" i="7" s="1"/>
  <c r="E18" i="5"/>
  <c r="M18" i="5" s="1"/>
  <c r="G78" i="1"/>
  <c r="G80" i="1" s="1"/>
  <c r="F24" i="5"/>
  <c r="N24" i="5" s="1"/>
  <c r="E30" i="7"/>
  <c r="H30" i="7" s="1"/>
  <c r="AA15" i="4"/>
  <c r="M62" i="4"/>
  <c r="Z15" i="4" s="1"/>
  <c r="AG15" i="4" s="1"/>
  <c r="AH15" i="4" s="1"/>
  <c r="C70" i="7"/>
  <c r="F70" i="7" s="1"/>
  <c r="E77" i="7"/>
  <c r="H77" i="7" s="1"/>
  <c r="G245" i="1"/>
  <c r="G247" i="1" s="1"/>
  <c r="F74" i="5"/>
  <c r="N74" i="5" s="1"/>
  <c r="E260" i="1"/>
  <c r="E70" i="7"/>
  <c r="H70" i="7" s="1"/>
  <c r="H851" i="3"/>
  <c r="H1005" i="3"/>
  <c r="H573" i="3"/>
  <c r="I16" i="1"/>
  <c r="D372" i="3"/>
  <c r="D371" i="3" s="1"/>
  <c r="D440" i="3" s="1"/>
  <c r="K69" i="10" s="1"/>
  <c r="H301" i="3"/>
  <c r="H300" i="3" s="1"/>
  <c r="F13" i="1" s="1"/>
  <c r="D300" i="3"/>
  <c r="D299" i="3" s="1"/>
  <c r="G62" i="1"/>
  <c r="G64" i="1" s="1"/>
  <c r="F19" i="5"/>
  <c r="N19" i="5" s="1"/>
  <c r="E25" i="7"/>
  <c r="H25" i="7" s="1"/>
  <c r="H157" i="3"/>
  <c r="H156" i="3" s="1"/>
  <c r="F11" i="1" s="1"/>
  <c r="D156" i="3"/>
  <c r="D155" i="3" s="1"/>
  <c r="G59" i="1"/>
  <c r="G61" i="1" s="1"/>
  <c r="F18" i="5"/>
  <c r="N18" i="5" s="1"/>
  <c r="E24" i="7"/>
  <c r="H24" i="7" s="1"/>
  <c r="E192" i="1"/>
  <c r="I192" i="1" s="1"/>
  <c r="H192" i="1"/>
  <c r="I111" i="1"/>
  <c r="D70" i="7"/>
  <c r="G70" i="7" s="1"/>
  <c r="H283" i="1"/>
  <c r="P73" i="11"/>
  <c r="AA65" i="10"/>
  <c r="G515" i="3"/>
  <c r="G15" i="1"/>
  <c r="H472" i="3"/>
  <c r="H171" i="3"/>
  <c r="H163" i="3" s="1"/>
  <c r="H451" i="3"/>
  <c r="H87" i="11" s="1"/>
  <c r="H739" i="3"/>
  <c r="G17" i="1"/>
  <c r="H328" i="3"/>
  <c r="G947" i="3"/>
  <c r="H388" i="3"/>
  <c r="H379" i="3" s="1"/>
  <c r="H371" i="3" s="1"/>
  <c r="G659" i="3"/>
  <c r="G443" i="3"/>
  <c r="H256" i="3"/>
  <c r="F1088" i="3"/>
  <c r="F1016" i="3"/>
  <c r="G875" i="3"/>
  <c r="E1088" i="3"/>
  <c r="G731" i="3"/>
  <c r="D543" i="3"/>
  <c r="G155" i="3"/>
  <c r="G83" i="3"/>
  <c r="G13" i="1"/>
  <c r="D1088" i="3"/>
  <c r="H1053" i="3"/>
  <c r="H1047" i="3" s="1"/>
  <c r="G111" i="3"/>
  <c r="G327" i="3"/>
  <c r="G615" i="3"/>
  <c r="H1027" i="3"/>
  <c r="E143" i="11"/>
  <c r="G143" i="11"/>
  <c r="G183" i="3"/>
  <c r="G39" i="3"/>
  <c r="H595" i="3"/>
  <c r="H307" i="3"/>
  <c r="G16" i="1"/>
  <c r="H240" i="3"/>
  <c r="H552" i="3"/>
  <c r="H523" i="3"/>
  <c r="K98" i="11" s="1"/>
  <c r="G1047" i="3"/>
  <c r="L143" i="11"/>
  <c r="D872" i="3"/>
  <c r="G135" i="10" s="1"/>
  <c r="G687" i="3"/>
  <c r="G227" i="3"/>
  <c r="G371" i="3"/>
  <c r="K143" i="11"/>
  <c r="I143" i="11"/>
  <c r="D143" i="11"/>
  <c r="G11" i="3"/>
  <c r="G399" i="3"/>
  <c r="G471" i="3"/>
  <c r="J143" i="11"/>
  <c r="F143" i="11"/>
  <c r="G759" i="3"/>
  <c r="N143" i="11"/>
  <c r="G543" i="3"/>
  <c r="G22" i="1"/>
  <c r="G903" i="3"/>
  <c r="G255" i="3"/>
  <c r="M143" i="11"/>
  <c r="H143" i="11"/>
  <c r="G803" i="3"/>
  <c r="D944" i="3"/>
  <c r="G975" i="3"/>
  <c r="F20" i="1"/>
  <c r="G299" i="3"/>
  <c r="G587" i="3"/>
  <c r="G831" i="3"/>
  <c r="G1019" i="3"/>
  <c r="E33" i="10" l="1"/>
  <c r="D368" i="3"/>
  <c r="K58" i="10" s="1"/>
  <c r="D800" i="3"/>
  <c r="I124" i="10" s="1"/>
  <c r="C132" i="11"/>
  <c r="H132" i="11"/>
  <c r="L132" i="11"/>
  <c r="I132" i="11"/>
  <c r="E132" i="11"/>
  <c r="J132" i="11"/>
  <c r="F132" i="11"/>
  <c r="K132" i="11"/>
  <c r="N132" i="11"/>
  <c r="D132" i="11"/>
  <c r="G132" i="11"/>
  <c r="H687" i="3"/>
  <c r="O96" i="11"/>
  <c r="AA55" i="10"/>
  <c r="E222" i="1"/>
  <c r="H196" i="1"/>
  <c r="C14" i="1" s="1"/>
  <c r="G584" i="3"/>
  <c r="H831" i="3"/>
  <c r="H872" i="3" s="1"/>
  <c r="J20" i="1" s="1"/>
  <c r="K20" i="1" s="1"/>
  <c r="D588" i="3"/>
  <c r="D587" i="3" s="1"/>
  <c r="D656" i="3" s="1"/>
  <c r="K102" i="10" s="1"/>
  <c r="K103" i="10" s="1"/>
  <c r="H327" i="3"/>
  <c r="I66" i="11" s="1"/>
  <c r="H255" i="3"/>
  <c r="N55" i="11" s="1"/>
  <c r="H947" i="3"/>
  <c r="H1019" i="3"/>
  <c r="H1088" i="3" s="1"/>
  <c r="J23" i="1" s="1"/>
  <c r="K23" i="1" s="1"/>
  <c r="H471" i="3"/>
  <c r="L88" i="11" s="1"/>
  <c r="H759" i="3"/>
  <c r="H83" i="3"/>
  <c r="C32" i="11" s="1"/>
  <c r="D224" i="3"/>
  <c r="Y36" i="10" s="1"/>
  <c r="H875" i="3"/>
  <c r="I153" i="11" s="1"/>
  <c r="F21" i="1"/>
  <c r="H975" i="3"/>
  <c r="C165" i="11" s="1"/>
  <c r="I196" i="1"/>
  <c r="B14" i="1" s="1"/>
  <c r="E196" i="1"/>
  <c r="J289" i="1"/>
  <c r="H232" i="1"/>
  <c r="J232" i="1" s="1"/>
  <c r="J156" i="1"/>
  <c r="J180" i="1"/>
  <c r="AA77" i="10"/>
  <c r="AA44" i="10"/>
  <c r="D516" i="3"/>
  <c r="D515" i="3" s="1"/>
  <c r="D584" i="3" s="1"/>
  <c r="G91" i="10" s="1"/>
  <c r="H517" i="3"/>
  <c r="H516" i="3" s="1"/>
  <c r="F16" i="1" s="1"/>
  <c r="AA33" i="10"/>
  <c r="AA22" i="10"/>
  <c r="D110" i="11"/>
  <c r="E110" i="11"/>
  <c r="I110" i="11"/>
  <c r="C110" i="11"/>
  <c r="L110" i="11"/>
  <c r="M110" i="11"/>
  <c r="G110" i="11"/>
  <c r="N110" i="11"/>
  <c r="J110" i="11"/>
  <c r="F110" i="11"/>
  <c r="K110" i="11"/>
  <c r="I24" i="1"/>
  <c r="H183" i="3"/>
  <c r="C44" i="11" s="1"/>
  <c r="H111" i="3"/>
  <c r="M33" i="11" s="1"/>
  <c r="H39" i="3"/>
  <c r="N22" i="11" s="1"/>
  <c r="H307" i="1"/>
  <c r="J292" i="1"/>
  <c r="E283" i="1"/>
  <c r="I279" i="1"/>
  <c r="J279" i="1" s="1"/>
  <c r="J283" i="1" s="1"/>
  <c r="I215" i="1"/>
  <c r="H40" i="1"/>
  <c r="J40" i="1" s="1"/>
  <c r="I177" i="11"/>
  <c r="N177" i="11"/>
  <c r="C177" i="11"/>
  <c r="G177" i="11"/>
  <c r="J177" i="11"/>
  <c r="K177" i="11"/>
  <c r="L177" i="11"/>
  <c r="M177" i="11"/>
  <c r="D177" i="11"/>
  <c r="E177" i="11"/>
  <c r="F177" i="11"/>
  <c r="H177" i="11"/>
  <c r="E146" i="1"/>
  <c r="E135" i="10"/>
  <c r="C135" i="10"/>
  <c r="P96" i="11"/>
  <c r="Y88" i="10"/>
  <c r="AA88" i="10" s="1"/>
  <c r="AA66" i="10"/>
  <c r="Y11" i="10"/>
  <c r="AA11" i="10" s="1"/>
  <c r="F276" i="1"/>
  <c r="H215" i="1"/>
  <c r="H43" i="1"/>
  <c r="J43" i="1" s="1"/>
  <c r="G152" i="3"/>
  <c r="Y99" i="10"/>
  <c r="AA99" i="10" s="1"/>
  <c r="J164" i="11"/>
  <c r="D1016" i="3"/>
  <c r="F164" i="11"/>
  <c r="L164" i="11"/>
  <c r="K164" i="11"/>
  <c r="M164" i="11"/>
  <c r="H164" i="11"/>
  <c r="G164" i="11"/>
  <c r="N164" i="11"/>
  <c r="I164" i="11"/>
  <c r="D164" i="11"/>
  <c r="E164" i="11"/>
  <c r="H731" i="3"/>
  <c r="M131" i="11" s="1"/>
  <c r="F18" i="1"/>
  <c r="G120" i="11"/>
  <c r="K120" i="11"/>
  <c r="C120" i="11"/>
  <c r="D120" i="11"/>
  <c r="H120" i="11"/>
  <c r="L120" i="11"/>
  <c r="E120" i="11"/>
  <c r="I120" i="11"/>
  <c r="M120" i="11"/>
  <c r="F120" i="11"/>
  <c r="J120" i="11"/>
  <c r="N120" i="11"/>
  <c r="H587" i="3"/>
  <c r="E109" i="11" s="1"/>
  <c r="H11" i="3"/>
  <c r="M21" i="11" s="1"/>
  <c r="AN15" i="4"/>
  <c r="L9" i="1" s="1"/>
  <c r="AC15" i="4"/>
  <c r="O62" i="4"/>
  <c r="AB15" i="4" s="1"/>
  <c r="AI15" i="4" s="1"/>
  <c r="AJ15" i="4" s="1"/>
  <c r="AE15" i="4"/>
  <c r="Q62" i="4"/>
  <c r="AD15" i="4" s="1"/>
  <c r="AK15" i="4" s="1"/>
  <c r="AL15" i="4" s="1"/>
  <c r="J114" i="1"/>
  <c r="I99" i="1"/>
  <c r="H99" i="1"/>
  <c r="J152" i="1"/>
  <c r="J111" i="1"/>
  <c r="H260" i="1"/>
  <c r="D49" i="1"/>
  <c r="I49" i="1" s="1"/>
  <c r="J49" i="1" s="1"/>
  <c r="I87" i="1"/>
  <c r="I302" i="1"/>
  <c r="I303" i="1" s="1"/>
  <c r="B22" i="1" s="1"/>
  <c r="E22" i="1" s="1"/>
  <c r="J132" i="1"/>
  <c r="H74" i="1"/>
  <c r="J74" i="1" s="1"/>
  <c r="D96" i="1"/>
  <c r="I96" i="1" s="1"/>
  <c r="H96" i="1"/>
  <c r="F139" i="1"/>
  <c r="I64" i="1"/>
  <c r="J64" i="1" s="1"/>
  <c r="E83" i="1"/>
  <c r="I83" i="1" s="1"/>
  <c r="J83" i="1" s="1"/>
  <c r="H90" i="1"/>
  <c r="J90" i="1" s="1"/>
  <c r="H46" i="1"/>
  <c r="H68" i="1"/>
  <c r="D68" i="1"/>
  <c r="I68" i="1" s="1"/>
  <c r="I46" i="1"/>
  <c r="E58" i="1"/>
  <c r="I58" i="1" s="1"/>
  <c r="J58" i="1" s="1"/>
  <c r="H87" i="1"/>
  <c r="H93" i="1"/>
  <c r="I93" i="1"/>
  <c r="H206" i="1"/>
  <c r="I235" i="1"/>
  <c r="I275" i="1"/>
  <c r="I266" i="1"/>
  <c r="J266" i="1" s="1"/>
  <c r="I149" i="1"/>
  <c r="J149" i="1" s="1"/>
  <c r="H275" i="1"/>
  <c r="F84" i="1"/>
  <c r="J162" i="1"/>
  <c r="H123" i="1"/>
  <c r="E123" i="1"/>
  <c r="I123" i="1" s="1"/>
  <c r="D251" i="1"/>
  <c r="J102" i="1"/>
  <c r="G84" i="1"/>
  <c r="H117" i="1"/>
  <c r="J117" i="1" s="1"/>
  <c r="H257" i="1"/>
  <c r="D257" i="1"/>
  <c r="H269" i="1"/>
  <c r="E269" i="1"/>
  <c r="I269" i="1" s="1"/>
  <c r="E298" i="1"/>
  <c r="H298" i="1"/>
  <c r="E250" i="1"/>
  <c r="I250" i="1" s="1"/>
  <c r="H250" i="1"/>
  <c r="E247" i="1"/>
  <c r="H247" i="1"/>
  <c r="E203" i="1"/>
  <c r="H55" i="1"/>
  <c r="E55" i="1"/>
  <c r="D71" i="1"/>
  <c r="H71" i="1"/>
  <c r="I260" i="1"/>
  <c r="H126" i="1"/>
  <c r="E126" i="1"/>
  <c r="D209" i="1"/>
  <c r="I209" i="1" s="1"/>
  <c r="H209" i="1"/>
  <c r="I206" i="1"/>
  <c r="J171" i="1"/>
  <c r="H235" i="1"/>
  <c r="J212" i="1"/>
  <c r="G368" i="3"/>
  <c r="I154" i="11"/>
  <c r="J192" i="1"/>
  <c r="J306" i="1"/>
  <c r="J307" i="1" s="1"/>
  <c r="I307" i="1"/>
  <c r="G251" i="1"/>
  <c r="E272" i="1"/>
  <c r="I272" i="1" s="1"/>
  <c r="H272" i="1"/>
  <c r="I61" i="1"/>
  <c r="J61" i="1" s="1"/>
  <c r="H14" i="1"/>
  <c r="H419" i="3"/>
  <c r="H399" i="3" s="1"/>
  <c r="E77" i="11" s="1"/>
  <c r="E80" i="1"/>
  <c r="H80" i="1"/>
  <c r="D154" i="11"/>
  <c r="H299" i="3"/>
  <c r="D65" i="11" s="1"/>
  <c r="H155" i="3"/>
  <c r="K43" i="11" s="1"/>
  <c r="I146" i="1"/>
  <c r="B12" i="1" s="1"/>
  <c r="J142" i="1"/>
  <c r="J146" i="1" s="1"/>
  <c r="H17" i="1"/>
  <c r="H635" i="3"/>
  <c r="H615" i="3" s="1"/>
  <c r="G65" i="1"/>
  <c r="J254" i="1"/>
  <c r="J202" i="1"/>
  <c r="J203" i="1" s="1"/>
  <c r="I203" i="1"/>
  <c r="B15" i="1" s="1"/>
  <c r="U168" i="10"/>
  <c r="W135" i="10"/>
  <c r="K135" i="10"/>
  <c r="G296" i="3"/>
  <c r="G800" i="3"/>
  <c r="K168" i="10"/>
  <c r="G224" i="3"/>
  <c r="N87" i="11"/>
  <c r="E87" i="11"/>
  <c r="C87" i="11"/>
  <c r="D87" i="11"/>
  <c r="J87" i="11"/>
  <c r="F87" i="11"/>
  <c r="K87" i="11"/>
  <c r="S58" i="10"/>
  <c r="H443" i="3"/>
  <c r="G87" i="11"/>
  <c r="G11" i="1"/>
  <c r="M87" i="11"/>
  <c r="I87" i="11"/>
  <c r="L87" i="11"/>
  <c r="C98" i="11"/>
  <c r="I80" i="10"/>
  <c r="E98" i="11"/>
  <c r="G80" i="10"/>
  <c r="E58" i="10"/>
  <c r="G1016" i="3"/>
  <c r="I168" i="10"/>
  <c r="C168" i="10"/>
  <c r="G728" i="3"/>
  <c r="M69" i="10"/>
  <c r="W69" i="10"/>
  <c r="E69" i="10"/>
  <c r="O80" i="10"/>
  <c r="M80" i="10"/>
  <c r="C80" i="10"/>
  <c r="Q80" i="10"/>
  <c r="K80" i="10"/>
  <c r="W80" i="10"/>
  <c r="Y80" i="10"/>
  <c r="L76" i="11"/>
  <c r="K76" i="11"/>
  <c r="J76" i="11"/>
  <c r="N76" i="11"/>
  <c r="D76" i="11"/>
  <c r="G14" i="1"/>
  <c r="Q69" i="10"/>
  <c r="I69" i="10"/>
  <c r="G69" i="10"/>
  <c r="S135" i="10"/>
  <c r="M135" i="10"/>
  <c r="E168" i="10"/>
  <c r="H76" i="11"/>
  <c r="E76" i="11"/>
  <c r="G512" i="3"/>
  <c r="G76" i="11"/>
  <c r="I76" i="11"/>
  <c r="G440" i="3"/>
  <c r="Q135" i="10"/>
  <c r="E25" i="10"/>
  <c r="G168" i="10"/>
  <c r="Q168" i="10"/>
  <c r="C76" i="11"/>
  <c r="F76" i="11"/>
  <c r="G1088" i="3"/>
  <c r="C25" i="10"/>
  <c r="M25" i="10"/>
  <c r="K25" i="10"/>
  <c r="O135" i="10"/>
  <c r="I135" i="10"/>
  <c r="S25" i="10"/>
  <c r="I25" i="10"/>
  <c r="M76" i="11"/>
  <c r="I58" i="10"/>
  <c r="W25" i="10"/>
  <c r="Y25" i="10"/>
  <c r="C33" i="11"/>
  <c r="U25" i="10"/>
  <c r="G25" i="10"/>
  <c r="H154" i="11"/>
  <c r="G944" i="3"/>
  <c r="Y69" i="10"/>
  <c r="C69" i="10"/>
  <c r="N154" i="11"/>
  <c r="C47" i="10"/>
  <c r="G656" i="3"/>
  <c r="Y135" i="10"/>
  <c r="S69" i="10"/>
  <c r="O69" i="10"/>
  <c r="E80" i="10"/>
  <c r="J98" i="11"/>
  <c r="O25" i="10"/>
  <c r="S168" i="10"/>
  <c r="E154" i="11"/>
  <c r="S47" i="10"/>
  <c r="O47" i="10"/>
  <c r="U47" i="10"/>
  <c r="C154" i="11"/>
  <c r="U69" i="10"/>
  <c r="J154" i="11"/>
  <c r="U135" i="10"/>
  <c r="S80" i="10"/>
  <c r="I98" i="11"/>
  <c r="Y168" i="10"/>
  <c r="O168" i="10"/>
  <c r="G47" i="10"/>
  <c r="E47" i="10"/>
  <c r="W168" i="10"/>
  <c r="K47" i="10"/>
  <c r="G80" i="3"/>
  <c r="Y47" i="10"/>
  <c r="W47" i="10"/>
  <c r="Q47" i="10"/>
  <c r="G12" i="1"/>
  <c r="H235" i="3"/>
  <c r="H227" i="3" s="1"/>
  <c r="M47" i="10"/>
  <c r="H543" i="3"/>
  <c r="M99" i="11" s="1"/>
  <c r="G98" i="11"/>
  <c r="N98" i="11"/>
  <c r="D98" i="11"/>
  <c r="L98" i="11"/>
  <c r="H98" i="11"/>
  <c r="M98" i="11"/>
  <c r="F98" i="11"/>
  <c r="K154" i="11"/>
  <c r="M154" i="11"/>
  <c r="F154" i="11"/>
  <c r="P143" i="11"/>
  <c r="G154" i="11"/>
  <c r="C121" i="11"/>
  <c r="O143" i="11"/>
  <c r="H728" i="3"/>
  <c r="O113" i="10"/>
  <c r="U113" i="10"/>
  <c r="S113" i="10"/>
  <c r="G113" i="10"/>
  <c r="I113" i="10"/>
  <c r="Q113" i="10"/>
  <c r="Y113" i="10"/>
  <c r="E113" i="10"/>
  <c r="W113" i="10"/>
  <c r="C113" i="10"/>
  <c r="K113" i="10"/>
  <c r="M113" i="10"/>
  <c r="I146" i="10"/>
  <c r="G146" i="10"/>
  <c r="S146" i="10"/>
  <c r="E146" i="10"/>
  <c r="Q146" i="10"/>
  <c r="M146" i="10"/>
  <c r="W146" i="10"/>
  <c r="O146" i="10"/>
  <c r="K146" i="10"/>
  <c r="C146" i="10"/>
  <c r="Y146" i="10"/>
  <c r="U146" i="10"/>
  <c r="D121" i="11"/>
  <c r="G872" i="3"/>
  <c r="I157" i="10"/>
  <c r="E157" i="10"/>
  <c r="Q157" i="10"/>
  <c r="S157" i="10"/>
  <c r="K157" i="10"/>
  <c r="C157" i="10"/>
  <c r="M157" i="10"/>
  <c r="O157" i="10"/>
  <c r="W157" i="10"/>
  <c r="U157" i="10"/>
  <c r="Y157" i="10"/>
  <c r="G157" i="10"/>
  <c r="M142" i="11"/>
  <c r="E142" i="11"/>
  <c r="K142" i="11"/>
  <c r="F142" i="11"/>
  <c r="H142" i="11"/>
  <c r="G142" i="11"/>
  <c r="I142" i="11"/>
  <c r="J142" i="11"/>
  <c r="L142" i="11"/>
  <c r="C142" i="11"/>
  <c r="D142" i="11"/>
  <c r="N142" i="11"/>
  <c r="O176" i="11"/>
  <c r="Y124" i="10" l="1"/>
  <c r="C58" i="10"/>
  <c r="M66" i="11"/>
  <c r="M58" i="10"/>
  <c r="Q58" i="10"/>
  <c r="G58" i="10"/>
  <c r="U58" i="10"/>
  <c r="O58" i="10"/>
  <c r="F55" i="11"/>
  <c r="K66" i="11"/>
  <c r="Y58" i="10"/>
  <c r="W58" i="10"/>
  <c r="D66" i="11"/>
  <c r="M153" i="11"/>
  <c r="D153" i="11"/>
  <c r="H153" i="11"/>
  <c r="G66" i="11"/>
  <c r="F66" i="11"/>
  <c r="C55" i="11"/>
  <c r="H55" i="11"/>
  <c r="E165" i="11"/>
  <c r="J55" i="11"/>
  <c r="L55" i="11"/>
  <c r="K55" i="11"/>
  <c r="M55" i="11"/>
  <c r="D55" i="11"/>
  <c r="G55" i="11"/>
  <c r="E55" i="11"/>
  <c r="I55" i="11"/>
  <c r="E66" i="11"/>
  <c r="H66" i="11"/>
  <c r="J66" i="11"/>
  <c r="H88" i="11"/>
  <c r="G88" i="11"/>
  <c r="J88" i="11"/>
  <c r="G36" i="10"/>
  <c r="Q124" i="10"/>
  <c r="S36" i="10"/>
  <c r="C36" i="10"/>
  <c r="K36" i="10"/>
  <c r="F44" i="11"/>
  <c r="L44" i="11"/>
  <c r="L165" i="11"/>
  <c r="H165" i="11"/>
  <c r="K165" i="11"/>
  <c r="I165" i="11"/>
  <c r="M165" i="11"/>
  <c r="H1016" i="3"/>
  <c r="J22" i="1" s="1"/>
  <c r="K22" i="1" s="1"/>
  <c r="O22" i="1" s="1"/>
  <c r="G165" i="11"/>
  <c r="J165" i="11"/>
  <c r="N165" i="11"/>
  <c r="F165" i="11"/>
  <c r="C124" i="10"/>
  <c r="K124" i="10"/>
  <c r="U124" i="10"/>
  <c r="E124" i="10"/>
  <c r="W124" i="10"/>
  <c r="G124" i="10"/>
  <c r="P132" i="11"/>
  <c r="O124" i="10"/>
  <c r="M124" i="10"/>
  <c r="S124" i="10"/>
  <c r="O132" i="11"/>
  <c r="E111" i="11"/>
  <c r="M36" i="10"/>
  <c r="O36" i="10"/>
  <c r="I33" i="11"/>
  <c r="D32" i="11"/>
  <c r="F32" i="11"/>
  <c r="L32" i="11"/>
  <c r="G32" i="11"/>
  <c r="M32" i="11"/>
  <c r="K32" i="11"/>
  <c r="E32" i="11"/>
  <c r="H32" i="11"/>
  <c r="N32" i="11"/>
  <c r="I32" i="11"/>
  <c r="C65" i="11"/>
  <c r="J32" i="11"/>
  <c r="N65" i="11"/>
  <c r="G65" i="11"/>
  <c r="I222" i="1"/>
  <c r="B16" i="1" s="1"/>
  <c r="H222" i="1"/>
  <c r="C16" i="1" s="1"/>
  <c r="D222" i="1"/>
  <c r="D165" i="11"/>
  <c r="L153" i="11"/>
  <c r="H944" i="3"/>
  <c r="J21" i="1" s="1"/>
  <c r="K21" i="1" s="1"/>
  <c r="Q36" i="10"/>
  <c r="K88" i="11"/>
  <c r="C66" i="11"/>
  <c r="J153" i="11"/>
  <c r="H512" i="3"/>
  <c r="J15" i="1" s="1"/>
  <c r="K15" i="1" s="1"/>
  <c r="K153" i="11"/>
  <c r="I36" i="10"/>
  <c r="N66" i="11"/>
  <c r="E153" i="11"/>
  <c r="D88" i="11"/>
  <c r="G153" i="11"/>
  <c r="J109" i="11"/>
  <c r="J111" i="11" s="1"/>
  <c r="E36" i="10"/>
  <c r="M88" i="11"/>
  <c r="E102" i="10"/>
  <c r="E103" i="10" s="1"/>
  <c r="C153" i="11"/>
  <c r="F88" i="11"/>
  <c r="L66" i="11"/>
  <c r="F153" i="11"/>
  <c r="N88" i="11"/>
  <c r="C88" i="11"/>
  <c r="E88" i="11"/>
  <c r="N153" i="11"/>
  <c r="U36" i="10"/>
  <c r="I88" i="11"/>
  <c r="J44" i="11"/>
  <c r="D109" i="11"/>
  <c r="D111" i="11" s="1"/>
  <c r="C109" i="11"/>
  <c r="C111" i="11" s="1"/>
  <c r="I44" i="11"/>
  <c r="J33" i="11"/>
  <c r="G33" i="11"/>
  <c r="E44" i="11"/>
  <c r="D33" i="11"/>
  <c r="L33" i="11"/>
  <c r="N131" i="11"/>
  <c r="G44" i="11"/>
  <c r="E33" i="11"/>
  <c r="N109" i="11"/>
  <c r="N111" i="11" s="1"/>
  <c r="H44" i="11"/>
  <c r="M44" i="11"/>
  <c r="H152" i="3"/>
  <c r="J10" i="1" s="1"/>
  <c r="K10" i="1" s="1"/>
  <c r="K33" i="11"/>
  <c r="N33" i="11"/>
  <c r="H109" i="11"/>
  <c r="H111" i="11" s="1"/>
  <c r="W36" i="10"/>
  <c r="F33" i="11"/>
  <c r="H33" i="11"/>
  <c r="K44" i="11"/>
  <c r="H515" i="3"/>
  <c r="H584" i="3" s="1"/>
  <c r="J16" i="1" s="1"/>
  <c r="K16" i="1" s="1"/>
  <c r="H65" i="11"/>
  <c r="L65" i="11"/>
  <c r="J196" i="1"/>
  <c r="H24" i="1"/>
  <c r="F24" i="1"/>
  <c r="K65" i="11"/>
  <c r="K67" i="11" s="1"/>
  <c r="J65" i="11"/>
  <c r="M65" i="11"/>
  <c r="M67" i="11" s="1"/>
  <c r="H368" i="3"/>
  <c r="J13" i="1" s="1"/>
  <c r="K13" i="1" s="1"/>
  <c r="H224" i="3"/>
  <c r="J11" i="1" s="1"/>
  <c r="K11" i="1" s="1"/>
  <c r="Y102" i="10"/>
  <c r="Y103" i="10" s="1"/>
  <c r="D131" i="11"/>
  <c r="J131" i="11"/>
  <c r="U102" i="10"/>
  <c r="U103" i="10" s="1"/>
  <c r="C131" i="11"/>
  <c r="E131" i="11"/>
  <c r="C102" i="10"/>
  <c r="C103" i="10" s="1"/>
  <c r="I65" i="11"/>
  <c r="I67" i="11" s="1"/>
  <c r="G102" i="10"/>
  <c r="G103" i="10" s="1"/>
  <c r="E65" i="11"/>
  <c r="F43" i="11"/>
  <c r="F65" i="11"/>
  <c r="F67" i="11" s="1"/>
  <c r="D43" i="11"/>
  <c r="G131" i="11"/>
  <c r="C43" i="11"/>
  <c r="K131" i="11"/>
  <c r="H800" i="3"/>
  <c r="J19" i="1" s="1"/>
  <c r="K19" i="1" s="1"/>
  <c r="I131" i="11"/>
  <c r="F131" i="11"/>
  <c r="L131" i="11"/>
  <c r="O121" i="11"/>
  <c r="P110" i="11"/>
  <c r="O110" i="11"/>
  <c r="M102" i="10"/>
  <c r="M103" i="10" s="1"/>
  <c r="S102" i="10"/>
  <c r="S103" i="10" s="1"/>
  <c r="O102" i="10"/>
  <c r="O103" i="10" s="1"/>
  <c r="O91" i="10"/>
  <c r="Y91" i="10"/>
  <c r="E91" i="10"/>
  <c r="I91" i="10"/>
  <c r="U91" i="10"/>
  <c r="S91" i="10"/>
  <c r="K91" i="10"/>
  <c r="C91" i="10"/>
  <c r="Q91" i="10"/>
  <c r="W91" i="10"/>
  <c r="M91" i="10"/>
  <c r="G24" i="1"/>
  <c r="N44" i="11"/>
  <c r="D44" i="11"/>
  <c r="H43" i="11"/>
  <c r="E43" i="11"/>
  <c r="J43" i="11"/>
  <c r="M43" i="11"/>
  <c r="I43" i="11"/>
  <c r="L43" i="11"/>
  <c r="G43" i="11"/>
  <c r="N43" i="11"/>
  <c r="C22" i="11"/>
  <c r="H22" i="11"/>
  <c r="M22" i="11"/>
  <c r="G22" i="11"/>
  <c r="I22" i="11"/>
  <c r="K22" i="11"/>
  <c r="D22" i="11"/>
  <c r="E22" i="11"/>
  <c r="F22" i="11"/>
  <c r="J22" i="11"/>
  <c r="L22" i="11"/>
  <c r="F21" i="11"/>
  <c r="I283" i="1"/>
  <c r="B20" i="1" s="1"/>
  <c r="E20" i="1" s="1"/>
  <c r="J138" i="11" s="1"/>
  <c r="J144" i="11" s="1"/>
  <c r="J302" i="1"/>
  <c r="J303" i="1" s="1"/>
  <c r="J215" i="1"/>
  <c r="I153" i="1"/>
  <c r="B13" i="1" s="1"/>
  <c r="E13" i="1" s="1"/>
  <c r="J99" i="1"/>
  <c r="I77" i="11"/>
  <c r="H65" i="1"/>
  <c r="C9" i="1" s="1"/>
  <c r="H131" i="11"/>
  <c r="Q102" i="10"/>
  <c r="Q103" i="10" s="1"/>
  <c r="H656" i="3"/>
  <c r="J17" i="1" s="1"/>
  <c r="K17" i="1" s="1"/>
  <c r="O17" i="1" s="1"/>
  <c r="L77" i="11"/>
  <c r="I102" i="10"/>
  <c r="I103" i="10" s="1"/>
  <c r="G21" i="11"/>
  <c r="W102" i="10"/>
  <c r="W103" i="10" s="1"/>
  <c r="I21" i="11"/>
  <c r="D139" i="1"/>
  <c r="J153" i="1"/>
  <c r="J260" i="1"/>
  <c r="J68" i="1"/>
  <c r="O164" i="11"/>
  <c r="P164" i="11"/>
  <c r="J18" i="1"/>
  <c r="K18" i="1" s="1"/>
  <c r="O120" i="11"/>
  <c r="P120" i="11"/>
  <c r="J21" i="11"/>
  <c r="D21" i="11"/>
  <c r="K21" i="11"/>
  <c r="N21" i="11"/>
  <c r="G109" i="11"/>
  <c r="G111" i="11" s="1"/>
  <c r="K109" i="11"/>
  <c r="K111" i="11" s="1"/>
  <c r="M109" i="11"/>
  <c r="M111" i="11" s="1"/>
  <c r="C21" i="11"/>
  <c r="H80" i="3"/>
  <c r="W14" i="10" s="1"/>
  <c r="E21" i="11"/>
  <c r="F109" i="11"/>
  <c r="F111" i="11" s="1"/>
  <c r="I109" i="11"/>
  <c r="I111" i="11" s="1"/>
  <c r="L109" i="11"/>
  <c r="L111" i="11" s="1"/>
  <c r="H21" i="11"/>
  <c r="L21" i="11"/>
  <c r="AO15" i="4"/>
  <c r="AP15" i="4"/>
  <c r="L13" i="1"/>
  <c r="L17" i="1"/>
  <c r="L21" i="1"/>
  <c r="L23" i="1"/>
  <c r="M23" i="1" s="1"/>
  <c r="L16" i="1"/>
  <c r="L22" i="1"/>
  <c r="L10" i="1"/>
  <c r="L14" i="1"/>
  <c r="L18" i="1"/>
  <c r="L12" i="1"/>
  <c r="L20" i="1"/>
  <c r="L11" i="1"/>
  <c r="L15" i="1"/>
  <c r="L19" i="1"/>
  <c r="C77" i="11"/>
  <c r="D77" i="11"/>
  <c r="F77" i="11"/>
  <c r="J77" i="11"/>
  <c r="H77" i="11"/>
  <c r="N77" i="11"/>
  <c r="M77" i="11"/>
  <c r="G77" i="11"/>
  <c r="K77" i="11"/>
  <c r="H440" i="3"/>
  <c r="J14" i="1" s="1"/>
  <c r="K14" i="1" s="1"/>
  <c r="J87" i="1"/>
  <c r="D65" i="1"/>
  <c r="D160" i="11"/>
  <c r="E160" i="11"/>
  <c r="N160" i="11"/>
  <c r="J206" i="1"/>
  <c r="J96" i="1"/>
  <c r="J46" i="1"/>
  <c r="E65" i="1"/>
  <c r="J93" i="1"/>
  <c r="G160" i="11"/>
  <c r="M160" i="11"/>
  <c r="L160" i="11"/>
  <c r="J275" i="1"/>
  <c r="H160" i="11"/>
  <c r="F160" i="11"/>
  <c r="J160" i="11"/>
  <c r="I160" i="11"/>
  <c r="C160" i="11"/>
  <c r="C166" i="11" s="1"/>
  <c r="K160" i="11"/>
  <c r="J123" i="1"/>
  <c r="J250" i="1"/>
  <c r="E139" i="1"/>
  <c r="H276" i="1"/>
  <c r="C19" i="1" s="1"/>
  <c r="K152" i="10"/>
  <c r="K158" i="10" s="1"/>
  <c r="J269" i="1"/>
  <c r="E276" i="1"/>
  <c r="H139" i="1"/>
  <c r="C11" i="1" s="1"/>
  <c r="E152" i="10"/>
  <c r="E158" i="10" s="1"/>
  <c r="I257" i="1"/>
  <c r="D276" i="1"/>
  <c r="Y152" i="10"/>
  <c r="Y158" i="10" s="1"/>
  <c r="U152" i="10"/>
  <c r="U158" i="10" s="1"/>
  <c r="M152" i="10"/>
  <c r="M158" i="10" s="1"/>
  <c r="I152" i="10"/>
  <c r="I158" i="10" s="1"/>
  <c r="Q152" i="10"/>
  <c r="Q158" i="10" s="1"/>
  <c r="H251" i="1"/>
  <c r="C18" i="1" s="1"/>
  <c r="E299" i="1"/>
  <c r="I298" i="1"/>
  <c r="I299" i="1" s="1"/>
  <c r="B21" i="1" s="1"/>
  <c r="W152" i="10"/>
  <c r="W158" i="10" s="1"/>
  <c r="C152" i="10"/>
  <c r="C158" i="10" s="1"/>
  <c r="G152" i="10"/>
  <c r="G158" i="10" s="1"/>
  <c r="H299" i="1"/>
  <c r="C21" i="1" s="1"/>
  <c r="O152" i="10"/>
  <c r="O158" i="10" s="1"/>
  <c r="S152" i="10"/>
  <c r="S158" i="10" s="1"/>
  <c r="E251" i="1"/>
  <c r="E12" i="1"/>
  <c r="L50" i="11" s="1"/>
  <c r="I126" i="1"/>
  <c r="J235" i="1"/>
  <c r="E15" i="1"/>
  <c r="E14" i="1"/>
  <c r="L72" i="11" s="1"/>
  <c r="J209" i="1"/>
  <c r="I247" i="1"/>
  <c r="D84" i="1"/>
  <c r="I71" i="1"/>
  <c r="J71" i="1" s="1"/>
  <c r="E23" i="1"/>
  <c r="J272" i="1"/>
  <c r="H84" i="1"/>
  <c r="C10" i="1" s="1"/>
  <c r="I80" i="1"/>
  <c r="E84" i="1"/>
  <c r="D99" i="11"/>
  <c r="O87" i="11"/>
  <c r="P87" i="11"/>
  <c r="O76" i="11"/>
  <c r="P76" i="11"/>
  <c r="P154" i="11"/>
  <c r="AA25" i="10"/>
  <c r="G99" i="11"/>
  <c r="O154" i="11"/>
  <c r="I99" i="11"/>
  <c r="J99" i="11"/>
  <c r="AA80" i="10"/>
  <c r="L99" i="11"/>
  <c r="AA69" i="10"/>
  <c r="F99" i="11"/>
  <c r="AA168" i="10"/>
  <c r="P121" i="11"/>
  <c r="K99" i="11"/>
  <c r="AA135" i="10"/>
  <c r="AA47" i="10"/>
  <c r="G54" i="11"/>
  <c r="K54" i="11"/>
  <c r="I54" i="11"/>
  <c r="D54" i="11"/>
  <c r="M54" i="11"/>
  <c r="N54" i="11"/>
  <c r="E54" i="11"/>
  <c r="L54" i="11"/>
  <c r="C54" i="11"/>
  <c r="J54" i="11"/>
  <c r="F54" i="11"/>
  <c r="H54" i="11"/>
  <c r="H296" i="3"/>
  <c r="J12" i="1" s="1"/>
  <c r="K12" i="1" s="1"/>
  <c r="N99" i="11"/>
  <c r="E99" i="11"/>
  <c r="C99" i="11"/>
  <c r="H99" i="11"/>
  <c r="O98" i="11"/>
  <c r="P98" i="11"/>
  <c r="AA113" i="10"/>
  <c r="AA157" i="10"/>
  <c r="AA146" i="10"/>
  <c r="O142" i="11"/>
  <c r="P142" i="11"/>
  <c r="O177" i="11"/>
  <c r="AA58" i="10" l="1"/>
  <c r="G67" i="11"/>
  <c r="P55" i="11"/>
  <c r="O55" i="11"/>
  <c r="E166" i="11"/>
  <c r="K166" i="11"/>
  <c r="H166" i="11"/>
  <c r="J67" i="11"/>
  <c r="H67" i="11"/>
  <c r="P66" i="11"/>
  <c r="L67" i="11"/>
  <c r="O66" i="11"/>
  <c r="O88" i="11"/>
  <c r="I166" i="11"/>
  <c r="M166" i="11"/>
  <c r="L166" i="11"/>
  <c r="D166" i="11"/>
  <c r="J166" i="11"/>
  <c r="G166" i="11"/>
  <c r="F166" i="11"/>
  <c r="P165" i="11"/>
  <c r="N166" i="11"/>
  <c r="AA124" i="10"/>
  <c r="P32" i="11"/>
  <c r="O32" i="11"/>
  <c r="AA36" i="10"/>
  <c r="P153" i="11"/>
  <c r="J222" i="1"/>
  <c r="O165" i="11"/>
  <c r="P88" i="11"/>
  <c r="P33" i="11"/>
  <c r="O153" i="11"/>
  <c r="O33" i="11"/>
  <c r="O44" i="11"/>
  <c r="P44" i="11"/>
  <c r="U163" i="10"/>
  <c r="U169" i="10" s="1"/>
  <c r="P43" i="11"/>
  <c r="O43" i="11"/>
  <c r="O65" i="11"/>
  <c r="P131" i="11"/>
  <c r="P65" i="11"/>
  <c r="O131" i="11"/>
  <c r="AA102" i="10"/>
  <c r="AA103" i="10" s="1"/>
  <c r="AA91" i="10"/>
  <c r="L78" i="11"/>
  <c r="P22" i="11"/>
  <c r="O22" i="11"/>
  <c r="I138" i="11"/>
  <c r="I144" i="11" s="1"/>
  <c r="E16" i="1"/>
  <c r="N94" i="11" s="1"/>
  <c r="W163" i="10"/>
  <c r="W169" i="10" s="1"/>
  <c r="O163" i="10"/>
  <c r="O169" i="10" s="1"/>
  <c r="Q163" i="10"/>
  <c r="Q169" i="10" s="1"/>
  <c r="Y163" i="10"/>
  <c r="Y169" i="10" s="1"/>
  <c r="K172" i="11"/>
  <c r="K178" i="11" s="1"/>
  <c r="C172" i="11"/>
  <c r="C178" i="11" s="1"/>
  <c r="O14" i="10"/>
  <c r="M14" i="10"/>
  <c r="S14" i="10"/>
  <c r="U14" i="10"/>
  <c r="C14" i="10"/>
  <c r="K14" i="10"/>
  <c r="Q14" i="10"/>
  <c r="E14" i="10"/>
  <c r="I14" i="10"/>
  <c r="O77" i="11"/>
  <c r="P109" i="11"/>
  <c r="O21" i="11"/>
  <c r="O111" i="11"/>
  <c r="P21" i="11"/>
  <c r="O109" i="11"/>
  <c r="J9" i="1"/>
  <c r="K9" i="1" s="1"/>
  <c r="K24" i="1" s="1"/>
  <c r="G14" i="10"/>
  <c r="Y14" i="10"/>
  <c r="P77" i="11"/>
  <c r="E42" i="10"/>
  <c r="E48" i="10" s="1"/>
  <c r="I163" i="10"/>
  <c r="I169" i="10" s="1"/>
  <c r="K163" i="10"/>
  <c r="K169" i="10" s="1"/>
  <c r="M163" i="10"/>
  <c r="M169" i="10" s="1"/>
  <c r="C163" i="10"/>
  <c r="C169" i="10" s="1"/>
  <c r="S163" i="10"/>
  <c r="S169" i="10" s="1"/>
  <c r="D50" i="11"/>
  <c r="D56" i="11" s="1"/>
  <c r="Q42" i="10"/>
  <c r="Q48" i="10" s="1"/>
  <c r="E163" i="10"/>
  <c r="E169" i="10" s="1"/>
  <c r="G163" i="10"/>
  <c r="G169" i="10" s="1"/>
  <c r="E138" i="11"/>
  <c r="E144" i="11" s="1"/>
  <c r="S42" i="10"/>
  <c r="S48" i="10" s="1"/>
  <c r="O42" i="10"/>
  <c r="O48" i="10" s="1"/>
  <c r="I75" i="10"/>
  <c r="I81" i="10" s="1"/>
  <c r="O160" i="11"/>
  <c r="P160" i="11"/>
  <c r="G42" i="10"/>
  <c r="G48" i="10" s="1"/>
  <c r="C42" i="10"/>
  <c r="C48" i="10" s="1"/>
  <c r="J50" i="11"/>
  <c r="J56" i="11" s="1"/>
  <c r="W42" i="10"/>
  <c r="W48" i="10" s="1"/>
  <c r="Y42" i="10"/>
  <c r="Y48" i="10" s="1"/>
  <c r="U42" i="10"/>
  <c r="U48" i="10" s="1"/>
  <c r="K42" i="10"/>
  <c r="K48" i="10" s="1"/>
  <c r="M42" i="10"/>
  <c r="M48" i="10" s="1"/>
  <c r="M50" i="11"/>
  <c r="M56" i="11" s="1"/>
  <c r="C50" i="11"/>
  <c r="H50" i="11"/>
  <c r="H56" i="11" s="1"/>
  <c r="K50" i="11"/>
  <c r="K56" i="11" s="1"/>
  <c r="O12" i="1"/>
  <c r="N50" i="11"/>
  <c r="N56" i="11" s="1"/>
  <c r="I50" i="11"/>
  <c r="I56" i="11" s="1"/>
  <c r="G50" i="11"/>
  <c r="G56" i="11" s="1"/>
  <c r="F50" i="11"/>
  <c r="F56" i="11" s="1"/>
  <c r="E50" i="11"/>
  <c r="E56" i="11" s="1"/>
  <c r="I42" i="10"/>
  <c r="I48" i="10" s="1"/>
  <c r="G75" i="10"/>
  <c r="G81" i="10" s="1"/>
  <c r="D61" i="11"/>
  <c r="D67" i="11" s="1"/>
  <c r="F83" i="11"/>
  <c r="F89" i="11" s="1"/>
  <c r="W75" i="10"/>
  <c r="W81" i="10" s="1"/>
  <c r="U53" i="10"/>
  <c r="U59" i="10" s="1"/>
  <c r="AA152" i="10"/>
  <c r="AA158" i="10" s="1"/>
  <c r="S75" i="10"/>
  <c r="S81" i="10" s="1"/>
  <c r="D83" i="11"/>
  <c r="D89" i="11" s="1"/>
  <c r="C61" i="11"/>
  <c r="C67" i="11" s="1"/>
  <c r="W53" i="10"/>
  <c r="W59" i="10" s="1"/>
  <c r="G53" i="10"/>
  <c r="G59" i="10" s="1"/>
  <c r="O53" i="10"/>
  <c r="O59" i="10" s="1"/>
  <c r="L56" i="11"/>
  <c r="J257" i="1"/>
  <c r="J276" i="1" s="1"/>
  <c r="I276" i="1"/>
  <c r="B19" i="1" s="1"/>
  <c r="K72" i="11"/>
  <c r="K78" i="11" s="1"/>
  <c r="G83" i="11"/>
  <c r="G89" i="11" s="1"/>
  <c r="E83" i="11"/>
  <c r="E89" i="11" s="1"/>
  <c r="H83" i="11"/>
  <c r="H89" i="11" s="1"/>
  <c r="E61" i="11"/>
  <c r="E67" i="11" s="1"/>
  <c r="M53" i="10"/>
  <c r="M59" i="10" s="1"/>
  <c r="Y53" i="10"/>
  <c r="Y59" i="10" s="1"/>
  <c r="E21" i="1"/>
  <c r="O21" i="1" s="1"/>
  <c r="S64" i="10"/>
  <c r="S70" i="10" s="1"/>
  <c r="Q75" i="10"/>
  <c r="Q81" i="10" s="1"/>
  <c r="M75" i="10"/>
  <c r="M81" i="10" s="1"/>
  <c r="N83" i="11"/>
  <c r="N89" i="11" s="1"/>
  <c r="S53" i="10"/>
  <c r="S59" i="10" s="1"/>
  <c r="K53" i="10"/>
  <c r="K59" i="10" s="1"/>
  <c r="Q53" i="10"/>
  <c r="Q59" i="10" s="1"/>
  <c r="J298" i="1"/>
  <c r="J299" i="1" s="1"/>
  <c r="W130" i="10"/>
  <c r="W136" i="10" s="1"/>
  <c r="C130" i="10"/>
  <c r="C136" i="10" s="1"/>
  <c r="O130" i="10"/>
  <c r="O136" i="10" s="1"/>
  <c r="K64" i="10"/>
  <c r="K70" i="10" s="1"/>
  <c r="N72" i="11"/>
  <c r="N78" i="11" s="1"/>
  <c r="C64" i="10"/>
  <c r="C70" i="10" s="1"/>
  <c r="M64" i="10"/>
  <c r="M70" i="10" s="1"/>
  <c r="D72" i="11"/>
  <c r="D78" i="11" s="1"/>
  <c r="I64" i="10"/>
  <c r="I70" i="10" s="1"/>
  <c r="F72" i="11"/>
  <c r="F78" i="11" s="1"/>
  <c r="U64" i="10"/>
  <c r="U70" i="10" s="1"/>
  <c r="H72" i="11"/>
  <c r="H78" i="11" s="1"/>
  <c r="W64" i="10"/>
  <c r="W70" i="10" s="1"/>
  <c r="J72" i="11"/>
  <c r="J78" i="11" s="1"/>
  <c r="M72" i="11"/>
  <c r="M78" i="11" s="1"/>
  <c r="G64" i="10"/>
  <c r="G70" i="10" s="1"/>
  <c r="C72" i="11"/>
  <c r="C78" i="11" s="1"/>
  <c r="E64" i="10"/>
  <c r="E70" i="10" s="1"/>
  <c r="Y64" i="10"/>
  <c r="Y70" i="10" s="1"/>
  <c r="I72" i="11"/>
  <c r="I78" i="11" s="1"/>
  <c r="O64" i="10"/>
  <c r="O70" i="10" s="1"/>
  <c r="Q64" i="10"/>
  <c r="Q70" i="10" s="1"/>
  <c r="J126" i="1"/>
  <c r="J139" i="1" s="1"/>
  <c r="I139" i="1"/>
  <c r="B11" i="1" s="1"/>
  <c r="O20" i="1"/>
  <c r="D138" i="11"/>
  <c r="D144" i="11" s="1"/>
  <c r="K138" i="11"/>
  <c r="K144" i="11" s="1"/>
  <c r="I130" i="10"/>
  <c r="I136" i="10" s="1"/>
  <c r="Y130" i="10"/>
  <c r="Y136" i="10" s="1"/>
  <c r="Q130" i="10"/>
  <c r="Q136" i="10" s="1"/>
  <c r="G138" i="11"/>
  <c r="G144" i="11" s="1"/>
  <c r="U130" i="10"/>
  <c r="U136" i="10" s="1"/>
  <c r="S130" i="10"/>
  <c r="S136" i="10" s="1"/>
  <c r="F138" i="11"/>
  <c r="F144" i="11" s="1"/>
  <c r="E130" i="10"/>
  <c r="E136" i="10" s="1"/>
  <c r="N138" i="11"/>
  <c r="N144" i="11" s="1"/>
  <c r="H138" i="11"/>
  <c r="H144" i="11" s="1"/>
  <c r="M130" i="10"/>
  <c r="M136" i="10" s="1"/>
  <c r="C138" i="11"/>
  <c r="C144" i="11" s="1"/>
  <c r="L138" i="11"/>
  <c r="L144" i="11" s="1"/>
  <c r="K130" i="10"/>
  <c r="K136" i="10" s="1"/>
  <c r="G130" i="10"/>
  <c r="G136" i="10" s="1"/>
  <c r="M138" i="11"/>
  <c r="M144" i="11" s="1"/>
  <c r="G72" i="11"/>
  <c r="G78" i="11" s="1"/>
  <c r="E72" i="11"/>
  <c r="E78" i="11" s="1"/>
  <c r="O14" i="1"/>
  <c r="E75" i="10"/>
  <c r="E81" i="10" s="1"/>
  <c r="C83" i="11"/>
  <c r="C89" i="11" s="1"/>
  <c r="K75" i="10"/>
  <c r="K81" i="10" s="1"/>
  <c r="U75" i="10"/>
  <c r="U81" i="10" s="1"/>
  <c r="M83" i="11"/>
  <c r="M89" i="11" s="1"/>
  <c r="Y75" i="10"/>
  <c r="Y81" i="10" s="1"/>
  <c r="J247" i="1"/>
  <c r="J251" i="1" s="1"/>
  <c r="I251" i="1"/>
  <c r="B18" i="1" s="1"/>
  <c r="O15" i="1"/>
  <c r="I84" i="1"/>
  <c r="B10" i="1" s="1"/>
  <c r="O75" i="10"/>
  <c r="O81" i="10" s="1"/>
  <c r="C75" i="10"/>
  <c r="C81" i="10" s="1"/>
  <c r="L83" i="11"/>
  <c r="L89" i="11" s="1"/>
  <c r="J83" i="11"/>
  <c r="J89" i="11" s="1"/>
  <c r="I83" i="11"/>
  <c r="I89" i="11" s="1"/>
  <c r="K83" i="11"/>
  <c r="K89" i="11" s="1"/>
  <c r="C53" i="10"/>
  <c r="C59" i="10" s="1"/>
  <c r="I53" i="10"/>
  <c r="I59" i="10" s="1"/>
  <c r="N61" i="11"/>
  <c r="N67" i="11" s="1"/>
  <c r="E53" i="10"/>
  <c r="E59" i="10" s="1"/>
  <c r="F172" i="11"/>
  <c r="F178" i="11" s="1"/>
  <c r="C24" i="1"/>
  <c r="O13" i="1"/>
  <c r="L172" i="11"/>
  <c r="L178" i="11" s="1"/>
  <c r="M172" i="11"/>
  <c r="M178" i="11" s="1"/>
  <c r="H172" i="11"/>
  <c r="H178" i="11" s="1"/>
  <c r="G172" i="11"/>
  <c r="G178" i="11" s="1"/>
  <c r="O23" i="1"/>
  <c r="I172" i="11"/>
  <c r="I178" i="11" s="1"/>
  <c r="D172" i="11"/>
  <c r="D178" i="11" s="1"/>
  <c r="N172" i="11"/>
  <c r="N178" i="11" s="1"/>
  <c r="E172" i="11"/>
  <c r="E178" i="11" s="1"/>
  <c r="J172" i="11"/>
  <c r="J178" i="11" s="1"/>
  <c r="J80" i="1"/>
  <c r="J84" i="1" s="1"/>
  <c r="P54" i="11"/>
  <c r="O54" i="11"/>
  <c r="P99" i="11"/>
  <c r="O99" i="11"/>
  <c r="O166" i="11" l="1"/>
  <c r="AA163" i="10"/>
  <c r="AA169" i="10" s="1"/>
  <c r="J24" i="1"/>
  <c r="L94" i="11"/>
  <c r="L100" i="11" s="1"/>
  <c r="K94" i="11"/>
  <c r="K100" i="11" s="1"/>
  <c r="J94" i="11"/>
  <c r="J100" i="11" s="1"/>
  <c r="I94" i="11"/>
  <c r="I100" i="11" s="1"/>
  <c r="G94" i="11"/>
  <c r="G100" i="11" s="1"/>
  <c r="C94" i="11"/>
  <c r="C100" i="11" s="1"/>
  <c r="H94" i="11"/>
  <c r="H100" i="11" s="1"/>
  <c r="E94" i="11"/>
  <c r="E100" i="11" s="1"/>
  <c r="M94" i="11"/>
  <c r="M100" i="11" s="1"/>
  <c r="F94" i="11"/>
  <c r="F100" i="11" s="1"/>
  <c r="D94" i="11"/>
  <c r="D100" i="11" s="1"/>
  <c r="AA14" i="10"/>
  <c r="O67" i="11"/>
  <c r="O141" i="10"/>
  <c r="O147" i="10" s="1"/>
  <c r="AA42" i="10"/>
  <c r="AA48" i="10" s="1"/>
  <c r="E10" i="1"/>
  <c r="O50" i="11"/>
  <c r="C56" i="11"/>
  <c r="O56" i="11" s="1"/>
  <c r="P50" i="11"/>
  <c r="K141" i="10"/>
  <c r="K147" i="10" s="1"/>
  <c r="I86" i="10"/>
  <c r="I92" i="10" s="1"/>
  <c r="K149" i="11"/>
  <c r="K155" i="11" s="1"/>
  <c r="N149" i="11"/>
  <c r="N155" i="11" s="1"/>
  <c r="U86" i="10"/>
  <c r="U92" i="10" s="1"/>
  <c r="I149" i="11"/>
  <c r="I155" i="11" s="1"/>
  <c r="M141" i="10"/>
  <c r="M147" i="10" s="1"/>
  <c r="H149" i="11"/>
  <c r="H155" i="11" s="1"/>
  <c r="C149" i="11"/>
  <c r="C155" i="11" s="1"/>
  <c r="E149" i="11"/>
  <c r="E155" i="11" s="1"/>
  <c r="S141" i="10"/>
  <c r="S147" i="10" s="1"/>
  <c r="G141" i="10"/>
  <c r="G147" i="10" s="1"/>
  <c r="E19" i="1"/>
  <c r="O61" i="11"/>
  <c r="O89" i="11"/>
  <c r="F149" i="11"/>
  <c r="F155" i="11" s="1"/>
  <c r="Q141" i="10"/>
  <c r="Q147" i="10" s="1"/>
  <c r="G149" i="11"/>
  <c r="G155" i="11" s="1"/>
  <c r="Y141" i="10"/>
  <c r="Y147" i="10" s="1"/>
  <c r="O144" i="11"/>
  <c r="C141" i="10"/>
  <c r="C147" i="10" s="1"/>
  <c r="I141" i="10"/>
  <c r="I147" i="10" s="1"/>
  <c r="D149" i="11"/>
  <c r="D155" i="11" s="1"/>
  <c r="P61" i="11"/>
  <c r="M149" i="11"/>
  <c r="M155" i="11" s="1"/>
  <c r="L149" i="11"/>
  <c r="L155" i="11" s="1"/>
  <c r="W141" i="10"/>
  <c r="W147" i="10" s="1"/>
  <c r="U141" i="10"/>
  <c r="U147" i="10" s="1"/>
  <c r="E141" i="10"/>
  <c r="E147" i="10" s="1"/>
  <c r="J149" i="11"/>
  <c r="J155" i="11" s="1"/>
  <c r="N100" i="11"/>
  <c r="K86" i="10"/>
  <c r="K92" i="10" s="1"/>
  <c r="Y86" i="10"/>
  <c r="Y92" i="10" s="1"/>
  <c r="O16" i="1"/>
  <c r="E86" i="10"/>
  <c r="E92" i="10" s="1"/>
  <c r="G86" i="10"/>
  <c r="G92" i="10" s="1"/>
  <c r="Q86" i="10"/>
  <c r="Q92" i="10" s="1"/>
  <c r="O86" i="10"/>
  <c r="O92" i="10" s="1"/>
  <c r="W86" i="10"/>
  <c r="W92" i="10" s="1"/>
  <c r="C86" i="10"/>
  <c r="C92" i="10" s="1"/>
  <c r="M86" i="10"/>
  <c r="M92" i="10" s="1"/>
  <c r="S86" i="10"/>
  <c r="S92" i="10" s="1"/>
  <c r="P83" i="11"/>
  <c r="O138" i="11"/>
  <c r="O78" i="11"/>
  <c r="P72" i="11"/>
  <c r="E11" i="1"/>
  <c r="O83" i="11"/>
  <c r="P138" i="11"/>
  <c r="AA64" i="10"/>
  <c r="AA70" i="10" s="1"/>
  <c r="AA53" i="10"/>
  <c r="AA59" i="10" s="1"/>
  <c r="E18" i="1"/>
  <c r="AA130" i="10"/>
  <c r="AA136" i="10" s="1"/>
  <c r="O72" i="11"/>
  <c r="AA75" i="10"/>
  <c r="AA81" i="10" s="1"/>
  <c r="O178" i="11"/>
  <c r="O172" i="11"/>
  <c r="M22" i="1"/>
  <c r="N22" i="1" s="1"/>
  <c r="M10" i="1"/>
  <c r="M15" i="1"/>
  <c r="N15" i="1" s="1"/>
  <c r="M12" i="1"/>
  <c r="N23" i="1"/>
  <c r="M17" i="1"/>
  <c r="N17" i="1" s="1"/>
  <c r="M14" i="1"/>
  <c r="N14" i="1" s="1"/>
  <c r="M21" i="1"/>
  <c r="N21" i="1" s="1"/>
  <c r="M11" i="1"/>
  <c r="M20" i="1"/>
  <c r="N20" i="1" s="1"/>
  <c r="M13" i="1"/>
  <c r="N13" i="1" s="1"/>
  <c r="M19" i="1"/>
  <c r="M16" i="1"/>
  <c r="N16" i="1" s="1"/>
  <c r="M18" i="1"/>
  <c r="O94" i="11" l="1"/>
  <c r="N12" i="1"/>
  <c r="Q20" i="10"/>
  <c r="Q26" i="10" s="1"/>
  <c r="N18" i="1"/>
  <c r="N28" i="11"/>
  <c r="N34" i="11" s="1"/>
  <c r="Y20" i="10"/>
  <c r="Y26" i="10" s="1"/>
  <c r="O20" i="10"/>
  <c r="O26" i="10" s="1"/>
  <c r="H28" i="11"/>
  <c r="H34" i="11" s="1"/>
  <c r="N10" i="1"/>
  <c r="I20" i="10"/>
  <c r="I26" i="10" s="1"/>
  <c r="M20" i="10"/>
  <c r="M26" i="10" s="1"/>
  <c r="G20" i="10"/>
  <c r="G26" i="10" s="1"/>
  <c r="K28" i="11"/>
  <c r="K34" i="11" s="1"/>
  <c r="W20" i="10"/>
  <c r="W26" i="10" s="1"/>
  <c r="K20" i="10"/>
  <c r="K26" i="10" s="1"/>
  <c r="F28" i="11"/>
  <c r="F34" i="11" s="1"/>
  <c r="D28" i="11"/>
  <c r="D34" i="11" s="1"/>
  <c r="C20" i="10"/>
  <c r="S20" i="10"/>
  <c r="S26" i="10" s="1"/>
  <c r="I28" i="11"/>
  <c r="I34" i="11" s="1"/>
  <c r="M28" i="11"/>
  <c r="M34" i="11" s="1"/>
  <c r="J28" i="11"/>
  <c r="J34" i="11" s="1"/>
  <c r="C28" i="11"/>
  <c r="C34" i="11" s="1"/>
  <c r="G28" i="11"/>
  <c r="G34" i="11" s="1"/>
  <c r="L28" i="11"/>
  <c r="L34" i="11" s="1"/>
  <c r="E28" i="11"/>
  <c r="E34" i="11" s="1"/>
  <c r="E20" i="10"/>
  <c r="E26" i="10" s="1"/>
  <c r="O10" i="1"/>
  <c r="U20" i="10"/>
  <c r="U26" i="10" s="1"/>
  <c r="N19" i="1"/>
  <c r="O155" i="11"/>
  <c r="N11" i="1"/>
  <c r="O100" i="11"/>
  <c r="AA141" i="10"/>
  <c r="AA147" i="10" s="1"/>
  <c r="O149" i="11"/>
  <c r="P149" i="11"/>
  <c r="U119" i="10"/>
  <c r="U125" i="10" s="1"/>
  <c r="E119" i="10"/>
  <c r="E125" i="10" s="1"/>
  <c r="C127" i="11"/>
  <c r="S119" i="10"/>
  <c r="S125" i="10" s="1"/>
  <c r="C119" i="10"/>
  <c r="G127" i="11"/>
  <c r="G133" i="11" s="1"/>
  <c r="I127" i="11"/>
  <c r="I133" i="11" s="1"/>
  <c r="K119" i="10"/>
  <c r="K125" i="10" s="1"/>
  <c r="W119" i="10"/>
  <c r="W125" i="10" s="1"/>
  <c r="F127" i="11"/>
  <c r="F133" i="11" s="1"/>
  <c r="M127" i="11"/>
  <c r="M133" i="11" s="1"/>
  <c r="H127" i="11"/>
  <c r="H133" i="11" s="1"/>
  <c r="E127" i="11"/>
  <c r="E133" i="11" s="1"/>
  <c r="K127" i="11"/>
  <c r="K133" i="11" s="1"/>
  <c r="G119" i="10"/>
  <c r="G125" i="10" s="1"/>
  <c r="O119" i="10"/>
  <c r="O125" i="10" s="1"/>
  <c r="L127" i="11"/>
  <c r="L133" i="11" s="1"/>
  <c r="N127" i="11"/>
  <c r="N133" i="11" s="1"/>
  <c r="Q119" i="10"/>
  <c r="Q125" i="10" s="1"/>
  <c r="I119" i="10"/>
  <c r="I125" i="10" s="1"/>
  <c r="Y119" i="10"/>
  <c r="Y125" i="10" s="1"/>
  <c r="D127" i="11"/>
  <c r="D133" i="11" s="1"/>
  <c r="M119" i="10"/>
  <c r="M125" i="10" s="1"/>
  <c r="J127" i="11"/>
  <c r="J133" i="11" s="1"/>
  <c r="O19" i="1"/>
  <c r="AA86" i="10"/>
  <c r="AA92" i="10" s="1"/>
  <c r="P94" i="11"/>
  <c r="L39" i="11"/>
  <c r="L45" i="11" s="1"/>
  <c r="K39" i="11"/>
  <c r="K45" i="11" s="1"/>
  <c r="E39" i="11"/>
  <c r="E45" i="11" s="1"/>
  <c r="D39" i="11"/>
  <c r="F39" i="11"/>
  <c r="F45" i="11" s="1"/>
  <c r="C39" i="11"/>
  <c r="Y31" i="10"/>
  <c r="Y37" i="10" s="1"/>
  <c r="U31" i="10"/>
  <c r="U37" i="10" s="1"/>
  <c r="I31" i="10"/>
  <c r="I37" i="10" s="1"/>
  <c r="M31" i="10"/>
  <c r="M37" i="10" s="1"/>
  <c r="C31" i="10"/>
  <c r="Q31" i="10"/>
  <c r="Q37" i="10" s="1"/>
  <c r="N39" i="11"/>
  <c r="N45" i="11" s="1"/>
  <c r="S31" i="10"/>
  <c r="S37" i="10" s="1"/>
  <c r="W31" i="10"/>
  <c r="W37" i="10" s="1"/>
  <c r="E31" i="10"/>
  <c r="E37" i="10" s="1"/>
  <c r="J39" i="11"/>
  <c r="J45" i="11" s="1"/>
  <c r="M39" i="11"/>
  <c r="M45" i="11" s="1"/>
  <c r="H39" i="11"/>
  <c r="H45" i="11" s="1"/>
  <c r="K31" i="10"/>
  <c r="K37" i="10" s="1"/>
  <c r="O31" i="10"/>
  <c r="O37" i="10" s="1"/>
  <c r="G39" i="11"/>
  <c r="G45" i="11" s="1"/>
  <c r="I39" i="11"/>
  <c r="I45" i="11" s="1"/>
  <c r="G31" i="10"/>
  <c r="G37" i="10" s="1"/>
  <c r="O11" i="1"/>
  <c r="Q108" i="10"/>
  <c r="Q114" i="10" s="1"/>
  <c r="L116" i="11"/>
  <c r="L122" i="11" s="1"/>
  <c r="S108" i="10"/>
  <c r="S114" i="10" s="1"/>
  <c r="E108" i="10"/>
  <c r="E114" i="10" s="1"/>
  <c r="U108" i="10"/>
  <c r="U114" i="10" s="1"/>
  <c r="M108" i="10"/>
  <c r="M114" i="10" s="1"/>
  <c r="I108" i="10"/>
  <c r="I114" i="10" s="1"/>
  <c r="K116" i="11"/>
  <c r="K122" i="11" s="1"/>
  <c r="I116" i="11"/>
  <c r="I122" i="11" s="1"/>
  <c r="Y108" i="10"/>
  <c r="Y114" i="10" s="1"/>
  <c r="O108" i="10"/>
  <c r="O114" i="10" s="1"/>
  <c r="D116" i="11"/>
  <c r="O18" i="1"/>
  <c r="J116" i="11"/>
  <c r="J122" i="11" s="1"/>
  <c r="N116" i="11"/>
  <c r="N122" i="11" s="1"/>
  <c r="G116" i="11"/>
  <c r="G122" i="11" s="1"/>
  <c r="H116" i="11"/>
  <c r="H122" i="11" s="1"/>
  <c r="K108" i="10"/>
  <c r="K114" i="10" s="1"/>
  <c r="M116" i="11"/>
  <c r="M122" i="11" s="1"/>
  <c r="C116" i="11"/>
  <c r="W108" i="10"/>
  <c r="W114" i="10" s="1"/>
  <c r="C108" i="10"/>
  <c r="C114" i="10" s="1"/>
  <c r="E116" i="11"/>
  <c r="E122" i="11" s="1"/>
  <c r="G108" i="10"/>
  <c r="F116" i="11"/>
  <c r="F122" i="11" s="1"/>
  <c r="O116" i="11" l="1"/>
  <c r="O34" i="11"/>
  <c r="AA20" i="10"/>
  <c r="AA26" i="10" s="1"/>
  <c r="O28" i="11"/>
  <c r="C26" i="10"/>
  <c r="P28" i="11"/>
  <c r="C133" i="11"/>
  <c r="O133" i="11" s="1"/>
  <c r="P127" i="11"/>
  <c r="O127" i="11"/>
  <c r="C125" i="10"/>
  <c r="AA119" i="10"/>
  <c r="AA125" i="10" s="1"/>
  <c r="O39" i="11"/>
  <c r="C45" i="11"/>
  <c r="D122" i="11"/>
  <c r="P39" i="11"/>
  <c r="D45" i="11"/>
  <c r="AA108" i="10"/>
  <c r="AA114" i="10" s="1"/>
  <c r="G114" i="10"/>
  <c r="C122" i="11"/>
  <c r="P116" i="11"/>
  <c r="C37" i="10"/>
  <c r="AA31" i="10"/>
  <c r="AA37" i="10" s="1"/>
  <c r="O45" i="11" l="1"/>
  <c r="O122" i="11"/>
  <c r="L12" i="2" l="1"/>
  <c r="Q10" i="5"/>
  <c r="F35" i="1" l="1"/>
  <c r="F37" i="1" s="1"/>
  <c r="D17" i="7"/>
  <c r="G17" i="7" s="1"/>
  <c r="P12" i="2"/>
  <c r="L18" i="2"/>
  <c r="E10" i="5"/>
  <c r="M10" i="5" s="1"/>
  <c r="P18" i="2" l="1"/>
  <c r="F53" i="1"/>
  <c r="F55" i="1" s="1"/>
  <c r="I55" i="1" s="1"/>
  <c r="J55" i="1" s="1"/>
  <c r="E16" i="5"/>
  <c r="M16" i="5" s="1"/>
  <c r="D22" i="7"/>
  <c r="G22" i="7" s="1"/>
  <c r="I37" i="1"/>
  <c r="F65" i="1" l="1"/>
  <c r="J37" i="1"/>
  <c r="J65" i="1" s="1"/>
  <c r="I65" i="1"/>
  <c r="B9" i="1" s="1"/>
  <c r="E9" i="1" l="1"/>
  <c r="B24" i="1"/>
  <c r="D17" i="11" l="1"/>
  <c r="D23" i="11" s="1"/>
  <c r="F17" i="11"/>
  <c r="F23" i="11" s="1"/>
  <c r="H17" i="11"/>
  <c r="H23" i="11" s="1"/>
  <c r="L17" i="11"/>
  <c r="L23" i="11" s="1"/>
  <c r="M17" i="11"/>
  <c r="M23" i="11" s="1"/>
  <c r="N17" i="11"/>
  <c r="N23" i="11" s="1"/>
  <c r="E17" i="11"/>
  <c r="E23" i="11" s="1"/>
  <c r="G17" i="11"/>
  <c r="G23" i="11" s="1"/>
  <c r="I17" i="11"/>
  <c r="I23" i="11" s="1"/>
  <c r="J17" i="11"/>
  <c r="J23" i="11" s="1"/>
  <c r="K17" i="11"/>
  <c r="K23" i="11" s="1"/>
  <c r="I9" i="10"/>
  <c r="I15" i="10" s="1"/>
  <c r="O9" i="10"/>
  <c r="O15" i="10" s="1"/>
  <c r="O9" i="1"/>
  <c r="O24" i="1" s="1"/>
  <c r="C9" i="10"/>
  <c r="E9" i="10"/>
  <c r="E15" i="10" s="1"/>
  <c r="Y9" i="10"/>
  <c r="Y15" i="10" s="1"/>
  <c r="G9" i="10"/>
  <c r="G15" i="10" s="1"/>
  <c r="U9" i="10"/>
  <c r="U15" i="10" s="1"/>
  <c r="Q9" i="10"/>
  <c r="Q15" i="10" s="1"/>
  <c r="M9" i="10"/>
  <c r="M15" i="10" s="1"/>
  <c r="C17" i="11"/>
  <c r="C23" i="11" s="1"/>
  <c r="W9" i="10"/>
  <c r="W15" i="10" s="1"/>
  <c r="K9" i="10"/>
  <c r="K15" i="10" s="1"/>
  <c r="S9" i="10"/>
  <c r="S15" i="10" s="1"/>
  <c r="E24" i="1"/>
  <c r="O29" i="1" l="1"/>
  <c r="O25" i="1"/>
  <c r="C15" i="10"/>
  <c r="AA9" i="10"/>
  <c r="AA15" i="10" s="1"/>
  <c r="O17" i="11"/>
  <c r="O23" i="11"/>
  <c r="P17" i="11"/>
  <c r="F33" i="35"/>
  <c r="I33" i="35" s="1"/>
  <c r="G33" i="35"/>
  <c r="J33" i="35" s="1"/>
  <c r="F32" i="35"/>
  <c r="I32" i="35" s="1"/>
  <c r="G32" i="35"/>
  <c r="J32" i="35" s="1"/>
  <c r="G37" i="35"/>
  <c r="J37" i="35" s="1"/>
  <c r="G9" i="35"/>
  <c r="J9" i="35" s="1"/>
  <c r="G85" i="35"/>
  <c r="J85" i="35" s="1"/>
  <c r="G70" i="35"/>
  <c r="J70" i="35" s="1"/>
  <c r="G30" i="35"/>
  <c r="J30" i="35" s="1"/>
  <c r="G3" i="35"/>
  <c r="J3" i="35" s="1"/>
  <c r="G58" i="35"/>
  <c r="J58" i="35" s="1"/>
  <c r="G14" i="35"/>
  <c r="J14" i="35" s="1"/>
  <c r="G42" i="35"/>
  <c r="G83" i="35"/>
  <c r="G19" i="35"/>
  <c r="J19" i="35" s="1"/>
  <c r="G26" i="35"/>
  <c r="J26" i="35" s="1"/>
  <c r="G86" i="35"/>
  <c r="J86" i="35" s="1"/>
  <c r="G18" i="35"/>
  <c r="J18" i="35" s="1"/>
  <c r="G76" i="35"/>
  <c r="G15" i="35"/>
  <c r="G25" i="35"/>
  <c r="J25" i="35" s="1"/>
  <c r="G17" i="35"/>
  <c r="J17" i="35" s="1"/>
  <c r="G52" i="35"/>
  <c r="J52" i="35" s="1"/>
  <c r="G39" i="35"/>
  <c r="J39" i="35" s="1"/>
  <c r="G75" i="35"/>
  <c r="J75" i="35" s="1"/>
  <c r="G5" i="35"/>
  <c r="J5" i="35" s="1"/>
  <c r="G21" i="35"/>
  <c r="J21" i="35" s="1"/>
  <c r="G71" i="35"/>
  <c r="J71" i="35" s="1"/>
  <c r="G34" i="35"/>
  <c r="J34" i="35" s="1"/>
  <c r="F34" i="35"/>
  <c r="I34" i="35" s="1"/>
  <c r="G51" i="35"/>
  <c r="J51" i="35" s="1"/>
  <c r="G38" i="35"/>
  <c r="J38" i="35" s="1"/>
  <c r="G23" i="35"/>
  <c r="J23" i="35" s="1"/>
  <c r="G61" i="35"/>
  <c r="G41" i="35"/>
  <c r="J41" i="35" s="1"/>
  <c r="G65" i="35"/>
  <c r="G53" i="35"/>
  <c r="J53" i="35" s="1"/>
  <c r="G72" i="35"/>
  <c r="G12" i="35"/>
  <c r="J12" i="35" s="1"/>
  <c r="G81" i="35"/>
  <c r="J81" i="35" s="1"/>
  <c r="G69" i="35"/>
  <c r="J69" i="35" s="1"/>
  <c r="G4" i="35"/>
  <c r="J4" i="35" s="1"/>
  <c r="G6" i="35"/>
  <c r="G20" i="35"/>
  <c r="J20" i="35" s="1"/>
  <c r="G27" i="35"/>
  <c r="J27" i="35" s="1"/>
  <c r="G28" i="35"/>
  <c r="G78" i="35"/>
  <c r="J78" i="35" s="1"/>
  <c r="G82" i="35"/>
  <c r="J82" i="35" s="1"/>
  <c r="G11" i="35"/>
  <c r="J11" i="35" s="1"/>
  <c r="G80" i="35"/>
  <c r="J80" i="35" s="1"/>
  <c r="G56" i="35"/>
  <c r="J56" i="35" s="1"/>
  <c r="G36" i="35"/>
  <c r="J36" i="35" s="1"/>
  <c r="G57" i="35"/>
  <c r="J57" i="35" s="1"/>
  <c r="G59" i="35"/>
  <c r="G22" i="35"/>
  <c r="J22" i="35" s="1"/>
  <c r="G10" i="35"/>
  <c r="J10" i="35" s="1"/>
  <c r="G35" i="35"/>
  <c r="J35" i="35" s="1"/>
  <c r="F35" i="35"/>
  <c r="I35" i="35" s="1"/>
  <c r="G31" i="35"/>
  <c r="J31" i="35" s="1"/>
  <c r="G79" i="35"/>
  <c r="J79" i="35" s="1"/>
  <c r="G55" i="35"/>
  <c r="J55" i="35" s="1"/>
  <c r="G13" i="35"/>
  <c r="J13" i="35" s="1"/>
  <c r="G24" i="35"/>
  <c r="J24" i="35" s="1"/>
  <c r="G40" i="35"/>
  <c r="J40" i="35" s="1"/>
  <c r="G54" i="35"/>
  <c r="J54" i="35" s="1"/>
  <c r="G64" i="35"/>
  <c r="J64" i="35" s="1"/>
  <c r="M9" i="1"/>
  <c r="M24" i="1" s="1"/>
  <c r="N9" i="1" l="1"/>
  <c r="N24" i="1" s="1"/>
  <c r="L24" i="1"/>
  <c r="N29" i="1" l="1"/>
  <c r="N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350 Karen Ojeda</author>
  </authors>
  <commentList>
    <comment ref="E44" authorId="0" shapeId="0" xr:uid="{00000000-0006-0000-0500-000001000000}">
      <text>
        <r>
          <rPr>
            <b/>
            <sz val="9"/>
            <color indexed="81"/>
            <rFont val="Tahoma"/>
            <family val="2"/>
          </rPr>
          <t>350 Karen Ojeda:</t>
        </r>
        <r>
          <rPr>
            <sz val="9"/>
            <color indexed="81"/>
            <rFont val="Tahoma"/>
            <family val="2"/>
          </rPr>
          <t xml:space="preserve">
valor reparticiones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AdmMarenostrum</author>
  </authors>
  <commentList>
    <comment ref="J19" authorId="0" shapeId="0" xr:uid="{00000000-0006-0000-0A00-000001000000}">
      <text>
        <r>
          <rPr>
            <b/>
            <sz val="9"/>
            <color indexed="81"/>
            <rFont val="Tahoma"/>
            <family val="2"/>
          </rPr>
          <t>AdmMarenostrum:</t>
        </r>
        <r>
          <rPr>
            <sz val="9"/>
            <color indexed="81"/>
            <rFont val="Tahoma"/>
            <family val="2"/>
          </rPr>
          <t xml:space="preserve">
CON IVA INCL</t>
        </r>
      </text>
    </comment>
    <comment ref="J20" authorId="0" shapeId="0" xr:uid="{00000000-0006-0000-0A00-000002000000}">
      <text>
        <r>
          <rPr>
            <b/>
            <sz val="9"/>
            <color indexed="81"/>
            <rFont val="Tahoma"/>
            <family val="2"/>
          </rPr>
          <t>AdmMarenostrum:</t>
        </r>
        <r>
          <rPr>
            <sz val="9"/>
            <color indexed="81"/>
            <rFont val="Tahoma"/>
            <family val="2"/>
          </rPr>
          <t xml:space="preserve">
CON  IVA INCL</t>
        </r>
      </text>
    </comment>
    <comment ref="L20" authorId="0" shapeId="0" xr:uid="{00000000-0006-0000-0A00-000003000000}">
      <text>
        <r>
          <rPr>
            <b/>
            <sz val="9"/>
            <color indexed="81"/>
            <rFont val="Tahoma"/>
            <family val="2"/>
          </rPr>
          <t>AdmMarenostrum:</t>
        </r>
        <r>
          <rPr>
            <sz val="9"/>
            <color indexed="81"/>
            <rFont val="Tahoma"/>
            <family val="2"/>
          </rPr>
          <t xml:space="preserve">
CON IVA INCL Y DOBLE $90,000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admir</author>
  </authors>
  <commentList>
    <comment ref="F237" authorId="0" shapeId="0" xr:uid="{00000000-0006-0000-1400-000001000000}">
      <text>
        <r>
          <rPr>
            <b/>
            <sz val="9"/>
            <color indexed="81"/>
            <rFont val="Tahoma"/>
            <family val="2"/>
          </rPr>
          <t>admir:</t>
        </r>
        <r>
          <rPr>
            <sz val="9"/>
            <color indexed="81"/>
            <rFont val="Tahoma"/>
            <family val="2"/>
          </rPr>
          <t xml:space="preserve">
SE CALCULO MAYOR VALOR POR INCREMENTO DE RESIDENTES Y SOBRECONSUMO EN VERANO</t>
        </r>
      </text>
    </comment>
    <comment ref="G237" authorId="0" shapeId="0" xr:uid="{00000000-0006-0000-1400-000002000000}">
      <text>
        <r>
          <rPr>
            <b/>
            <sz val="9"/>
            <color indexed="81"/>
            <rFont val="Tahoma"/>
            <family val="2"/>
          </rPr>
          <t>admir:</t>
        </r>
        <r>
          <rPr>
            <sz val="9"/>
            <color indexed="81"/>
            <rFont val="Tahoma"/>
            <family val="2"/>
          </rPr>
          <t xml:space="preserve">
SE CALCULO MAYO VALOR POR POSIBLE CAMA FIBRA OPTICA.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AdmPtaOsas</author>
  </authors>
  <commentList>
    <comment ref="C50" authorId="0" shapeId="0" xr:uid="{00000000-0006-0000-1500-000001000000}">
      <text>
        <r>
          <rPr>
            <b/>
            <sz val="9"/>
            <color indexed="81"/>
            <rFont val="Tahoma"/>
            <family val="2"/>
          </rPr>
          <t>AdmPtaOsas:</t>
        </r>
        <r>
          <rPr>
            <sz val="9"/>
            <color indexed="81"/>
            <rFont val="Tahoma"/>
            <family val="2"/>
          </rPr>
          <t xml:space="preserve">
COMISIONES HAAULMER
1,3% DEBITO
2,1% CREDITO
</t>
        </r>
        <r>
          <rPr>
            <u/>
            <sz val="9"/>
            <color indexed="81"/>
            <rFont val="Tahoma"/>
            <family val="2"/>
          </rPr>
          <t xml:space="preserve">MESES BAJOS </t>
        </r>
        <r>
          <rPr>
            <sz val="9"/>
            <color indexed="81"/>
            <rFont val="Tahoma"/>
            <family val="2"/>
          </rPr>
          <t>(ABRIL A OCTUBRE); $ 19,000*7: 133.000.
MESES ALTO:(NOV A MARZO) $ 25,000*5:125.000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PONCE QUIROZ MARCIA</author>
  </authors>
  <commentList>
    <comment ref="C14" authorId="0" shapeId="0" xr:uid="{00000000-0006-0000-1600-000001000000}">
      <text>
        <r>
          <rPr>
            <b/>
            <sz val="9"/>
            <color indexed="81"/>
            <rFont val="Tahoma"/>
            <family val="2"/>
          </rPr>
          <t>comida can</t>
        </r>
      </text>
    </comment>
  </commentList>
</comments>
</file>

<file path=xl/sharedStrings.xml><?xml version="1.0" encoding="utf-8"?>
<sst xmlns="http://schemas.openxmlformats.org/spreadsheetml/2006/main" count="4320" uniqueCount="1244">
  <si>
    <t>RESUMEN DE INGRESOS Y EGRESOS</t>
  </si>
  <si>
    <t>REPARTICION:</t>
  </si>
  <si>
    <t>TABLA 1: RESUMEN DE INGRESOS Y EGRESOS DE CENTROS DE BENEFICIOS</t>
  </si>
  <si>
    <t>Centro de Beneficio</t>
  </si>
  <si>
    <t>Ingreso por Ventas</t>
  </si>
  <si>
    <t>Ingresos por reintegro C.A.R.</t>
  </si>
  <si>
    <t>Ingresos Totales</t>
  </si>
  <si>
    <t>REMUNERACIONES</t>
  </si>
  <si>
    <t>CONS. BÁSICOS + MATERIALES DE ASEO + LAVANDERIA</t>
  </si>
  <si>
    <t>SEGURO</t>
  </si>
  <si>
    <t>MANTENCIÓN</t>
  </si>
  <si>
    <t>COSTO OPERACIÓN</t>
  </si>
  <si>
    <t>COSTO DIRECTO TOTAL</t>
  </si>
  <si>
    <t xml:space="preserve">Costos Indirectos </t>
  </si>
  <si>
    <t>Egresos Totales</t>
  </si>
  <si>
    <t>Excedente</t>
  </si>
  <si>
    <t>R.O</t>
  </si>
  <si>
    <t>% Distribución Costo Indirecto</t>
  </si>
  <si>
    <t xml:space="preserve">TOTAL </t>
  </si>
  <si>
    <t>RESULTADO FINAL PROYECTADO</t>
  </si>
  <si>
    <t>TABLA 2: DETALLE DE INGRESOS POR PRESTACIÓN Y SEGMENTO</t>
  </si>
  <si>
    <t>Centro de Costo</t>
  </si>
  <si>
    <t>Prestación</t>
  </si>
  <si>
    <t>Cálculo Ingreso</t>
  </si>
  <si>
    <t xml:space="preserve">Ingreso por reintegro C.A.R. </t>
  </si>
  <si>
    <t xml:space="preserve">Total Anual </t>
  </si>
  <si>
    <t>C.A.R.</t>
  </si>
  <si>
    <t>Segmento 1</t>
  </si>
  <si>
    <t>Segmento 2</t>
  </si>
  <si>
    <t>Segmento 3</t>
  </si>
  <si>
    <t>Meta Ocupación</t>
  </si>
  <si>
    <t>Ingreso anual</t>
  </si>
  <si>
    <t>Ingreso total anual</t>
  </si>
  <si>
    <t>REAJUSTE DE TARIFAS Y METAS DE OCUPACIÓN POR CENTRO DE BENEFICIO</t>
  </si>
  <si>
    <t>BIENVALP</t>
  </si>
  <si>
    <t>TABLA 3: REAJUSTE DE TARIFAS POR PRESTACIÓN Y SEGMENTO</t>
  </si>
  <si>
    <t>TABLA 4: METAS DE OCUPACIÓN POR PRESTACIÓN Y SEGMENTO</t>
  </si>
  <si>
    <t>Reajuste propuesto</t>
  </si>
  <si>
    <t>Reajuste</t>
  </si>
  <si>
    <t>Total Ocupación</t>
  </si>
  <si>
    <t>CAR</t>
  </si>
  <si>
    <t>C. H. Mare Nostrum</t>
  </si>
  <si>
    <t>Superior</t>
  </si>
  <si>
    <t>Simple</t>
  </si>
  <si>
    <t>Suit</t>
  </si>
  <si>
    <t>Matrimonial o Doble</t>
  </si>
  <si>
    <t>Uso por tránsito/ Early check-in/Late check-out</t>
  </si>
  <si>
    <t>Cabañas Punta Osas</t>
  </si>
  <si>
    <t>Chica</t>
  </si>
  <si>
    <t>Grande</t>
  </si>
  <si>
    <t>Persona adicional</t>
  </si>
  <si>
    <t>Cabaña Chica</t>
  </si>
  <si>
    <t>Cabaña Grande</t>
  </si>
  <si>
    <t>C.R. Los Maitenes</t>
  </si>
  <si>
    <t>Camping (5p)</t>
  </si>
  <si>
    <t>Camping (P/Adicional)</t>
  </si>
  <si>
    <t>Picnic (6p)</t>
  </si>
  <si>
    <t>Picnic (12p)</t>
  </si>
  <si>
    <t>Picnic (15p)</t>
  </si>
  <si>
    <t>Picnic (30p)</t>
  </si>
  <si>
    <t>Picnic (60p)</t>
  </si>
  <si>
    <t>Picnic (P/Adicional)</t>
  </si>
  <si>
    <t>Cuádruple</t>
  </si>
  <si>
    <t>Salón Comedor (Hasta 50p)</t>
  </si>
  <si>
    <t>Salón Comedor (P/Adicional)</t>
  </si>
  <si>
    <t>Sala Multiuso (Hasta 25p)</t>
  </si>
  <si>
    <t>Sala Multiuso (P/Adicional))</t>
  </si>
  <si>
    <t>Piscina C.R. Los Maitenes (Alto)</t>
  </si>
  <si>
    <t>Piscina adulto</t>
  </si>
  <si>
    <t>Piscina niño</t>
  </si>
  <si>
    <t>Piscina C.R. Los Maitenes (Bajo)</t>
  </si>
  <si>
    <t>C. R. Las Salinas</t>
  </si>
  <si>
    <t>Quincho (6p)</t>
  </si>
  <si>
    <t>Quincho (P/Adicional)</t>
  </si>
  <si>
    <t>Salón N° 1</t>
  </si>
  <si>
    <t>Piscina C.R. Las Salinas</t>
  </si>
  <si>
    <t>C. R. Ralunco</t>
  </si>
  <si>
    <t>Camping ( 5p antiguo)</t>
  </si>
  <si>
    <t>Camping (5 p nuevo)</t>
  </si>
  <si>
    <t>Piscina C.R. Ralunco</t>
  </si>
  <si>
    <t>C. H. Las Salinas</t>
  </si>
  <si>
    <t>Cabanas Papudo</t>
  </si>
  <si>
    <t>Cabaña Superior</t>
  </si>
  <si>
    <t>Residencia Universitaria Recreo</t>
  </si>
  <si>
    <t>Simple Recreo</t>
  </si>
  <si>
    <t>Doble Recreo</t>
  </si>
  <si>
    <t>Residencia Universitaria Las Salinas</t>
  </si>
  <si>
    <t>Simple Las Salinas</t>
  </si>
  <si>
    <t>Doble Las Salinas</t>
  </si>
  <si>
    <t>Anexo Cabañas Punta Osas</t>
  </si>
  <si>
    <t>Casino de Tripulación</t>
  </si>
  <si>
    <t>Salón</t>
  </si>
  <si>
    <t>Gimnasio Naval</t>
  </si>
  <si>
    <t>Cancha</t>
  </si>
  <si>
    <t>Gimnasio</t>
  </si>
  <si>
    <t xml:space="preserve">ESTIMACION DE COSTOS DIRECTOS </t>
  </si>
  <si>
    <t>TABLA 5: COSTOS DIRECTOS DE CENTROS DE BENEFICIOS</t>
  </si>
  <si>
    <t>Número de Cuenta</t>
  </si>
  <si>
    <t>ítem de Gasto (según Plan de Cuenta Institucional)</t>
  </si>
  <si>
    <t>Costos Fijos</t>
  </si>
  <si>
    <t>Costos Variables</t>
  </si>
  <si>
    <t>DETALLE / OBSERVACIONES</t>
  </si>
  <si>
    <t>Costo Unitario Promedio</t>
  </si>
  <si>
    <t>Cantidad</t>
  </si>
  <si>
    <t>Total</t>
  </si>
  <si>
    <t>COSTOS DE OPERACIÓN</t>
  </si>
  <si>
    <t>REMUNERACIONES DIRECTAS</t>
  </si>
  <si>
    <t>REMUNERACIONES CÓDIGO DEL TRABAJO</t>
  </si>
  <si>
    <t>SUPLENCIAS Y REEMPLAZOS</t>
  </si>
  <si>
    <t>PERSONAL A TRATO Y TEMPORAL</t>
  </si>
  <si>
    <t>OTRAS REMUNERACIONES</t>
  </si>
  <si>
    <t>COSTOS DE MATERIALES DIRECTOS</t>
  </si>
  <si>
    <t>COSTO EXISTENCIAS VENDIDAS</t>
  </si>
  <si>
    <t>GASTO DE OPERACIÓN</t>
  </si>
  <si>
    <t>ALIMENTOS Y BEBIDAS</t>
  </si>
  <si>
    <t>TEXTILES Y ACABADOS TEXTILES</t>
  </si>
  <si>
    <t>COMBUSTIBLE LUBRIC P.VEHICULOS</t>
  </si>
  <si>
    <t>PARA CALEFACCION</t>
  </si>
  <si>
    <t>PRODUCTOS QUIMICOS</t>
  </si>
  <si>
    <t>MAT.P/MATEN.Y REPARACION</t>
  </si>
  <si>
    <t>EQUIPOS MENORES</t>
  </si>
  <si>
    <t>ELECTRICIDAD</t>
  </si>
  <si>
    <t>AGUA</t>
  </si>
  <si>
    <t>GAS</t>
  </si>
  <si>
    <t>TELEFONIA FIJA</t>
  </si>
  <si>
    <t>TELEFONIA CELULAR</t>
  </si>
  <si>
    <t>ACCESO A INTERNET</t>
  </si>
  <si>
    <t>SERVICIOS DE ASEO</t>
  </si>
  <si>
    <t>PASAJES, FLETES Y BODEGAJE</t>
  </si>
  <si>
    <t>SERVICIO DE SUSCRIPCION</t>
  </si>
  <si>
    <t>SERVICIOS INFORMATICOS</t>
  </si>
  <si>
    <t>GASTOS MENORES (FOFI)</t>
  </si>
  <si>
    <t>MAQUINAS Y EQUIPOS DE OFICINA</t>
  </si>
  <si>
    <t>GASTOS DE ADMINISTRACIÓN Y VENTAS</t>
  </si>
  <si>
    <t>GASTO EN PERSONAL</t>
  </si>
  <si>
    <t>VESTUARIO ACC.Y PRENDAS DIVERS</t>
  </si>
  <si>
    <t>CALZADO</t>
  </si>
  <si>
    <t>CURSOS DE CAPACITACION</t>
  </si>
  <si>
    <t>VIATICOS PERSONAL COD.TRABAJO</t>
  </si>
  <si>
    <t>CONSUMOS BÁSICOS</t>
  </si>
  <si>
    <t>ENLACES DE TELECOMUNICACIONES</t>
  </si>
  <si>
    <t>OTROS SERVICIOS BASICOS</t>
  </si>
  <si>
    <t>BIENES DE CONSUMO</t>
  </si>
  <si>
    <t>COMB.LUBR.DIRECTOS-INDIRECTOS</t>
  </si>
  <si>
    <t>MATERIALES DE OFICINA</t>
  </si>
  <si>
    <t>PROD.QUIMIC,FARMACEUTICOS IND.</t>
  </si>
  <si>
    <t>FERT.INSECT.FUNG.Y OTROS</t>
  </si>
  <si>
    <t>MATERIALES Y UTILES DE ASEO</t>
  </si>
  <si>
    <t>MENAJE OFICINA CASINO Y OTROS</t>
  </si>
  <si>
    <t>MOBILIARIO Y OTROS</t>
  </si>
  <si>
    <t>EQUIPOS COMPUTACIONALES</t>
  </si>
  <si>
    <t>COSTO SERVICIO DESAYUNO</t>
  </si>
  <si>
    <t>COSTOS DE TEXT. VEST,O PRENDAS</t>
  </si>
  <si>
    <t>SERVICIOS GENERALES</t>
  </si>
  <si>
    <t>SERVICIO DE PUBLICIDAD</t>
  </si>
  <si>
    <t>SERVICIO DE IMPRESION</t>
  </si>
  <si>
    <t>SERVICIOS DE VIGILANCIA</t>
  </si>
  <si>
    <t>OTROS SERVICIOS GENERALES</t>
  </si>
  <si>
    <t>ARRIENDO DE TERRENOS</t>
  </si>
  <si>
    <t>ARRIENDO DE MOBILIARIO Y OTROS</t>
  </si>
  <si>
    <t>ARRIENDO DE MAQUINAS Y EQUIPOS</t>
  </si>
  <si>
    <t>OTROS ARRIENDOS</t>
  </si>
  <si>
    <t>SEGURO INMUEBLES</t>
  </si>
  <si>
    <t>MANTENCIÓN Y REPARACIÓN</t>
  </si>
  <si>
    <t>MANT.Y REPAR. MOBILIARIO Y OTROS</t>
  </si>
  <si>
    <t>MANT.Y REPAR. DE EQUIPOS OFICINA</t>
  </si>
  <si>
    <t>MANT.Y REPAR. OTRAS MAQ. Y EQUIP.</t>
  </si>
  <si>
    <t>MANT.Y REPAR. EQUIPOS INFORMATICOS</t>
  </si>
  <si>
    <t>OTROS MANTEN. Y REPAR. MENORES</t>
  </si>
  <si>
    <t>SERVICIO DE MANTENCION JARDINES</t>
  </si>
  <si>
    <t>OTROS GASTOS IMPREVISTOS</t>
  </si>
  <si>
    <t>OTROS GASTOS</t>
  </si>
  <si>
    <t>COMISIONES TRANSBANK</t>
  </si>
  <si>
    <t>OTROS MATERIALES DE USO CONSUMO</t>
  </si>
  <si>
    <t xml:space="preserve">COSTOS INDIRECTOS </t>
  </si>
  <si>
    <t>TABLA 6: REMUNERACIONES DEL PERSONAL LEY 18.712 ADMINISTRACION CENTRAL Y APOYO ADMINISTRATIVO ASISTENCIA RECREATIVA</t>
  </si>
  <si>
    <t>TABLA 7: DISTRIBUCION COSTOS REMUNERACIONES ADMINISTRACION CENTRAL Y APOYO ADMINISTRATIVO A. RECREATIVA</t>
  </si>
  <si>
    <t>TABLA 8: COSTOS DE OPERACION ADMINISTRACIÓN CENTRAL Y  APOYO ADMINISTRATIVO ASISTENCIA RECREATIVA</t>
  </si>
  <si>
    <t>TABLA 9: RESUMEN DISTRIBUCION COSTOS REMUNERACIONES ADMINISTRACION CENTRAL Y APOYO ADMINISTRATIVO A. RECREATIVA</t>
  </si>
  <si>
    <t>TABLA 10: RESUMEN DISTRIBUCION COSTOS OPERACIÓN ADMINISTRACION CENTRAL  Y APOYO ADMINISTRATIVO A. RECREATIVA</t>
  </si>
  <si>
    <t>TABLA 11: FINANCIAMIENTO ADM. CENTRAL  Y APOYO ADMINISTRATIVO 
(REMUNERACIONES + COSTO OPERACIÓN)</t>
  </si>
  <si>
    <t>Unidades de Apoyo Administrativo</t>
  </si>
  <si>
    <t>Nombre</t>
  </si>
  <si>
    <t>Apellido</t>
  </si>
  <si>
    <t>Ocupación / Cargo</t>
  </si>
  <si>
    <t>ASISTENCIA RECREATIVA</t>
  </si>
  <si>
    <t>ASISTENCIA EDUCACIONAL</t>
  </si>
  <si>
    <t>ASISTENCIA COMERCIAL</t>
  </si>
  <si>
    <t>Tiempo Total</t>
  </si>
  <si>
    <t>Total Bonos anual</t>
  </si>
  <si>
    <t>Total Aguinaldos anual</t>
  </si>
  <si>
    <t>% tiempo</t>
  </si>
  <si>
    <t>$ Costo</t>
  </si>
  <si>
    <t>$ Costo Total</t>
  </si>
  <si>
    <t>$Costo Total</t>
  </si>
  <si>
    <t>ADMINISTRACIÓN CENTRAL</t>
  </si>
  <si>
    <t>Departamento de Finanzas y Abastecimiento</t>
  </si>
  <si>
    <t>JULIO</t>
  </si>
  <si>
    <t>Departamento de RR.HH.</t>
  </si>
  <si>
    <t>Departamento de Informática</t>
  </si>
  <si>
    <t>MAT.Y UTILES DE ASEO</t>
  </si>
  <si>
    <t>ÁREA APOYO A. RECREATIVA</t>
  </si>
  <si>
    <t>Asistencia Recreativa</t>
  </si>
  <si>
    <t>COSTO  TOTAL</t>
  </si>
  <si>
    <t>RESUMEN DE TARIFADO</t>
  </si>
  <si>
    <t>TABLA 12: RESUMEN DE TARIFADO</t>
  </si>
  <si>
    <t>Reajuste en pesos ($)</t>
  </si>
  <si>
    <t xml:space="preserve">Reajuste en porcentaje (%) </t>
  </si>
  <si>
    <t>Seg. 1</t>
  </si>
  <si>
    <t>Seg. 2</t>
  </si>
  <si>
    <t>Seg. 3</t>
  </si>
  <si>
    <t>REMUNERACIONES DEL PERSONAL CÓDIGO DEL TRABAJO</t>
  </si>
  <si>
    <t>TABLA13: REMUNERACIONES DEL PERSONAL LEY 18.712 DE CENTROS DE BENEFICIOS</t>
  </si>
  <si>
    <t>Tipo Personal</t>
  </si>
  <si>
    <t>Costo Total Remuneraciones por Centro de Beneficio</t>
  </si>
  <si>
    <t>Personal Permanente</t>
  </si>
  <si>
    <t>Personal No Permanente
(Estival)</t>
  </si>
  <si>
    <t>COMPARACIÓN TARIFAS CON PRECIOS DE MERCADO</t>
  </si>
  <si>
    <r>
      <t xml:space="preserve">Con el objeto de medir comparativamente el bienestar otorgado al personal de la Armada por el Area Recreativa, es necesario recabar antecedentes comparativos que permitan cuantificar las alternativas de precios que ofrece el mercado </t>
    </r>
    <r>
      <rPr>
        <b/>
        <u/>
        <sz val="10"/>
        <rFont val="Arial"/>
        <family val="2"/>
      </rPr>
      <t>dentro de la misma comuna en la que se encuentran los Centros Recreativos de su Repartición</t>
    </r>
    <r>
      <rPr>
        <sz val="11"/>
        <color theme="1"/>
        <rFont val="Calibri"/>
        <family val="2"/>
        <scheme val="minor"/>
      </rPr>
      <t xml:space="preserve">. Este cuadro comparativo debe ser completado con, </t>
    </r>
    <r>
      <rPr>
        <b/>
        <u/>
        <sz val="10"/>
        <rFont val="Arial"/>
        <family val="2"/>
      </rPr>
      <t>AL MENOS</t>
    </r>
    <r>
      <rPr>
        <sz val="11"/>
        <color theme="1"/>
        <rFont val="Calibri"/>
        <family val="2"/>
        <scheme val="minor"/>
      </rPr>
      <t xml:space="preserve">, dos instituciones públicas o privadas </t>
    </r>
    <r>
      <rPr>
        <b/>
        <u/>
        <sz val="10"/>
        <rFont val="Arial"/>
        <family val="2"/>
      </rPr>
      <t>que puedan considerarse como principal competencias directas</t>
    </r>
    <r>
      <rPr>
        <sz val="11"/>
        <color theme="1"/>
        <rFont val="Calibri"/>
        <family val="2"/>
        <scheme val="minor"/>
      </rPr>
      <t xml:space="preserve"> y que otorguen </t>
    </r>
    <r>
      <rPr>
        <b/>
        <u/>
        <sz val="10"/>
        <rFont val="Arial"/>
        <family val="2"/>
      </rPr>
      <t>prestaciones de calidad igual o similar</t>
    </r>
    <r>
      <rPr>
        <sz val="11"/>
        <color theme="1"/>
        <rFont val="Calibri"/>
        <family val="2"/>
        <scheme val="minor"/>
      </rPr>
      <t xml:space="preserve"> a las brindadas por las instalaciones de este Departamento/Delegación.</t>
    </r>
  </si>
  <si>
    <t>TABLA 14: COMPARACIÓN TARIFAS CON PRECIOS DE MERCADO</t>
  </si>
  <si>
    <t>% respecto a Precio Promedio Mercado</t>
  </si>
  <si>
    <t>COMPARACIÓN 1</t>
  </si>
  <si>
    <t>COMPARACIÓN 2</t>
  </si>
  <si>
    <t>Precio promedio mercado</t>
  </si>
  <si>
    <t>Institución</t>
  </si>
  <si>
    <t>Precio</t>
  </si>
  <si>
    <t>DETALLE DE DATOS COMPLEMENTARIOS</t>
  </si>
  <si>
    <t xml:space="preserve">En esta hoja deberá incorporar toda la información, tablas y cálculos complementarios que permitan explicar y justificar sus proyecciones de ingresos y egresos, de acuerdo a los datos incorporados en las hojas anteriores.
</t>
  </si>
  <si>
    <t>Producto</t>
  </si>
  <si>
    <t>Costo neto</t>
  </si>
  <si>
    <t xml:space="preserve">Pan </t>
  </si>
  <si>
    <t>Yogurth Individual 125 grs</t>
  </si>
  <si>
    <t>Sachet de café</t>
  </si>
  <si>
    <t>Sachet de te</t>
  </si>
  <si>
    <t>Sachet de endulzante</t>
  </si>
  <si>
    <t>Servilleta</t>
  </si>
  <si>
    <t>Costo Desayuno</t>
  </si>
  <si>
    <t xml:space="preserve">Solo para efectos de calculo y de obtener un valor del costo desayuno, considerar queso y jamon como acompañamientos de Sandwich </t>
  </si>
  <si>
    <t>ANEXO A</t>
  </si>
  <si>
    <t>J) ESTRUCTURA ECONÓMICA MENSUALIZADA</t>
  </si>
  <si>
    <t>REPARTICIÓN:</t>
  </si>
  <si>
    <t>TABLA N°12:  RESULTADO OPERACIONAL MENSUAL</t>
  </si>
  <si>
    <t>CENTRO DE BENEFICIO "C. H. Mare Nostrum"</t>
  </si>
  <si>
    <t>ENERO</t>
  </si>
  <si>
    <t>FEBRERO</t>
  </si>
  <si>
    <t>MARZO</t>
  </si>
  <si>
    <t>ABRIL</t>
  </si>
  <si>
    <t>MAYO</t>
  </si>
  <si>
    <t>JUNIO</t>
  </si>
  <si>
    <t>AGOSTO</t>
  </si>
  <si>
    <t>SEPTIEMBRE</t>
  </si>
  <si>
    <t>OCTUBRE</t>
  </si>
  <si>
    <t>NOVIEMBRE</t>
  </si>
  <si>
    <t>DICIEMBRE</t>
  </si>
  <si>
    <t>ACUMULADO A DICIEMBRE</t>
  </si>
  <si>
    <t>INGRESOS DE OPERACIÓN</t>
  </si>
  <si>
    <t>REMUNERACIONES COD.DEL TRABAJO (Personal Permanente)</t>
  </si>
  <si>
    <t>REMUNERACIONES COD.DEL TRABAJO (Personal No Permanente)</t>
  </si>
  <si>
    <t>BONOS Y AGUINALDOS CÓDIGO DEL TRABAJO</t>
  </si>
  <si>
    <t>COSTOS  DE OPERACIÓN</t>
  </si>
  <si>
    <t>RESULTADO OPERACIONAL</t>
  </si>
  <si>
    <t>DISTRIBUCIÓN INGRESOS</t>
  </si>
  <si>
    <t>DISTRIBUCIÓN COSTOS DE OPERACIÓN</t>
  </si>
  <si>
    <t>CENTRO DE BENEFICIO  "Cabañas Punta Osas"</t>
  </si>
  <si>
    <t>CENTRO DE BENEFICIO  "C.R. Los Maitenes"</t>
  </si>
  <si>
    <t>CENTRO DE BENEFICIO  "Piscina C.R. Los Maitenes (Alto)"</t>
  </si>
  <si>
    <t>CENTRO DE BENEFICIO  "Piscina C.R. Los Maitenes (Bajo)"</t>
  </si>
  <si>
    <t>CENTRO DE BENEFICIO  "C. R. Las Salinas"</t>
  </si>
  <si>
    <t>CENTRO DE BENEFICIO  "Piscina C.R. Las Salinas"</t>
  </si>
  <si>
    <t>CENTRO DE BENEFICIO  "C. R. Ralunco"</t>
  </si>
  <si>
    <t>CENTRO DE BENEFICIO  "Piscina C.R. Ralunco"</t>
  </si>
  <si>
    <t>CENTRO DE BENEFICIO  "C. H. Las Salinas"</t>
  </si>
  <si>
    <t>CENTRO DE BENEFICIO  "Cabanas Papudo"</t>
  </si>
  <si>
    <t>CENTRO DE BENEFICIO  "Residencia Universitaria Recreo"</t>
  </si>
  <si>
    <t>CENTRO DE BENEFICIO  "Residencia Universitaria Las Salinas"</t>
  </si>
  <si>
    <t>CENTRO DE BENEFICIO  "Casino de Tripulación"</t>
  </si>
  <si>
    <t>CENTRO DE BENEFICIO  "Gimnasio Naval"</t>
  </si>
  <si>
    <t>REAL ENERO</t>
  </si>
  <si>
    <t>REAL FEBRERO</t>
  </si>
  <si>
    <t>REAL MARZO</t>
  </si>
  <si>
    <t>REAL ABRIL</t>
  </si>
  <si>
    <t>REAL MAYO</t>
  </si>
  <si>
    <t>REAL JUNIO</t>
  </si>
  <si>
    <t>REAL JULIO</t>
  </si>
  <si>
    <t>REAL AGOSTO</t>
  </si>
  <si>
    <t>REAL SEPTIEMBRE</t>
  </si>
  <si>
    <t>REAL OCTUBRE</t>
  </si>
  <si>
    <t>REAL NOVIEMBRE</t>
  </si>
  <si>
    <t>REAL DICIEMBRE</t>
  </si>
  <si>
    <t xml:space="preserve">REAL FEBRERO </t>
  </si>
  <si>
    <t>REMUNERACION REAL</t>
  </si>
  <si>
    <t xml:space="preserve">REMUNERACION REAL </t>
  </si>
  <si>
    <t>GASTOS DE ADM. Y VENTAS</t>
  </si>
  <si>
    <t>DISTRIBUCION COSTOS DE ADM. Y VENTAS</t>
  </si>
  <si>
    <t>ÍNDICE DE TABLAS</t>
  </si>
  <si>
    <t>A) Resumen Ingresos y Egresos</t>
  </si>
  <si>
    <t>TABLA 2:  DETALLE DE INGRESOS POR PRESTACIÓN Y SEGMENTO</t>
  </si>
  <si>
    <t>B) Reajuste Tarifa y Ocupación</t>
  </si>
  <si>
    <t>C) Estimación Costos Directos</t>
  </si>
  <si>
    <t xml:space="preserve">TABLA 5: COSTOS DIRECTOS DE CENTROS DE BENEFICIOS </t>
  </si>
  <si>
    <t>D) Costos Indirectos</t>
  </si>
  <si>
    <t>E) Resumen Tarifado</t>
  </si>
  <si>
    <t>F) Remuneraciones</t>
  </si>
  <si>
    <t>TABLA 13: REMUNERACIONES DEL PERSONAL LEY 18.712 DE CENTROS DE BENEFICIOS</t>
  </si>
  <si>
    <t>G) Comparación Mercado</t>
  </si>
  <si>
    <t>TABLA 14:COMPARACIÓN TARIFAS CON PRECIOS DE MERCADO</t>
  </si>
  <si>
    <t>H) Detalle Datos</t>
  </si>
  <si>
    <t>I) Costo Desayuno</t>
  </si>
  <si>
    <t>TABLA 15: COSTO DESAYUNO</t>
  </si>
  <si>
    <t>J) Estructura Economica Mensual</t>
  </si>
  <si>
    <t>ESTRUCTURA ECONOMICA MENSUAL</t>
  </si>
  <si>
    <t>TABLA N°16:  RESULTADO OPERACIONAL MENSUAL</t>
  </si>
  <si>
    <t>Sachet de azúcar</t>
  </si>
  <si>
    <t>Jugo (Pulpa)</t>
  </si>
  <si>
    <t>Acompañamiento 1 (Jamón)</t>
  </si>
  <si>
    <t>Acompañamiento 2 (Queso)</t>
  </si>
  <si>
    <t>Leche</t>
  </si>
  <si>
    <t>Mantequilla</t>
  </si>
  <si>
    <t>Mermelada</t>
  </si>
  <si>
    <t>Queque</t>
  </si>
  <si>
    <t>HH Camarera</t>
  </si>
  <si>
    <t>Electricidad</t>
  </si>
  <si>
    <t>Gas</t>
  </si>
  <si>
    <t>Lavandería</t>
  </si>
  <si>
    <t>Artículos de aseo</t>
  </si>
  <si>
    <t>Agua (Bidón)</t>
  </si>
  <si>
    <t>Total (Neto)</t>
  </si>
  <si>
    <t>Cereal (Granel)</t>
  </si>
  <si>
    <t>Agua (Lavaplatos)</t>
  </si>
  <si>
    <t>Cabaña Nueva</t>
  </si>
  <si>
    <t>Cabaña Antigua</t>
  </si>
  <si>
    <t>Cancha Fútbol (L a V, diurno)</t>
  </si>
  <si>
    <t>Cancha Fútbol (L a V, nocturno)</t>
  </si>
  <si>
    <t>Cancha Fútbol (Fin de semana y festivos)</t>
  </si>
  <si>
    <t>Habitación Conductores</t>
  </si>
  <si>
    <t>Salón N° 2 (Matinal 10-16)</t>
  </si>
  <si>
    <t>Salón N° 2 (Vespertino 18-24)</t>
  </si>
  <si>
    <t>Salón N° 2 (Jornada 10-24)</t>
  </si>
  <si>
    <t>Picnic (10p)</t>
  </si>
  <si>
    <t>ÁREA APOYO A. EDUCACIONAL</t>
  </si>
  <si>
    <t>Asistencia Educacional</t>
  </si>
  <si>
    <t>ÁREA APOYO A. COMERCIAL</t>
  </si>
  <si>
    <t>Asistencia Comercial</t>
  </si>
  <si>
    <t>ACUMULADO A LA FECHA</t>
  </si>
  <si>
    <t>Cantidad de celdas no vacias</t>
  </si>
  <si>
    <t>Costo Empresa Anual</t>
  </si>
  <si>
    <t>CENTRO DE BENEFICIO  "Cabañas Papudo"</t>
  </si>
  <si>
    <t>Vista Mar</t>
  </si>
  <si>
    <t>CENTRO DE BENEFICIO  "Residencia Vista Mar"</t>
  </si>
  <si>
    <t>Departamento</t>
  </si>
  <si>
    <t>Adicional</t>
  </si>
  <si>
    <t>Habitacion conductores</t>
  </si>
  <si>
    <t>Otros</t>
  </si>
  <si>
    <t>RO FINAL</t>
  </si>
  <si>
    <t xml:space="preserve">                                                                                                                                                                                                                                                                                                                                                                                                                                                                                                                                                                                                  </t>
  </si>
  <si>
    <t xml:space="preserve">                                                                                                                                                                   </t>
  </si>
  <si>
    <t>Salón N° 1 Eventos (0 -200 personas)</t>
  </si>
  <si>
    <r>
      <t>Salón N° 1 Valor Reparticiones</t>
    </r>
    <r>
      <rPr>
        <sz val="11"/>
        <color rgb="FFFF0000"/>
        <rFont val="Calibri"/>
        <family val="2"/>
        <scheme val="minor"/>
      </rPr>
      <t xml:space="preserve"> (0-120 personas)</t>
    </r>
  </si>
  <si>
    <r>
      <t>Salón N° 1 Valor Reparticiones</t>
    </r>
    <r>
      <rPr>
        <sz val="11"/>
        <color rgb="FFFF0000"/>
        <rFont val="Calibri"/>
        <family val="2"/>
        <scheme val="minor"/>
      </rPr>
      <t xml:space="preserve"> (121-200 personas)</t>
    </r>
  </si>
  <si>
    <t>Salón N° 2 Eventos AM</t>
  </si>
  <si>
    <t>Salón N° 2 Eventos PM</t>
  </si>
  <si>
    <t>Salón N° 2 Valor Reparticiones (0-60 personas) AM+PM</t>
  </si>
  <si>
    <t>Quincho (8p)</t>
  </si>
  <si>
    <t>Quincho (Fechas especiales)</t>
  </si>
  <si>
    <t>Salón N° 1 Fechas especiales (0 -200 personas)</t>
  </si>
  <si>
    <t>Salón N° 2 Fechas Especiales</t>
  </si>
  <si>
    <t>Terraza AM+PM</t>
  </si>
  <si>
    <t>Ingresos Consumos</t>
  </si>
  <si>
    <t>Hospedaje</t>
  </si>
  <si>
    <t>Simple (BLANCA ESTELA)</t>
  </si>
  <si>
    <t>Matrimonial o Doble (BLANCA ESTELA)</t>
  </si>
  <si>
    <t>Tabla 15: Costo desayuno</t>
  </si>
  <si>
    <t>Cabaña Isla de Pascua</t>
  </si>
  <si>
    <t>Cabaña</t>
  </si>
  <si>
    <t>Habitacion Conductores</t>
  </si>
  <si>
    <t xml:space="preserve">Quincho Fechas Especiales </t>
  </si>
  <si>
    <t>Salon N° 1 Valor Reparticiones (121-200 personas)</t>
  </si>
  <si>
    <t>Salon N° 1 Eventos (0-200 personas)</t>
  </si>
  <si>
    <t>Salon N°1 Fechas Especiales</t>
  </si>
  <si>
    <t>Si se agrega los consumos basicos el costo queda muy alto</t>
  </si>
  <si>
    <t>CABAÑAS PUNTA OSAS</t>
  </si>
  <si>
    <t>RESIDENCIAL DEL AGUILA</t>
  </si>
  <si>
    <t>EJERCITO</t>
  </si>
  <si>
    <t>DGAC</t>
  </si>
  <si>
    <t>CABAÑAS PEPINO</t>
  </si>
  <si>
    <t>SANTA MARGARITA</t>
  </si>
  <si>
    <t>REMUNERACIONES 2025</t>
  </si>
  <si>
    <t>MONICA ELIZABETH</t>
  </si>
  <si>
    <t>VERONICA CLARA</t>
  </si>
  <si>
    <t>KALININ ELIVER</t>
  </si>
  <si>
    <t>ARIEL RODOLFO</t>
  </si>
  <si>
    <t>ARENAS FLEMING</t>
  </si>
  <si>
    <t>CARVAJAL NUÑEZ</t>
  </si>
  <si>
    <t>SAEZ TORRES</t>
  </si>
  <si>
    <t>VIALES ARAYA</t>
  </si>
  <si>
    <t>REBECHINO ZITELLI</t>
  </si>
  <si>
    <t>RECEPCIONISTA PEAK TIME</t>
  </si>
  <si>
    <t>ASISTENTE HOTELERO PEAK TIME</t>
  </si>
  <si>
    <t>RECEPCIONISTA FULL TIME</t>
  </si>
  <si>
    <t>ADMINISTRADOR</t>
  </si>
  <si>
    <t>CASA HUESPEDES MARE NOSTRUM</t>
  </si>
  <si>
    <t>CAMILA ANDREA</t>
  </si>
  <si>
    <t>PEDRO ERNESTO</t>
  </si>
  <si>
    <t>EVELYN PAOLA</t>
  </si>
  <si>
    <t>VILLEGAS NAVARRO</t>
  </si>
  <si>
    <t>NUÑEZ BRAVO</t>
  </si>
  <si>
    <t>VARAS CHACON</t>
  </si>
  <si>
    <t>NOCHERO FULL TIME</t>
  </si>
  <si>
    <t>SERVICIOS HOTELEROS</t>
  </si>
  <si>
    <t>CAMARERA FULL TIME</t>
  </si>
  <si>
    <t>KATHERINA ANDREA</t>
  </si>
  <si>
    <t>AVILA SOBARZO</t>
  </si>
  <si>
    <t>ASISTENTE HOTELERO</t>
  </si>
  <si>
    <t>C.R. LOS MAITENES</t>
  </si>
  <si>
    <t>CARLOS GASTON</t>
  </si>
  <si>
    <t>LUQUES MONJE</t>
  </si>
  <si>
    <t>CAMPING RALUNCO</t>
  </si>
  <si>
    <t>CASA HUESPEDES LAS SALINAS</t>
  </si>
  <si>
    <t>ASISTENTE HOTELERO PART TIME</t>
  </si>
  <si>
    <t>MARIBEL ALEJANDRA</t>
  </si>
  <si>
    <t>MENDEZ ESCOBAR</t>
  </si>
  <si>
    <t>JUANA MALVINA</t>
  </si>
  <si>
    <t>HIDALGO AGUILERA</t>
  </si>
  <si>
    <t>MARISELLA MACARENA</t>
  </si>
  <si>
    <t>BONILLA HIDALGO</t>
  </si>
  <si>
    <t>MARCELA ANDREA</t>
  </si>
  <si>
    <t>CHAMORRO JIMENEZ</t>
  </si>
  <si>
    <t>CABAÑAS PAPUDO</t>
  </si>
  <si>
    <t>MARIA LORETO</t>
  </si>
  <si>
    <t>GODOY VERGARA</t>
  </si>
  <si>
    <t>IVANIA JOSABETH</t>
  </si>
  <si>
    <t>GUERRA GODOY</t>
  </si>
  <si>
    <t>MANIPULADORA DE ALIMENTOS</t>
  </si>
  <si>
    <t>CASA HUÉSPEDES VISTA MAR</t>
  </si>
  <si>
    <t>MARÍA DEL PILAR</t>
  </si>
  <si>
    <t>RIQUELME PAVEZ</t>
  </si>
  <si>
    <t>MARIA ANGELICA</t>
  </si>
  <si>
    <t>FLORES MORALES</t>
  </si>
  <si>
    <t>CAMARERA PEAK TIME</t>
  </si>
  <si>
    <t>KAREN SUSANA</t>
  </si>
  <si>
    <t>NUÑEZ FIGUEROA</t>
  </si>
  <si>
    <t>FLOR ESTER</t>
  </si>
  <si>
    <t>SALAMANCA PINO</t>
  </si>
  <si>
    <t>YASMINA ROSE MARIE</t>
  </si>
  <si>
    <t>LAING SAENZ</t>
  </si>
  <si>
    <t>CLAUDIA DE LAS MERCEDES</t>
  </si>
  <si>
    <t>AGUIRRE ORTIZ</t>
  </si>
  <si>
    <t>MARIA FLORISELA</t>
  </si>
  <si>
    <t>ESPINOZA LABRA</t>
  </si>
  <si>
    <t>PABLO ANDRES</t>
  </si>
  <si>
    <t>GATICA ROJAS</t>
  </si>
  <si>
    <t>JARDINERO</t>
  </si>
  <si>
    <t>MARIA JOSE</t>
  </si>
  <si>
    <t>PONCE MENDEZ</t>
  </si>
  <si>
    <t>ASISTENTE ADMINISTRATIVO</t>
  </si>
  <si>
    <t>JEFE ASISTENCIA RECREACIONAL</t>
  </si>
  <si>
    <t>MARCIA LETICIA</t>
  </si>
  <si>
    <t>PONCE QUIROZ</t>
  </si>
  <si>
    <t>COORDINADORA ADMINISTRATIVA</t>
  </si>
  <si>
    <t>KAROLAYNNIE REBECA</t>
  </si>
  <si>
    <t>MANCILLA FOSTER</t>
  </si>
  <si>
    <t>OPERADOR CONTABLE</t>
  </si>
  <si>
    <t>EDIFICIO CENTRAL</t>
  </si>
  <si>
    <t>CONSTANZA JAVIERA</t>
  </si>
  <si>
    <t>MONCADA SOTO</t>
  </si>
  <si>
    <t>JUAN MANUEL</t>
  </si>
  <si>
    <t>DIAZ FREDES</t>
  </si>
  <si>
    <t>PIAGGIO MORLA</t>
  </si>
  <si>
    <t>LUIS ARTURO</t>
  </si>
  <si>
    <t>SILVA CARDENAS</t>
  </si>
  <si>
    <t>ADM. CENTRAL</t>
  </si>
  <si>
    <t>TESORERA</t>
  </si>
  <si>
    <t>CONTADOR GENERAL</t>
  </si>
  <si>
    <t>JEFE DE ADQUISICIONES</t>
  </si>
  <si>
    <t>ENC COMPRAS AREA ADQUISICIONES</t>
  </si>
  <si>
    <t>HECTOR RICARDO</t>
  </si>
  <si>
    <t>DELGADO DELGADO</t>
  </si>
  <si>
    <t>OP RRHH</t>
  </si>
  <si>
    <t>CESAR RODRIGO</t>
  </si>
  <si>
    <t>CORNEJO MAGAÑA</t>
  </si>
  <si>
    <t>ENCARGADO INFORMATICA</t>
  </si>
  <si>
    <t>SILVA HOTT</t>
  </si>
  <si>
    <t>CATALINA ANGELICA</t>
  </si>
  <si>
    <t>PERIODISTA</t>
  </si>
  <si>
    <t>PROMOCION Y DIFUSION</t>
  </si>
  <si>
    <t>FAUNDEZ BAESLER</t>
  </si>
  <si>
    <t>CAMILA</t>
  </si>
  <si>
    <t>EJEC. MOD. ATENCION CLIENTE</t>
  </si>
  <si>
    <t>XXXXX</t>
  </si>
  <si>
    <t>VICTOR ANDRES</t>
  </si>
  <si>
    <t>GALLEGOS MONTANER</t>
  </si>
  <si>
    <t>ALUMNA PRACTICA</t>
  </si>
  <si>
    <t>Nochero Full Time</t>
  </si>
  <si>
    <t>Asistente Hotelero (Recepcionista) Peak Time</t>
  </si>
  <si>
    <t>Nochero Peak Time</t>
  </si>
  <si>
    <t>Servicio Hotelero Full Time</t>
  </si>
  <si>
    <t>Servicio Hotelero  / Peak Time</t>
  </si>
  <si>
    <t>Salvavidas Full-Time</t>
  </si>
  <si>
    <t>Recepcionista Full Time</t>
  </si>
  <si>
    <t>Nochero Full-Time</t>
  </si>
  <si>
    <t>Nochero Peak-Time</t>
  </si>
  <si>
    <t>Servicio General / bañero Full-Time</t>
  </si>
  <si>
    <t>Servicio General / bañero peak-Time</t>
  </si>
  <si>
    <t>Servicio Hotelero (Serv. Gral. / Bañero) Full Time P.Alto</t>
  </si>
  <si>
    <t>Salvavidas Peak-Time P. Alto</t>
  </si>
  <si>
    <t>Salvavidas Full Time P. Alto</t>
  </si>
  <si>
    <t>Salvavidas FullTime P. Alto</t>
  </si>
  <si>
    <t>Salvavidas Peak-Time P. Bajo</t>
  </si>
  <si>
    <t>Salvavidas Full-Time P. Bajo</t>
  </si>
  <si>
    <t>Servicio Hotelero (Serv. Gral. / Bañero) Peak Time P.BAJO</t>
  </si>
  <si>
    <t>CANT. MESES</t>
  </si>
  <si>
    <t>Servicio Hotelero (Serv.Gral.Apoyo Piscina) Full Time P.BAJO</t>
  </si>
  <si>
    <t xml:space="preserve"> </t>
  </si>
  <si>
    <t>XXXXXXX</t>
  </si>
  <si>
    <t>COSTO PISCINAS</t>
  </si>
  <si>
    <t xml:space="preserve"> Reajuste ($)</t>
  </si>
  <si>
    <t>Segmento
 1</t>
  </si>
  <si>
    <t>Segmento 
2</t>
  </si>
  <si>
    <t>Segmento 
3</t>
  </si>
  <si>
    <t>CENTRO DE BENEFICIO  "Cabaña Isla de Pascua"</t>
  </si>
  <si>
    <t>Propuesta Tarifas 2026</t>
  </si>
  <si>
    <t>Tarifa 2026</t>
  </si>
  <si>
    <t>Tarifas 2025</t>
  </si>
  <si>
    <t>COSTO DIRECTO ESTIMADO 2026</t>
  </si>
  <si>
    <t>Costo Total por Servidor Reajustado 2026</t>
  </si>
  <si>
    <t>Costo Total anual por Servidor 2025</t>
  </si>
  <si>
    <t>Meta Ocupación 2026</t>
  </si>
  <si>
    <t>Propuesta Tarifas  2026</t>
  </si>
  <si>
    <t>Tarifas  2025</t>
  </si>
  <si>
    <t>Costo Total Empresa
2025</t>
  </si>
  <si>
    <t>COSTO INDIRECTO ESTIMADO 2026</t>
  </si>
  <si>
    <t>ITEM</t>
  </si>
  <si>
    <t>COSTO VALOR NETO</t>
  </si>
  <si>
    <t>TOTAL MAS 3,1% IPC 2026 APROX</t>
  </si>
  <si>
    <t xml:space="preserve">ALIMENTOS Y BEBIDAS </t>
  </si>
  <si>
    <t>BIDON DE AGUA 20 LT</t>
  </si>
  <si>
    <t>FRIGOBAR  bebidas, aguas minerales, chocolates,snack</t>
  </si>
  <si>
    <t xml:space="preserve">VALOR POR UNIDAD </t>
  </si>
  <si>
    <t>TOTAL</t>
  </si>
  <si>
    <t>FRAZADAS 2 PLAZAS(1XCAMA)</t>
  </si>
  <si>
    <t>FRAZADAS 1 1/2 PLAZA(1XCAMA)</t>
  </si>
  <si>
    <t>ALMOHADA 50X70 $7.000</t>
  </si>
  <si>
    <t>JUEGO SABANAS DE 2 PLAZAS</t>
  </si>
  <si>
    <t xml:space="preserve">JUEGO SABANAS DE 1 1/2 PLAZA </t>
  </si>
  <si>
    <t>JUEGO SABANAS DE KING</t>
  </si>
  <si>
    <t xml:space="preserve">COLCHAS DE 2 PLAZAS </t>
  </si>
  <si>
    <t>COLCHAS DE 1 1/2 PLAZA</t>
  </si>
  <si>
    <t xml:space="preserve">TOALLAS DE BAÑO </t>
  </si>
  <si>
    <t xml:space="preserve">TOALLAS DE MANO </t>
  </si>
  <si>
    <t xml:space="preserve">   </t>
  </si>
  <si>
    <t xml:space="preserve">TOALLAS DE PISO </t>
  </si>
  <si>
    <t xml:space="preserve">CUBRECOLCHON  2p </t>
  </si>
  <si>
    <t xml:space="preserve">CUBRECOLCHON  1 1/2p </t>
  </si>
  <si>
    <t>CORTINAS BLACKOUT X 2 PAÑOS DE 30000 CADA UNO</t>
  </si>
  <si>
    <t xml:space="preserve">RENOVACION </t>
  </si>
  <si>
    <t xml:space="preserve">ASPIRADORA INDUSTRIAL </t>
  </si>
  <si>
    <t>RESMA, LAPICES, CLIP, SCOTCH,GRAPA ETC</t>
  </si>
  <si>
    <t>IMPLEMENTACION DE SILLON SALA DE RECEPCION</t>
  </si>
  <si>
    <t>RENOVACION</t>
  </si>
  <si>
    <t>COLCHONES DE 1 1/2 P</t>
  </si>
  <si>
    <t xml:space="preserve">COLCHONES DE 2 P </t>
  </si>
  <si>
    <t xml:space="preserve">RESPALDOS DE CAMA  11/2 P RENOVACION </t>
  </si>
  <si>
    <t>MANTENCION ASCENSOR MENSUAL  $100000</t>
  </si>
  <si>
    <t>REPARACION DE BOW WINDOWS</t>
  </si>
  <si>
    <t xml:space="preserve">AMENITIES  X 12 MESES </t>
  </si>
  <si>
    <t>FUERA DE MARCO</t>
  </si>
  <si>
    <t xml:space="preserve">EDIFICIO COMPLETO </t>
  </si>
  <si>
    <t>PINTURA Y REPARACION</t>
  </si>
  <si>
    <t xml:space="preserve">3 VENTANALES PARA REPARACION </t>
  </si>
  <si>
    <t xml:space="preserve">REPARACION DE PISO DE ESTACIONAMIENTO </t>
  </si>
  <si>
    <t xml:space="preserve">QUITAR PASTELONES, RELLENAR , APLANAR Y COLOCAR NUEVAMENTE PASTELONES </t>
  </si>
  <si>
    <t>Mercaderias P/Comercializacion FRIGOBAR</t>
  </si>
  <si>
    <t>AGUA BIDONES</t>
  </si>
  <si>
    <t>MANT CALEFACCION</t>
  </si>
  <si>
    <t>SOLO TEL. FIJO</t>
  </si>
  <si>
    <t>ENLACE DEDICADO</t>
  </si>
  <si>
    <t>CABLE VTR</t>
  </si>
  <si>
    <t xml:space="preserve">proyectado si se necesita renovacion de equipo de recepción y administración ,  Equipos computacionales y perifericos </t>
  </si>
  <si>
    <t>MERCADERIA PARA DESAYUNO POR 3028 PASAJEROS SEGÚN OCUPACION PROYECTADA</t>
  </si>
  <si>
    <t>fumigacion + DESRATIZACION ANUAL</t>
  </si>
  <si>
    <t>AMENITIES</t>
  </si>
  <si>
    <t>VALOR</t>
  </si>
  <si>
    <t>FRAZADAS 2 PLAZAS(1XCAMA)$22.000c/u</t>
  </si>
  <si>
    <t>FRAZADAS 1 PLAZA(1XCAMA)$18.000c/u</t>
  </si>
  <si>
    <t>ALMOHADA 50X70 $8.000</t>
  </si>
  <si>
    <t>JUEGO SABANAS DE 2 PLAZAS $ 25.000 (para futones)</t>
  </si>
  <si>
    <t>JUEGO SABANAS DE 1.5  PLAZA $ 22.000</t>
  </si>
  <si>
    <t>COLCHAS DE 2 PLAZAS $ 26.000</t>
  </si>
  <si>
    <t>COLCHAS DE 1 PLAZA $22.000</t>
  </si>
  <si>
    <t>TOALLAS DE BAÑO $ 9.000</t>
  </si>
  <si>
    <t>TOALLAS DE MANO $6.000</t>
  </si>
  <si>
    <t>TOALLAS DE PISO $ 5.500</t>
  </si>
  <si>
    <t>ACEITE MEZCLA PARA CORTADORA</t>
  </si>
  <si>
    <t>ACEITE MEZCLA PARA ORILLADORA</t>
  </si>
  <si>
    <t>NO</t>
  </si>
  <si>
    <t>ATENCION AL CLIENTE X 3</t>
  </si>
  <si>
    <t xml:space="preserve">GASFITERIA BASICA </t>
  </si>
  <si>
    <t>NORMALIZACION Y MANT.TABLEROS ELECTRICOS CABAÑAS$ 120.000</t>
  </si>
  <si>
    <t>CHAPA ENTRADA RECEPCION</t>
  </si>
  <si>
    <t>PINTURAS VARIAS PARA MANTENCIONES ANUALES Y MUEBLES</t>
  </si>
  <si>
    <t>MANTENCIONES FITTING(VARIOS)</t>
  </si>
  <si>
    <t>REPARACION DE CANALETAS $500.000</t>
  </si>
  <si>
    <t>ESTUFAS ELECTRICAS $150.000</t>
  </si>
  <si>
    <t>MICROONDAS $80.000</t>
  </si>
  <si>
    <t>SECADOR DE PELO $18000</t>
  </si>
  <si>
    <t>LUCES SOLARES $45.000</t>
  </si>
  <si>
    <t>HERVIDOR $25.000</t>
  </si>
  <si>
    <t>REFRIGERADOR $ 400.000</t>
  </si>
  <si>
    <t>PISOS BAR $40.000</t>
  </si>
  <si>
    <t>CALEFONT $390.000</t>
  </si>
  <si>
    <t>LUCES DE EMERGENCIA $15.000 X 7</t>
  </si>
  <si>
    <t>VESTUARIO ACC.Y PRENDAS DIVERSAS</t>
  </si>
  <si>
    <t>TRAJE CAMARERA CHAQUETA PANTALON $50.000</t>
  </si>
  <si>
    <t>POLAR TRABAJADORES $ 15,000</t>
  </si>
  <si>
    <t>POLAR RECEPCIONISTAS $ 15,000</t>
  </si>
  <si>
    <t>POLERA PIQUE RECEPCIONISTA$ 12.000</t>
  </si>
  <si>
    <t>OVEROL $ 17.000 PARA TRABAJADORES VARONES</t>
  </si>
  <si>
    <t>PANTALON GABARDINA HOMBRES $16.000</t>
  </si>
  <si>
    <t>POLERAS PIQUE SER.GENERAL $ 12,000</t>
  </si>
  <si>
    <t>CALZADO SERV. GENERAL $38.000 VARONES</t>
  </si>
  <si>
    <t>CALZADO CAMARERA $ 35.000</t>
  </si>
  <si>
    <t>RESMA, LAPICES, CLIP, SCONCH,GRAPA ETC, PAPEL TERMICO</t>
  </si>
  <si>
    <t>TINTA</t>
  </si>
  <si>
    <t>SERVICIO DE FUMIGACION, DESINSECTACION INTERIOR Y EXTERIOR</t>
  </si>
  <si>
    <t>MATERIALES ASEO TRIMESTRAL $ 300,000X4</t>
  </si>
  <si>
    <t>RENOVACION SARTEN $ 13000</t>
  </si>
  <si>
    <t>RENOVACION JUEGO OLLAS $ 45.000</t>
  </si>
  <si>
    <t>RENOVACION CUBIERTOS $28.000</t>
  </si>
  <si>
    <t>RENOVACION LOZA $35.000</t>
  </si>
  <si>
    <t>JUEGOS DE TERRAZA DE RATAN C/SILLA $ 200.000</t>
  </si>
  <si>
    <t>RENOVACION CAMA EUROPEA 2 PLZ PARA CABAÑA 13</t>
  </si>
  <si>
    <t>RENOVACION COLCHON DE 1 PLAZA $200.000</t>
  </si>
  <si>
    <t>PARTES DE RESERVAS $ 4.500</t>
  </si>
  <si>
    <t>MANTENCION DE 15 CALEFONT $48.000</t>
  </si>
  <si>
    <t>MANTENCION DE LAVADORA</t>
  </si>
  <si>
    <t>MANTENCION DE SECADORA</t>
  </si>
  <si>
    <t xml:space="preserve"> MANTENCION PORTON ENTRADA</t>
  </si>
  <si>
    <t>MANTENCION DE REFRIGERADORES $50.000</t>
  </si>
  <si>
    <t>MANTENCION CAMARAS (AGREGAR 2 CAMARAS)</t>
  </si>
  <si>
    <t>MANTENCION DE EXTINTORESX 16 $12.000</t>
  </si>
  <si>
    <t>CIERRE PERIMETRAL FRENTE CABAÑAS</t>
  </si>
  <si>
    <t>COMISIONES HAULMER</t>
  </si>
  <si>
    <t>AMENITIES 370.000X3</t>
  </si>
  <si>
    <t>ASEO MUNICIPAL</t>
  </si>
  <si>
    <t>LAVANDERIA</t>
  </si>
  <si>
    <t>12 MESES DE DIRECTV $ 245000X12X3,1%</t>
  </si>
  <si>
    <t>GASTOS MENORES</t>
  </si>
  <si>
    <t>COSTOS FUERA DE MARCO</t>
  </si>
  <si>
    <t xml:space="preserve">EQUIPARAR CARGAS ELECTRICAS 3 FUSIBLES </t>
  </si>
  <si>
    <t>RENOVACION COLCHONES 1 PLAZA $ 200.000X26</t>
  </si>
  <si>
    <t>CAMBIO DE 13 CANALETAS DE BAJADAS DE AGUA DE CABAÑAS</t>
  </si>
  <si>
    <t xml:space="preserve">JUEGOS INFANTILES </t>
  </si>
  <si>
    <t>CIERRE PERIMETRAL SECTOR ESTACIONAMIENTO FRENTE A CABAÑAS</t>
  </si>
  <si>
    <t>COSTO VALOR</t>
  </si>
  <si>
    <t>TOTAL MAS 5% IPC 2025 APROX</t>
  </si>
  <si>
    <t>BENCINA 93 OCT (30 MIL PESOS MENSUALES)</t>
  </si>
  <si>
    <t>PETROLEO GENERADOR</t>
  </si>
  <si>
    <t>ACEITE MAQUINAS ORILLADORAS Y DE PASTO</t>
  </si>
  <si>
    <t>PRODUCTOS QUIMICOS PISCINA CLORO, DECANTADOR,SUBE PH , ALGUICIDA, BAJA PH</t>
  </si>
  <si>
    <t>REPARACION DE PARRILLAS ( CAMBIO CADENAS, PINTADO DE CAMPANAS,CERAMICA DE MESONES PARRILLAS.</t>
  </si>
  <si>
    <t>MANTENCION CANCHA PASTO SINTETICO</t>
  </si>
  <si>
    <t>CAMBIO DE MALLAS RETENCION</t>
  </si>
  <si>
    <t>CAMBIO DE CANALETAS SALON 1</t>
  </si>
  <si>
    <t>REPARACION CIELO FALSO SALON 1</t>
  </si>
  <si>
    <t>PAVIMENTACION ENTRADA CR LAS SALINAS</t>
  </si>
  <si>
    <t>EFECTUAR BAJADA DE AGUA ACCESO SALON 1 POR LLUVIAS.</t>
  </si>
  <si>
    <t>MANTENCION DE ARBOLES, PALMERAS Y JARDINERIA</t>
  </si>
  <si>
    <t>REPARACION BAJADA ESCALA SALA BOMBAS</t>
  </si>
  <si>
    <t>MANTENCION BAÑOS Y DUCHAS GENERALES</t>
  </si>
  <si>
    <t>BOMBONA DE GAS</t>
  </si>
  <si>
    <t>CILINDROS DE 15 KG</t>
  </si>
  <si>
    <t xml:space="preserve">TELEFONO FIJO  RECEPCION </t>
  </si>
  <si>
    <t>CELULAR</t>
  </si>
  <si>
    <t>LIMPIEZA ALCANTARILLADO Y CAMARAS</t>
  </si>
  <si>
    <t>FOFI</t>
  </si>
  <si>
    <t>MATERIALES DE OFICINA (HOJAS OFICIO Y CARTA MAS ARTICULOS DE OFICINA</t>
  </si>
  <si>
    <t>EQUIPAR BOTIQUINES</t>
  </si>
  <si>
    <t>UTILES DE ASEO 3 VECES AL AÑO</t>
  </si>
  <si>
    <t>MESAS REDONDAS PARA 10 PERSONAS</t>
  </si>
  <si>
    <t>HORNO A GAS MAIGAS</t>
  </si>
  <si>
    <t>CONGELADORES 300 LT</t>
  </si>
  <si>
    <t>COMEDOR PARA EL PERSONAL</t>
  </si>
  <si>
    <t>MANTENEDOR FRIO 450 LT SALON 1</t>
  </si>
  <si>
    <t>COMPUTADOR RECEPCION</t>
  </si>
  <si>
    <t>INSTALACION 04 CAMARAS DE SEGURIDAD</t>
  </si>
  <si>
    <t>MANTENCION MAQUINA SOPLADORA</t>
  </si>
  <si>
    <t>MANTENCION MAQUINA ORILLADORA</t>
  </si>
  <si>
    <t>MANTENCION MAQUINA CORTA CESPED</t>
  </si>
  <si>
    <t>ADJUNTO PLANILLA 2026</t>
  </si>
  <si>
    <t>VISTAMAR</t>
  </si>
  <si>
    <t>PROYECCION</t>
  </si>
  <si>
    <t>SUPERMERCADO</t>
  </si>
  <si>
    <t>FERIA</t>
  </si>
  <si>
    <t>PANADERIA PASTELERIA</t>
  </si>
  <si>
    <t>BIDON DE AGUA</t>
  </si>
  <si>
    <t>X 12</t>
  </si>
  <si>
    <t>3 MANTELES DE MESA DE 1,5 X 2,0</t>
  </si>
  <si>
    <t>MANTEL DE COCINA 2990 X6</t>
  </si>
  <si>
    <t xml:space="preserve">BENCINA PARA ORILLADORA </t>
  </si>
  <si>
    <t>MAT.PARA MATEN.Y REPARACION INMUEBLES</t>
  </si>
  <si>
    <t>BAÑO DEPTO</t>
  </si>
  <si>
    <t>KIT SELLO ANTIFUGA</t>
  </si>
  <si>
    <t>KIT UNION PARA ESTANQUE</t>
  </si>
  <si>
    <t>FLAPER</t>
  </si>
  <si>
    <t>FLUIDMASTER</t>
  </si>
  <si>
    <t>VALV. HIDROSTATICA</t>
  </si>
  <si>
    <t>MANILLA PARA ESTANQUE</t>
  </si>
  <si>
    <t>ASIENTO TAPA BAÑO</t>
  </si>
  <si>
    <t>LLAVE DE PASO (2)</t>
  </si>
  <si>
    <t>LLAVE MONOMANDO LAV.</t>
  </si>
  <si>
    <t>FLEXIBLE (2)</t>
  </si>
  <si>
    <t>SIFON</t>
  </si>
  <si>
    <t>SILICONA</t>
  </si>
  <si>
    <t>CHALLA + FLEXIBLE DUCHA</t>
  </si>
  <si>
    <t>COCINA DEPTO</t>
  </si>
  <si>
    <t>LLAVE LAVAPLATO</t>
  </si>
  <si>
    <t>CALEFACCION</t>
  </si>
  <si>
    <t>2 VALVULAS TERMOSTATICAS</t>
  </si>
  <si>
    <t>COCINA RESIDENCIA</t>
  </si>
  <si>
    <t>LLAVE LAVAPLATOS</t>
  </si>
  <si>
    <t>FLEXIBLES</t>
  </si>
  <si>
    <t>SIFON 2 TRAZAS</t>
  </si>
  <si>
    <t>BAÑO RESIDENCIA</t>
  </si>
  <si>
    <t>LLAVE DE PASO</t>
  </si>
  <si>
    <t>LLAVE LAVAMANOS</t>
  </si>
  <si>
    <t>FLEXIBLE</t>
  </si>
  <si>
    <t>*NOTA: BAÑO COMPLETO $65.580, 1/2 BAÑO $32.790, ESTA CONSIDERADA LA MATENCION Y REPARACION DE 1 1/2 BAÑO ANUAL</t>
  </si>
  <si>
    <t>PINTURA TINETA</t>
  </si>
  <si>
    <t>PINTURA ANTICORROSIVA (3 GALONES)</t>
  </si>
  <si>
    <t>ESCOBILLA DE ACERO</t>
  </si>
  <si>
    <t>DILUYENTE (3 LTS)</t>
  </si>
  <si>
    <t>GRATA</t>
  </si>
  <si>
    <t>PASTA MURO (2 KL)</t>
  </si>
  <si>
    <t>LIJAS (MURO Y METAL)</t>
  </si>
  <si>
    <t>BROCHAS</t>
  </si>
  <si>
    <t>BANDEJA Y RODILLOS</t>
  </si>
  <si>
    <t>HERRAMIENTAS, MATERIALES DE RIEGO (PLANSA, CODOS, UNIONES "T", PEGAMENTO DE UNIONES, TEFLON, ASPERSORES), MANTENIMIENTO DE HERRAMIENTAS, MANGUERAS, LLAVES DE AGUA.</t>
  </si>
  <si>
    <t>TAPAS  ALCANTARILLADO REDONDAS X 7</t>
  </si>
  <si>
    <t>TAPAS  ALCANTARLLADO CUADRADAS X 2</t>
  </si>
  <si>
    <t>JUGUERA</t>
  </si>
  <si>
    <t>BATIDORA</t>
  </si>
  <si>
    <t>PICADORA</t>
  </si>
  <si>
    <t>HERVIDOR</t>
  </si>
  <si>
    <t>HORNO ELECTRICO</t>
  </si>
  <si>
    <t>LUMINARIA EXTERIOR LED SOLAR X 9 (16990)</t>
  </si>
  <si>
    <t>LUCES DE EMERGENCIA X 10</t>
  </si>
  <si>
    <t>UNIFORMES TIPO PIJAMA CLINICO 47678 X 2 / 71518 X 5</t>
  </si>
  <si>
    <t>COFIAS DE TELA $4000 X 14</t>
  </si>
  <si>
    <t>BUZO JARDINERO</t>
  </si>
  <si>
    <t>ZAPATO DE SEGURIDAD JARDINERO X 1</t>
  </si>
  <si>
    <t>ZAPATO DE SEGURIDAD COCINA X 1</t>
  </si>
  <si>
    <t>ZAPATILLAS CAMARERAS 29990 X 6</t>
  </si>
  <si>
    <t>RESMA DE OFICIO Y CARTA, LAPICES, CARPETAS, LIBROS DE ASISTENCIA, CUADERNOS, ARCHIVADORES, DESTACADORES , CLIPS</t>
  </si>
  <si>
    <t>PRODUCTOS FARMACEUTICOS</t>
  </si>
  <si>
    <t>ALCOHOL DESNATURALIZADO 70 % 250 ML</t>
  </si>
  <si>
    <t>APOSITO CURACIÓN GASA ESTÉRIL 10X10</t>
  </si>
  <si>
    <t>GASA ESTÉRIL 10X10 (CAJA 50 NR)</t>
  </si>
  <si>
    <t>TELA ADHESIVA MICROPORE</t>
  </si>
  <si>
    <t>VENDA GASA ELASTICA 10 CM (CAJA 12 NR)</t>
  </si>
  <si>
    <t>SUTURA ADHESIVA STERI-STRIP</t>
  </si>
  <si>
    <t>POVIDONA YODADA 50 ML</t>
  </si>
  <si>
    <t>CLORHEXIDINA TOPICA</t>
  </si>
  <si>
    <t>CABESTRILLO ADULTO TALLA L-M</t>
  </si>
  <si>
    <t>SUERO FISIOLOGICO 0,9 %  20 ML</t>
  </si>
  <si>
    <t>GUANTES DE LATEX (CAJA 100 UN)</t>
  </si>
  <si>
    <t>TEGADERM APOSITO TRANSPARENTE (10 UN)</t>
  </si>
  <si>
    <t xml:space="preserve">PRODUCTOS  FUMIGACION       </t>
  </si>
  <si>
    <t>PRODUCTO    DESRATIZACION</t>
  </si>
  <si>
    <t>ARTICULOS ASEO ( SE PIDE TRES VECES AL AÑO)</t>
  </si>
  <si>
    <t>X 3</t>
  </si>
  <si>
    <t>ADQUISICION DE PLATOS, CUBIERTOS, VASOS, OLLAS, ZARTENES, CUCHILLOS DE COCINA, CUCHARONES, ESPUMADERA.</t>
  </si>
  <si>
    <t>INSUMOS, REPTOS Y ACCES. COMPUT.</t>
  </si>
  <si>
    <t>ANTIVIRUS</t>
  </si>
  <si>
    <t>OFFICE</t>
  </si>
  <si>
    <t>EXPANSIÓN DE MEMORIA DE LOS PC</t>
  </si>
  <si>
    <t>MOUSE + TECLADO</t>
  </si>
  <si>
    <t>GASFITERIA Y ELECTRICIDAD.ESTIMATIVOS DE ACUERDO A TARIFAS DE LA BRIGADA DE REPARACIONES</t>
  </si>
  <si>
    <t>CAMBIO DE TAPIZ SILLONES, SOFA, SILLAS, COJINES.</t>
  </si>
  <si>
    <t>REPARACION SILLAS, SILLONES, MESAS, PISOS DE MADERA, VANITORIOS.</t>
  </si>
  <si>
    <t>REPARACION DE LAVADORA, REFRIGERADOR, ASPIRADORA</t>
  </si>
  <si>
    <t>MANTENIMIENTO EXTINTORES</t>
  </si>
  <si>
    <t>MANTENIMIENTO DE CALDERA</t>
  </si>
  <si>
    <t>MANTENIMIENTO DE PORTON AUTOS</t>
  </si>
  <si>
    <t>MANTENIMIENTO  CERCO ELECTRICO</t>
  </si>
  <si>
    <t>MANTENCION ANUAL COCINA</t>
  </si>
  <si>
    <t>MANTENCION ANUAL CALEFONT</t>
  </si>
  <si>
    <t>MANTENIMIENTO DE TERMO, SALA DE CALDERA</t>
  </si>
  <si>
    <t>REPARACION O MANT. EQUIPOS INFORMATICOS</t>
  </si>
  <si>
    <t>OTROS MANTEN. Y REPARACIONES</t>
  </si>
  <si>
    <t>MANT. Y REP. BARANDAS TERRAZAS DEPARTAMENTOS</t>
  </si>
  <si>
    <t>PLANTA TELEFONICA</t>
  </si>
  <si>
    <t>SERVICIO DE ASEO</t>
  </si>
  <si>
    <t xml:space="preserve">DESRATIZACION </t>
  </si>
  <si>
    <t>DESINSECTACION</t>
  </si>
  <si>
    <t>DIPLOMADO EN GERONTOLOGIA, ENVEJECIMIENTO, EVALUACION, CUIDADOS Y DESAFIOS HOY.</t>
  </si>
  <si>
    <t>MAQUINAS Y EQUIPOS P/LA PRODUCCION</t>
  </si>
  <si>
    <t>ASPIRADORA</t>
  </si>
  <si>
    <t>FRIGOBAR</t>
  </si>
  <si>
    <t>REFRIGERADOR</t>
  </si>
  <si>
    <t>INSTALACION PUERTAS VIAS DE ESCAPE A MITAD DE PASILLOS ALA NORTE Y ESTE, DE ACUERDO A REVISTA DE PREVENCION DE RIESGOS.</t>
  </si>
  <si>
    <t>ESTANQUE DE AGUA DE 1000 LITROS</t>
  </si>
  <si>
    <t>CAMBIO DE TECHUMBRE ALA NORTE</t>
  </si>
  <si>
    <t>MUROS CONTENCION JARDIN</t>
  </si>
  <si>
    <t>ARREGLO CANAL DESAGUE QUEBRADA</t>
  </si>
  <si>
    <t>ARREGLO REJAS DESAGUE JARDIN</t>
  </si>
  <si>
    <t>COMPRA ELEMENTOS DE PRIMEROS AUXILIOS DE ACUERDO A OBSERVACIONES DE REVISTA DE PREVENCIONISTA DE RIESGOS BIENVALP: TABLA ESPINAL LARGA CON INMOVILIZADORES LATERALES Y PULPO DE ESTRICACION, COLLAR CERVICAL RIGIDO, MORRAL DE PRIMEROS AUXILIOS TIPO MOCHILA.</t>
  </si>
  <si>
    <t>CONSOLIDADO CONSUMOS BASICOS 2025</t>
  </si>
  <si>
    <t>DEPENDENCIA</t>
  </si>
  <si>
    <t>VISTA MAR</t>
  </si>
  <si>
    <t>MES</t>
  </si>
  <si>
    <t>GASVALPO</t>
  </si>
  <si>
    <t>CHILQUINTA</t>
  </si>
  <si>
    <t>ESVAL</t>
  </si>
  <si>
    <t>VTR</t>
  </si>
  <si>
    <t xml:space="preserve">Enero </t>
  </si>
  <si>
    <t>Febrero</t>
  </si>
  <si>
    <t>marzo</t>
  </si>
  <si>
    <t>abril</t>
  </si>
  <si>
    <t>mayo</t>
  </si>
  <si>
    <t>junio</t>
  </si>
  <si>
    <t>julio</t>
  </si>
  <si>
    <t>agosto</t>
  </si>
  <si>
    <t>septiembre</t>
  </si>
  <si>
    <t>octubre</t>
  </si>
  <si>
    <t>noviembre</t>
  </si>
  <si>
    <t>diciembre</t>
  </si>
  <si>
    <t>TOTAL ANUAL</t>
  </si>
  <si>
    <t>PROYECCION 2025 (5%)</t>
  </si>
  <si>
    <t>RESIDENCIAL UNIVERSITARIA RECREO</t>
  </si>
  <si>
    <t>FRAZADAS 1.5 PLAZA(1XCAMA)$22.000c/u</t>
  </si>
  <si>
    <t>PAÑOS DE PLATO $ 2,000</t>
  </si>
  <si>
    <t>REPARACIÓN DE GRIETAS DE MUROS EXTERIORES DE CASA</t>
  </si>
  <si>
    <t>PINTURA PARA PINTADO EXTERIOR</t>
  </si>
  <si>
    <t>MANTENCIONES FITTING(VARIOS) BRIGADA REPARACION</t>
  </si>
  <si>
    <t>CAJA DE HERRAMIENTAS</t>
  </si>
  <si>
    <t>POLAR CAMERAS $ 15,000</t>
  </si>
  <si>
    <t>MATERIALES ASEO MES 2 VECES AL AÑO $200,000</t>
  </si>
  <si>
    <t>RENOVACION LOZA $50,000</t>
  </si>
  <si>
    <t>RENOZACION DE VASOS $ 7000</t>
  </si>
  <si>
    <t>RENOVACION OLLAS $ 60.000</t>
  </si>
  <si>
    <t>JUEGO DE TERRAZAX6 PERSONAS</t>
  </si>
  <si>
    <t>MANTENCION DE CALEFONT $45.000</t>
  </si>
  <si>
    <t>MANTENCION COCINA</t>
  </si>
  <si>
    <t>MANTENCION DE EXTINTORESX $12.000</t>
  </si>
  <si>
    <t>GASTOS MENORES FOFI</t>
  </si>
  <si>
    <t>directv internet X 12</t>
  </si>
  <si>
    <t>RESIDENCIAL UNIVERSITARIA SALINAS</t>
  </si>
  <si>
    <t>COLCHAS DE 1.5 PLAZA $22.000</t>
  </si>
  <si>
    <t>PINTURA PARA PINTADO  E EXTERIOR</t>
  </si>
  <si>
    <t>TRAJE CAMARERA CHAQUETA PANTALON $55.000</t>
  </si>
  <si>
    <t>POLAR CAMERAS $ 14,000</t>
  </si>
  <si>
    <t>MATERIALES ASEO MES 2 VECES AL AÑO $ 150,000</t>
  </si>
  <si>
    <t>RENOVACION OLLAS $ 50.000</t>
  </si>
  <si>
    <t>RENOVACION COLCHONES 1.5 PLAZA $ 250.000</t>
  </si>
  <si>
    <t>RENOVACION COLCHONES 1 PLAZA $ 200.000</t>
  </si>
  <si>
    <t>VTR $45.000X12</t>
  </si>
  <si>
    <t>Gastos comunes (Otros arriendos)</t>
  </si>
  <si>
    <t>UNITARIO</t>
  </si>
  <si>
    <t>TOTAL MAS 5%</t>
  </si>
  <si>
    <t>AGUA BIDON</t>
  </si>
  <si>
    <t>FRAZADAS 2 PLAZAS  $22.000 c/u</t>
  </si>
  <si>
    <t>FRAZADAS 1,5 PLAZA(1XCAMA)$19.000 c/u</t>
  </si>
  <si>
    <t>ALMOHADA 50X70 $6000</t>
  </si>
  <si>
    <t>JUEGO SABANAS DE 2 PLAZAS $ 25.000</t>
  </si>
  <si>
    <t>JUEGO SABANAS DE 1 PLAZA $ 22.000</t>
  </si>
  <si>
    <t>COLCHAS DE 2 PLAZAS $ 20.000</t>
  </si>
  <si>
    <t>COLCHAS DE 1,5 PLAZA $15.000</t>
  </si>
  <si>
    <t>TOALLA BAÑO</t>
  </si>
  <si>
    <t>TOALLA MANO</t>
  </si>
  <si>
    <t>CORTINA DE BAÑO</t>
  </si>
  <si>
    <t>CORTINA LIVING 2 PAÑOS</t>
  </si>
  <si>
    <t>SET DE VISILLOS</t>
  </si>
  <si>
    <t>BAJADAS DE CAMA</t>
  </si>
  <si>
    <t>MANTEL MESA COMEDOR</t>
  </si>
  <si>
    <t>PINTURAS, BROCHAS, AGUA RAZ ETC PARA MANTENCION ANUAL</t>
  </si>
  <si>
    <t>MANTENCIONES FITTING(VARIOS), LLAVES, MONOMANDOS, ETC</t>
  </si>
  <si>
    <t>VENTILADOR  PEDESTAL $50.000 C/U</t>
  </si>
  <si>
    <t>LUCES DE EMERGENCIA $15.000</t>
  </si>
  <si>
    <t xml:space="preserve">MATERIALES ASEO </t>
  </si>
  <si>
    <t>JUEGO DE CUBIERTOS PARA 6 PERSONAS</t>
  </si>
  <si>
    <t>KIT PARA ASADO</t>
  </si>
  <si>
    <t>BATERIA DE COCINA</t>
  </si>
  <si>
    <t>JUEGO DE LOZA</t>
  </si>
  <si>
    <t>SET 6 VASOS CORTOS</t>
  </si>
  <si>
    <t>SET 6 VASOS LARGOS</t>
  </si>
  <si>
    <t xml:space="preserve">SET 6 VASOS VINO </t>
  </si>
  <si>
    <t>SET 4 PIEZAS UTENSILIOS DE COCINA</t>
  </si>
  <si>
    <t>SET ENSALADERA</t>
  </si>
  <si>
    <t xml:space="preserve">TACHO DE BASURA PEDAL PARA COCINA </t>
  </si>
  <si>
    <t>ESCURRIDOR DE VAJILLA</t>
  </si>
  <si>
    <t>DISPENSADOR DE LAVALOZAS</t>
  </si>
  <si>
    <t>CAMA 1 PLAZA C/RESPALDO EUROPEA</t>
  </si>
  <si>
    <t>JUEGO COMEDOR DE TERRAZA C/SILLA 6 PERSONAS</t>
  </si>
  <si>
    <t>RENOVACION CAMA EUROPEA 2 PLZ</t>
  </si>
  <si>
    <t>RENOVACION FUTON DIVAN SALA DE ESTAR</t>
  </si>
  <si>
    <t>MESA DE ARRIMO PARA LIVING Y PIEZA</t>
  </si>
  <si>
    <t>FIERROS DE CORTINA BAÑO</t>
  </si>
  <si>
    <t>JUEGO DE DUCHA</t>
  </si>
  <si>
    <t>CUADROS</t>
  </si>
  <si>
    <t>VELADOR PIEZA COMPARTIDA</t>
  </si>
  <si>
    <t>LAMPARA VELADOR</t>
  </si>
  <si>
    <t xml:space="preserve">MANTENCION DE CALEFONT </t>
  </si>
  <si>
    <t xml:space="preserve">MANTENCION DE REFRIGERADORES </t>
  </si>
  <si>
    <t>Planificacion Cabañas Papudo.</t>
  </si>
  <si>
    <t>JUEGO DE SABANAS KING 400 HILOS CABAÑA 14.</t>
  </si>
  <si>
    <t>CUBRE CAMAS DE 2 PLAZAS $ 26.000</t>
  </si>
  <si>
    <t>CUBRE CAMAS 1 PLAZA $21.000</t>
  </si>
  <si>
    <t>PRODUCTOS QUIMICOS OPERACIÓN PISCINA</t>
  </si>
  <si>
    <t>OP. PISCINA</t>
  </si>
  <si>
    <t>CHAPA CABAÑAS</t>
  </si>
  <si>
    <t>PINTURAS VARIAS PARA MANTENCIONES ANUALES</t>
  </si>
  <si>
    <t>MANTENCIONES ILUMINARIA QUINCHOS</t>
  </si>
  <si>
    <t>ESTUFAS ELECTRICAS $95.000</t>
  </si>
  <si>
    <t>TOSTADOR ELECTRICO</t>
  </si>
  <si>
    <t>FOCOS LED PARA CAMINO</t>
  </si>
  <si>
    <t>IMPRESORA PARA RECEPCION</t>
  </si>
  <si>
    <t>POLAR $ 14,000</t>
  </si>
  <si>
    <t>POLERAS PIQUE  $ 11,000</t>
  </si>
  <si>
    <t>PANTALON CARGO $16.000</t>
  </si>
  <si>
    <t>CALZADO SERV. GENERAL</t>
  </si>
  <si>
    <t>CALZADO CAMARERA $ 32.000</t>
  </si>
  <si>
    <t>TINTA PARA IMPRESORA $30.000 X2</t>
  </si>
  <si>
    <t>RESMA, LAPICES, CLIP, SCONCH,GRAPA ETC</t>
  </si>
  <si>
    <t>MATERIALES ASEO 3 VECES AL AÑO</t>
  </si>
  <si>
    <t>OLLAS, VASOS, VAJILLA, ETC</t>
  </si>
  <si>
    <t xml:space="preserve"> SILLA DE ESCRITORIO RECEPCION</t>
  </si>
  <si>
    <t>FUTONES RENOVACION C/U 300,000</t>
  </si>
  <si>
    <t>MANTENCION ANUAL ARTEFACTOS A GAS</t>
  </si>
  <si>
    <t>MANTENCION DE EXTINTORESX 15 $10.000</t>
  </si>
  <si>
    <t xml:space="preserve"> PODA DE PALMERAS Y ARBOLES</t>
  </si>
  <si>
    <t>EMPRESA ASEO ENERO Y FEBRERO</t>
  </si>
  <si>
    <t xml:space="preserve">LAVANDERIA ENERO - FEBRERO - DICIEMBRE </t>
  </si>
  <si>
    <t>LIMPIEZA 2 FOSAS</t>
  </si>
  <si>
    <t>RENOVACION COLCHONES 1 PLAZA $ 190.000X14</t>
  </si>
  <si>
    <t>JUEGOS INFANTILES (COTIZADO EN JUGUERON.CL) M:JPJM-EM03</t>
  </si>
  <si>
    <t>GASTOS EN PERSONAL</t>
  </si>
  <si>
    <t>Personal de Planta</t>
  </si>
  <si>
    <t>Remun. Variables (Viaticos Personal Armada)</t>
  </si>
  <si>
    <t>Otras Remuneraciones</t>
  </si>
  <si>
    <t>Honorarios a suma alzada-Personas Naturales</t>
  </si>
  <si>
    <t>Remuneraciones Código del Trabajo</t>
  </si>
  <si>
    <t>Alumnos en práctica</t>
  </si>
  <si>
    <t>Otras Remuneraciones (Bonos)</t>
  </si>
  <si>
    <t>Otras Remuneraciones (Indemnizaciones)</t>
  </si>
  <si>
    <t>BIENES Y SERVICIOS DE CONSUMO</t>
  </si>
  <si>
    <t>Alimentos y Bebidas</t>
  </si>
  <si>
    <t>Para Personas</t>
  </si>
  <si>
    <t>Textiles Vestuario y Calzados</t>
  </si>
  <si>
    <t>Textiles y Acabados de Textiles</t>
  </si>
  <si>
    <t>Cortinas roller para contenedor $ 350.000</t>
  </si>
  <si>
    <t>Vestuarios accesorios y prendas diversas</t>
  </si>
  <si>
    <t>Poleras manga larga 17 x $ 7.500</t>
  </si>
  <si>
    <t>Pantalón cargo 17 x $ 7.000</t>
  </si>
  <si>
    <t>Gorro para el sol 10 x $ 3.000</t>
  </si>
  <si>
    <t>Calzado</t>
  </si>
  <si>
    <t>Zapatos de seguridad 12 x $ 22.000</t>
  </si>
  <si>
    <t>Combustibles y Lubricantes</t>
  </si>
  <si>
    <t>Para Vehículos</t>
  </si>
  <si>
    <t>Para maquinarias , Equipos de Producción</t>
  </si>
  <si>
    <t>Para Calefacción</t>
  </si>
  <si>
    <t>Para Otros Combustibles</t>
  </si>
  <si>
    <t>Materiales de Uso o Consumo</t>
  </si>
  <si>
    <t>Materiales de Oficina</t>
  </si>
  <si>
    <t>Compra única anual</t>
  </si>
  <si>
    <t>Textos y Otros Materiales de Enseñanza</t>
  </si>
  <si>
    <t>Productos Farmaceuticos</t>
  </si>
  <si>
    <t>Materales y Utiles Quirurgicos</t>
  </si>
  <si>
    <t>Fertilizantes, insecticidas, fungicidas y otros</t>
  </si>
  <si>
    <t>Materiales y Utiles de Aseo</t>
  </si>
  <si>
    <t>Compra anual art. De aseo</t>
  </si>
  <si>
    <t>Menaje para Oficinas, Casinos y Otros</t>
  </si>
  <si>
    <t>Hervidores para cabañas</t>
  </si>
  <si>
    <t>cortinas de baño</t>
  </si>
  <si>
    <t>Insumos, Reptos y Accesorios Computacionales</t>
  </si>
  <si>
    <t>Mat. para mantencion y Repar. de Inmuebles</t>
  </si>
  <si>
    <t>Compra anual para mantención general</t>
  </si>
  <si>
    <t>Reptos. y  Acces. P/Manten. y Repar. de Vehic.</t>
  </si>
  <si>
    <t>Otros Mat., Rep. y Utiles Para Mant. y Repar.</t>
  </si>
  <si>
    <t>Equipos Menores</t>
  </si>
  <si>
    <t>Productos Elab. de Cuero, Caucho y Plásticos</t>
  </si>
  <si>
    <t>Productos Agropecuarios y Forestales</t>
  </si>
  <si>
    <t>Materiales Primas y Semielaborados</t>
  </si>
  <si>
    <t>Otros Materiales de Uso o Consumo</t>
  </si>
  <si>
    <t>Mercaderias P/Comercializacion</t>
  </si>
  <si>
    <t>Servicios Generales P/Comercialización</t>
  </si>
  <si>
    <t>Servicios Básicos</t>
  </si>
  <si>
    <t>Agua</t>
  </si>
  <si>
    <t>Correo</t>
  </si>
  <si>
    <t>Telefonia fija</t>
  </si>
  <si>
    <t>Telefonia Celular</t>
  </si>
  <si>
    <t>Acceso Internet</t>
  </si>
  <si>
    <t>Enlaces de Telecomunicaciones</t>
  </si>
  <si>
    <t>Otros Servicios Básicos</t>
  </si>
  <si>
    <t>Mantenimiento y Reparaciones</t>
  </si>
  <si>
    <t>Mantenimiento y Repar. de Edificaciones</t>
  </si>
  <si>
    <t>Mantenimiento y Repar. de Vehiculos</t>
  </si>
  <si>
    <t>Mantenimiento y Repar. de Mobiliario y Otros</t>
  </si>
  <si>
    <t>Mantenimiento y Repar. de Maq. y Eq. de Oficina</t>
  </si>
  <si>
    <t>Mantenimiento y Repar. de Maq. y Eq. de Produc.</t>
  </si>
  <si>
    <t>Mantenimiento y Repar. de Otras Maq. y Equipos</t>
  </si>
  <si>
    <t>Mantenimiento y Repar. de Equipos Informáticos</t>
  </si>
  <si>
    <t>Otras Mantenciones y Reparaciones</t>
  </si>
  <si>
    <t>Publicidad y Difusion</t>
  </si>
  <si>
    <t>Servicios de Publicidad</t>
  </si>
  <si>
    <t>Servicios de Impresión</t>
  </si>
  <si>
    <t>Servicios de Encuadernación y Empaste</t>
  </si>
  <si>
    <t>Otros Servicios de Publicidad y Difusión</t>
  </si>
  <si>
    <t>Servicios Generales</t>
  </si>
  <si>
    <t>Servicios de Aseo</t>
  </si>
  <si>
    <t>Servicios de Vigilancia</t>
  </si>
  <si>
    <t>Servicios de Mantencion de Jardines</t>
  </si>
  <si>
    <t>Pasajes, Fletes y Bodedajes</t>
  </si>
  <si>
    <t>Salas Cunas y/o Jardines Infantiles</t>
  </si>
  <si>
    <t>Servicios de Pago y  Cobranza</t>
  </si>
  <si>
    <t>Servicios de Suscripción y Similares</t>
  </si>
  <si>
    <t>Servicios de Producción y Desarrollo de Eventos</t>
  </si>
  <si>
    <t>Otros Servicios Generales</t>
  </si>
  <si>
    <t>Mantención Fosas Sépticas 2 x $ 1.100.000.</t>
  </si>
  <si>
    <t>Reparación caminos 2 x $ 1.500.000.</t>
  </si>
  <si>
    <t>Servicios de fumigación 4 x $ 350.000.</t>
  </si>
  <si>
    <t>Retiro Ramas y Arboles 1 x $ 1.500.000.</t>
  </si>
  <si>
    <t>Arriendos</t>
  </si>
  <si>
    <t>Arriendo de Edificios</t>
  </si>
  <si>
    <t>Arriendo de Vehiculos</t>
  </si>
  <si>
    <t>Arriendo de Mobiliario y Otros</t>
  </si>
  <si>
    <t>Arriendo de Maquinas y Equipos</t>
  </si>
  <si>
    <t>Arriendo de Equipos Informaticos</t>
  </si>
  <si>
    <t>Otros Arriendos</t>
  </si>
  <si>
    <t>Servicios Financieros y Seguros</t>
  </si>
  <si>
    <t>Primas y Gastos de Seguros</t>
  </si>
  <si>
    <t>Servicios de Giros y Remesas</t>
  </si>
  <si>
    <t>Gastos Bancarios</t>
  </si>
  <si>
    <t>Otros Servicios Financ. y de Seguros</t>
  </si>
  <si>
    <t>Servicios Tecnicos y Profecionales</t>
  </si>
  <si>
    <t>Estudios e Investigaciones</t>
  </si>
  <si>
    <t>Cursos de Capacitacion</t>
  </si>
  <si>
    <t>Servicios Informaticos</t>
  </si>
  <si>
    <t>Otros Servicios Técnicos y Profesionales</t>
  </si>
  <si>
    <t>Otros Gastos en Bnes. Serv. de Consumo</t>
  </si>
  <si>
    <t>Gastos Menores</t>
  </si>
  <si>
    <t>Fondo Fijo</t>
  </si>
  <si>
    <t>Gtos de Represent., Protocolo y Ceremonial</t>
  </si>
  <si>
    <t>Intereses Multas y Recargos</t>
  </si>
  <si>
    <t>Derechos y Tasas</t>
  </si>
  <si>
    <t>Contribuciones</t>
  </si>
  <si>
    <t>MAQUINAS JARDINERIA</t>
  </si>
  <si>
    <t>Mantención Bombas Piscina 1 x $ 800.000.</t>
  </si>
  <si>
    <t>PARA 2026</t>
  </si>
  <si>
    <t>CARLA JESUSA</t>
  </si>
  <si>
    <t>RAMIREZ HERNANDEZ</t>
  </si>
  <si>
    <t>ARACELY ANGELICA ANT</t>
  </si>
  <si>
    <t>MONICA FEVES</t>
  </si>
  <si>
    <t>ZAVALA ELGUETA</t>
  </si>
  <si>
    <t>ALUMNA EN PRACTICA</t>
  </si>
  <si>
    <t>PIA POLETTE</t>
  </si>
  <si>
    <t>GODOY SALAS</t>
  </si>
  <si>
    <t>MICHAEL ANDRES</t>
  </si>
  <si>
    <t>VILLOUTA RODRIGUEZ</t>
  </si>
  <si>
    <t>ANGELO ALEJANDRO</t>
  </si>
  <si>
    <t>GUTIERREZ TORO</t>
  </si>
  <si>
    <t>NICOLE</t>
  </si>
  <si>
    <t xml:space="preserve">LE BERT DUCASSOU </t>
  </si>
  <si>
    <t>BEATRIZ DE LOURDES</t>
  </si>
  <si>
    <t>LEON POLANCO</t>
  </si>
  <si>
    <t>EVELYN IVONNE</t>
  </si>
  <si>
    <t>LASTRA AGHEMIO</t>
  </si>
  <si>
    <t>SERVICIOS HOTELEROS PART TIME</t>
  </si>
  <si>
    <t>JULIO EDUARDO</t>
  </si>
  <si>
    <t>ALVARADO ESCOBAR</t>
  </si>
  <si>
    <t>SUPERVISOR DE MANTENCION</t>
  </si>
  <si>
    <t xml:space="preserve">Servicio Hotelero (Camarera / Serv.Gral.)  Peak time      </t>
  </si>
  <si>
    <t xml:space="preserve">Servicio Hotelero (Camarera / Serv.Gral.)  Full time </t>
  </si>
  <si>
    <t xml:space="preserve">Asistente Hotelero (Recep/ Control Acceso.) Full Time </t>
  </si>
  <si>
    <t>Asistente Hotelero (Recep/ Control Acceso) Peak Time</t>
  </si>
  <si>
    <t>Asistente Hotelero (Recep/ Control Acceso) Full Time</t>
  </si>
  <si>
    <t>Serv. Gral. Control Piscina</t>
  </si>
  <si>
    <t xml:space="preserve">Servicio Hotelero (Serv. Gral. / Bañero) Full Time P.Bajo </t>
  </si>
  <si>
    <t xml:space="preserve">Salvavidas Full-Time P. Bajo </t>
  </si>
  <si>
    <t>ROCIO CATALINA</t>
  </si>
  <si>
    <t>OLAVE VALENZUELA</t>
  </si>
  <si>
    <t>C.R. LAS SALINAS</t>
  </si>
  <si>
    <t>CARLOS ORLANDO</t>
  </si>
  <si>
    <t>CALDERON FUENTES</t>
  </si>
  <si>
    <t>Salvavidas Full-Time 6X1 Y 5X2</t>
  </si>
  <si>
    <r>
      <t xml:space="preserve">Salvavidas </t>
    </r>
    <r>
      <rPr>
        <b/>
        <sz val="10"/>
        <rFont val="Arial Narrow"/>
        <family val="2"/>
      </rPr>
      <t>Full Time 6X1 Y 5X2</t>
    </r>
  </si>
  <si>
    <t>Salvavidas Full Time</t>
  </si>
  <si>
    <t>KAREM CELINDA</t>
  </si>
  <si>
    <t>CHAPA RAMIREZ</t>
  </si>
  <si>
    <t>RODRIGO IVAN</t>
  </si>
  <si>
    <t>SARIEGO GUTIERREZ</t>
  </si>
  <si>
    <t>FRANCISCA JAVIERA</t>
  </si>
  <si>
    <t>ORTIZ HORMAZABAL</t>
  </si>
  <si>
    <t>VICTOR ALFONSO</t>
  </si>
  <si>
    <t>MENA INSAMI</t>
  </si>
  <si>
    <t>PATRICIA ESTHER</t>
  </si>
  <si>
    <t>FERNANDEZ JIMENEZ</t>
  </si>
  <si>
    <t>ELISA DEL CARMEN</t>
  </si>
  <si>
    <t>GUZMAN MONTOYA</t>
  </si>
  <si>
    <t>YARITZA RAYEN</t>
  </si>
  <si>
    <t>BRAVO VILLAVICENCIO</t>
  </si>
  <si>
    <t xml:space="preserve">ESTEBAN ANDRES </t>
  </si>
  <si>
    <t>ULLOA MILLANO</t>
  </si>
  <si>
    <t>Servicio General Full time (Servicio Hotelero y apoyo limpieza piscina)</t>
  </si>
  <si>
    <t>XXXXXX</t>
  </si>
  <si>
    <t>APOYO ADM. ENFERMERO</t>
  </si>
  <si>
    <t>JOHANNA ANDREA</t>
  </si>
  <si>
    <t>GONZALEZ MALLEA</t>
  </si>
  <si>
    <t>DIRECTV</t>
  </si>
  <si>
    <t>fumigacion</t>
  </si>
  <si>
    <t>PARA VENTA FRIGOBAR, INCLUYE ARTICULOS PARA QUE EL HUESPED SE PUEDA PREPARAR DESAYUNO</t>
  </si>
  <si>
    <t>REPOSICION DE ROPA DE CAMA Y TOALLAS, YA QUE SE PERDIO MUCHO POR MALTRATO EN LAVANDERIA</t>
  </si>
  <si>
    <t>REPARACIONES DE PISO DE PIEZAS Y SIMILARES</t>
  </si>
  <si>
    <t>CAMBIO DE ELECTRODOMESTICOS YA PRONTO A PERDER VIDA UTIL</t>
  </si>
  <si>
    <t>INCLUYE LAVANDERIA,  Y FUMIGACION</t>
  </si>
  <si>
    <t>INCLUYE INSUMOS COMPUTACIONALES COMO TINTAS POR EJEMPLO, APARTE DE PAPELERIA LAPICES ETC</t>
  </si>
  <si>
    <t>REPOSICION DE LOZA Y OLLAS</t>
  </si>
  <si>
    <t>CAMBIO DE CAMAS EN MAL ESTADO, MESAS COMEDOR ETC</t>
  </si>
  <si>
    <t xml:space="preserve">CAMBIO PC RECEPCION JUNTO CON IMPRESORAS </t>
  </si>
  <si>
    <t>COMANDAS, PARTES DE RESERVA, ETC</t>
  </si>
  <si>
    <t>MANTENCIONES VARIAS COMO REFRIGERADORES</t>
  </si>
  <si>
    <t>CALDERA Y EXTINTORES</t>
  </si>
  <si>
    <t>MANTENCION SISTEMA ALARMA INCENDIO, ARREGLOS PIEZAS POR DESGASTES</t>
  </si>
  <si>
    <t>TEL FIJO + INTERNET</t>
  </si>
  <si>
    <t>EMPRESA ASEO, LAVANDERIA, FOSAS</t>
  </si>
  <si>
    <t>GASTOS COMUNES</t>
  </si>
  <si>
    <t>FUMIGACION</t>
  </si>
  <si>
    <t>VTR (TELEFONO - INTERNET- TV)</t>
  </si>
  <si>
    <t>BIDONES DE AGUA</t>
  </si>
  <si>
    <t>CILINDRO GAS 45 CADA 3 MESES</t>
  </si>
  <si>
    <t>ANALISTA ACTIVO FIJO</t>
  </si>
  <si>
    <t>GREECE MARJORIE</t>
  </si>
  <si>
    <t>ANDREOTTI CUEVAS</t>
  </si>
  <si>
    <t>ANALISTA TESORERIA</t>
  </si>
  <si>
    <t>MARIA JESUS</t>
  </si>
  <si>
    <t>RODRIGUEZ GONZALEZ</t>
  </si>
  <si>
    <t>VERONICA ANTHONELLA</t>
  </si>
  <si>
    <t>SALINAS MORGADO</t>
  </si>
  <si>
    <t>OP RRHH (LICENCIA)</t>
  </si>
  <si>
    <t>PSICOLOGO</t>
  </si>
  <si>
    <t>BENITO ISAAC</t>
  </si>
  <si>
    <t>DE LA FUENTE MENESES</t>
  </si>
  <si>
    <t>ASESOR ASISTENCIAS ING. CONST.</t>
  </si>
  <si>
    <t>GABRIEL JESUS</t>
  </si>
  <si>
    <t>TORO TORO</t>
  </si>
  <si>
    <t>ASESOR ASISTENCIAS ITO</t>
  </si>
  <si>
    <t>CLAUDIO ANDRES</t>
  </si>
  <si>
    <t>ZANETTI MUÑOZ</t>
  </si>
  <si>
    <t>JEFE ASIST. HABITACIONAL</t>
  </si>
  <si>
    <t>EDUARDO ANTONIO</t>
  </si>
  <si>
    <t>ARAYA VERGARA</t>
  </si>
  <si>
    <t>JEFE De Poblac. Navales</t>
  </si>
  <si>
    <t>XXXX</t>
  </si>
  <si>
    <t>HUGO CRISTIAN</t>
  </si>
  <si>
    <t>BAACK VASQUEZ</t>
  </si>
  <si>
    <t>PAMELA ANGELICA</t>
  </si>
  <si>
    <t>MARTINEZ ARANCIBIA</t>
  </si>
  <si>
    <t>3 MESES</t>
  </si>
  <si>
    <t xml:space="preserve">JESSICA </t>
  </si>
  <si>
    <t>MEZA LEIVA</t>
  </si>
  <si>
    <t>MARJORIE ANDREA</t>
  </si>
  <si>
    <t>POBLETE GUERRA</t>
  </si>
  <si>
    <t xml:space="preserve">JAVIER </t>
  </si>
  <si>
    <t>NAVAJAS SANTINI</t>
  </si>
  <si>
    <t>JEFE AREA COMERCIAL</t>
  </si>
  <si>
    <t>DISTRIBUTIVO ASISTENCIA COMERCIAL</t>
  </si>
  <si>
    <t>SOFIA ELISA</t>
  </si>
  <si>
    <t>CASTRO VIDELA</t>
  </si>
  <si>
    <t>CATALINA CONSTANZA</t>
  </si>
  <si>
    <t>AHUMADA CALDERON</t>
  </si>
  <si>
    <t xml:space="preserve">ARTURO </t>
  </si>
  <si>
    <t>MANRIQUEZ VILLENA</t>
  </si>
  <si>
    <t>DIGITADOR Y ADMINISTRADOR TI</t>
  </si>
  <si>
    <t>INFORMATICA</t>
  </si>
  <si>
    <t xml:space="preserve">CECILIA </t>
  </si>
  <si>
    <t>CALVO ALVAREZ</t>
  </si>
  <si>
    <t>PROGRAMADOR</t>
  </si>
  <si>
    <t>CH "CORACEROS" Valor no socio</t>
  </si>
  <si>
    <t>HOTEL BORDEPLAZA</t>
  </si>
  <si>
    <t>GENDARMERIA</t>
  </si>
  <si>
    <t>CH. "VIEJOS ESTANDARTES"</t>
  </si>
  <si>
    <t>ACALI MONTEMAR</t>
  </si>
  <si>
    <t>FRAZADAS 2 PLAZAS(1XCAMA)$15.000c/u</t>
  </si>
  <si>
    <t>SE REQUIERE DE LA COMPRA DE NUEVAS FRAZADAS DE AMBAS MEDIDAS</t>
  </si>
  <si>
    <t>FRAZADAS 1 PLAZA(1XCAMA)$18800c/u</t>
  </si>
  <si>
    <t>ALMOHADA 50X70 $5.355</t>
  </si>
  <si>
    <t>JUEGO SABANAS DE 2 PLAZAS $ 29512</t>
  </si>
  <si>
    <t>JUEGO SABANAS DE 1 PLAZA $ 22372</t>
  </si>
  <si>
    <t>COBERTORES DE 2 PLAZAS $ 17838</t>
  </si>
  <si>
    <t>COBERTORES DE 1 PLAZA $14101</t>
  </si>
  <si>
    <t>TOALLAS DE BAÑO $ 8.000</t>
  </si>
  <si>
    <t>TOALLAS DE BAÑO PARA COMPLEMENTAR LAS EXISTENTES</t>
  </si>
  <si>
    <t>BAJADAS DE CAMA $9000</t>
  </si>
  <si>
    <t>TOALLAS DE PISO $ 4.500</t>
  </si>
  <si>
    <t>FALDONES</t>
  </si>
  <si>
    <t>ACEITE MEZCLA PARA CORTADORA Y BENCINA</t>
  </si>
  <si>
    <t>CONSIDERANDO PINTURAS PARA MANTENCIÓN DE INTERIOR Y EXTERIOR DEL HOTEL. JUEGOS, REJAS Y SALAS DE  BOMBA</t>
  </si>
  <si>
    <t>DE EMERGENCIA PATA COMPLEMENTAR LO QUE SE TIENE</t>
  </si>
  <si>
    <t>HERVIDOR $19.990</t>
  </si>
  <si>
    <t>MICROONDAS</t>
  </si>
  <si>
    <t>EL EQUIPO DE LOS MAITENES REQUIERE DE CAMBIO DE VESTUARIO DADO EL USO DEL ACTUAL. SE NECESITA EN ESPECIAL EL CALZADO. LAS BOTAS DE AGUA YA SE COMPRARON ESTE AÑO</t>
  </si>
  <si>
    <t>POLAR CAMARERAS $ 14,000</t>
  </si>
  <si>
    <t>POLAR RECEPCIONISTAS $ 14,000</t>
  </si>
  <si>
    <t>POLERA PIQUE RECEPCIONISTA$ 11.000</t>
  </si>
  <si>
    <t>POLAR SERV GENERAL $14,000</t>
  </si>
  <si>
    <t>PANTALON GABARDINA SERV.GENERAL$16.000</t>
  </si>
  <si>
    <t>POLERAS PIQUE SER.GENERAL $ 11,000</t>
  </si>
  <si>
    <t>CALZADO SERV. GENERAL $50.000</t>
  </si>
  <si>
    <t>SE REQUIERE DE CALZADO POR RENOVACION</t>
  </si>
  <si>
    <t>CALZADO CAMARERA MOCASIN $ 40.000</t>
  </si>
  <si>
    <t xml:space="preserve">SE CALCULA EL USO DE 4 CAJAS ANUALES </t>
  </si>
  <si>
    <t>TINTAS DE IMPRESORA</t>
  </si>
  <si>
    <t>PARA DOS CAJAS DE TINTAS ANUALES</t>
  </si>
  <si>
    <t>CINTAS SANITIZADO $ 170,000</t>
  </si>
  <si>
    <t>PARTES DE RESERVAS $ 3.900</t>
  </si>
  <si>
    <t>MATERIALES ASEO MES POR MEDIO X  ANUAL $ 220,000</t>
  </si>
  <si>
    <t>PAPELERO DE BAÑO (20)</t>
  </si>
  <si>
    <t>SE REQUIERE PARA CAMBIO</t>
  </si>
  <si>
    <t>CEPILLO DE BAÑO</t>
  </si>
  <si>
    <t>MANTENCION TRACTOR GRANDE</t>
  </si>
  <si>
    <t>REALIZADA POR VNZ y corresponde a las 300 horas de uso</t>
  </si>
  <si>
    <t>MANTENCION TRACTOR CHICO</t>
  </si>
  <si>
    <t xml:space="preserve">REALIZADA POR EBERLEIN </t>
  </si>
  <si>
    <t>MANTENCION MAQUINARIA JARDINERIA</t>
  </si>
  <si>
    <t xml:space="preserve">REPARACION DE CANALETAS </t>
  </si>
  <si>
    <t>COTIZACION AL 2024</t>
  </si>
  <si>
    <t>MANTENCION DE EXTINTORESX 16 $10.000</t>
  </si>
  <si>
    <t>CIERRE PERIMETRAL SECTOR PANDERETAS ROTAS POR LLUVIAS</t>
  </si>
  <si>
    <t>AMENITIES 280.000X3</t>
  </si>
  <si>
    <t>LIMPIEZA FOSAS</t>
  </si>
  <si>
    <t>directv para habilitar 12 habit. $9,000 c/deco</t>
  </si>
  <si>
    <t>starlink valor uf mensual 9</t>
  </si>
  <si>
    <t xml:space="preserve">MANTENCION DE CALEFONT, COCINAS </t>
  </si>
  <si>
    <t>Productos Quimicos (quimicos y calidad agua)</t>
  </si>
  <si>
    <t>Articulos para limpieza de piscina</t>
  </si>
  <si>
    <t>Compra anual de insumos para botiquín+bloqueador</t>
  </si>
  <si>
    <t>bloqueador solar</t>
  </si>
  <si>
    <t>10 mil pulseras</t>
  </si>
  <si>
    <t>directv</t>
  </si>
  <si>
    <t>RESUMEN COSTOS POR OP. PISCINA</t>
  </si>
  <si>
    <t>JARDINERIA</t>
  </si>
  <si>
    <t>NN</t>
  </si>
  <si>
    <t>CONTROL FACTURAS Y MULTAS</t>
  </si>
  <si>
    <t>VARIOS</t>
  </si>
  <si>
    <t xml:space="preserve">Servicio General Full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</si>
</sst>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_-&quot;$&quot;\ * #,##0_-;\-&quot;$&quot;\ * #,##0_-;_-&quot;$&quot;\ * &quot;-&quot;_-;_-@_-"/>
    <numFmt numFmtId="165" formatCode="_-&quot;$&quot;\ * #,##0.00_-;\-&quot;$&quot;\ * #,##0.00_-;_-&quot;$&quot;\ * &quot;-&quot;??_-;_-@_-"/>
    <numFmt numFmtId="166" formatCode="0\ %"/>
    <numFmt numFmtId="167" formatCode="_-\$* #,##0.00_-;&quot;-$&quot;* #,##0.00_-;_-\$* \-??_-;_-@_-"/>
    <numFmt numFmtId="168" formatCode="_-&quot;$ &quot;* #,##0_-;&quot;-$ &quot;* #,##0_-;_-&quot;$ &quot;* \-_-;_-@_-"/>
    <numFmt numFmtId="169" formatCode="#,##0_ ;[Red]\-#,##0\ "/>
    <numFmt numFmtId="170" formatCode="_-\ * #,##0_-;&quot;$ &quot;* #,##0_-;_-\ * \-_-;_-@_-"/>
    <numFmt numFmtId="171" formatCode="_-&quot;$&quot;* #,##0_-;\-&quot;$&quot;* #,##0_-;_-&quot;$&quot;* &quot;-&quot;??_-;_-@_-"/>
    <numFmt numFmtId="172" formatCode="0.0%"/>
    <numFmt numFmtId="173" formatCode="#,##0_ ;\-#,##0\ "/>
    <numFmt numFmtId="174" formatCode="_-* #,##0.0_-;\-* #,##0.0_-;_-* \-??_-;_-@_-"/>
    <numFmt numFmtId="175" formatCode="_(* #,##0_);_(* \(#,##0\);_(* \-_);_(@_)"/>
    <numFmt numFmtId="176" formatCode="_-* #,##0_-;\-* #,##0_-;_-* \-??_-;_-@_-"/>
    <numFmt numFmtId="177" formatCode="_(* #,##0_);_(* \(#,##0\);_(* &quot;-&quot;??_);_(@_)"/>
    <numFmt numFmtId="178" formatCode="\$#,##0_);&quot;($&quot;#,##0\)"/>
    <numFmt numFmtId="179" formatCode="&quot;$&quot;\ #,##0"/>
    <numFmt numFmtId="180" formatCode="_-[$$-340A]\ * #,##0_-;\-[$$-340A]\ * #,##0_-;_-[$$-340A]\ * &quot;-&quot;??_-;_-@_-"/>
    <numFmt numFmtId="181" formatCode="_-\$* #,##0_-;&quot;-$&quot;* #,##0_-;_-\$* \-??_-;_-@_-"/>
    <numFmt numFmtId="182" formatCode="0.0000"/>
    <numFmt numFmtId="183" formatCode="0.0\ %"/>
    <numFmt numFmtId="184" formatCode="0.00\ %"/>
    <numFmt numFmtId="185" formatCode="_-&quot;$&quot;\ * #,##0_-;\-&quot;$&quot;\ * #,##0_-;_-&quot;$&quot;\ * &quot;-&quot;??_-;_-@_-"/>
    <numFmt numFmtId="186" formatCode="&quot;$ &quot;#,##0"/>
    <numFmt numFmtId="187" formatCode="&quot;$&quot;#,##0"/>
    <numFmt numFmtId="188" formatCode="#,##0.000"/>
    <numFmt numFmtId="189" formatCode="0.00000000000000000000000E+00"/>
  </numFmts>
  <fonts count="7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indexed="10"/>
      <name val="Arial"/>
      <family val="2"/>
    </font>
    <font>
      <b/>
      <sz val="10"/>
      <name val="Arial"/>
      <family val="2"/>
    </font>
    <font>
      <b/>
      <sz val="10"/>
      <color indexed="40"/>
      <name val="Arial"/>
      <family val="2"/>
    </font>
    <font>
      <sz val="10"/>
      <name val="Arial"/>
      <family val="2"/>
    </font>
    <font>
      <b/>
      <sz val="12"/>
      <name val="Arial"/>
      <family val="2"/>
    </font>
    <font>
      <b/>
      <sz val="10"/>
      <color theme="0"/>
      <name val="Arial"/>
      <family val="2"/>
    </font>
    <font>
      <b/>
      <sz val="10"/>
      <color theme="1"/>
      <name val="Arial"/>
      <family val="2"/>
    </font>
    <font>
      <b/>
      <sz val="10"/>
      <color rgb="FFFF0000"/>
      <name val="Arial"/>
      <family val="2"/>
    </font>
    <font>
      <b/>
      <sz val="12"/>
      <color theme="0"/>
      <name val="Arial"/>
      <family val="2"/>
    </font>
    <font>
      <b/>
      <sz val="11"/>
      <name val="Arial"/>
      <family val="2"/>
    </font>
    <font>
      <b/>
      <sz val="10"/>
      <color indexed="8"/>
      <name val="Arial"/>
      <family val="2"/>
    </font>
    <font>
      <sz val="10"/>
      <color indexed="8"/>
      <name val="Arial"/>
      <family val="2"/>
    </font>
    <font>
      <sz val="11"/>
      <color indexed="8"/>
      <name val="Calibri"/>
      <family val="2"/>
    </font>
    <font>
      <b/>
      <u/>
      <sz val="12"/>
      <color rgb="FF0000CC"/>
      <name val="Arial"/>
      <family val="2"/>
    </font>
    <font>
      <b/>
      <sz val="10"/>
      <color indexed="9"/>
      <name val="Arial"/>
      <family val="2"/>
    </font>
    <font>
      <b/>
      <sz val="16"/>
      <name val="Arial"/>
      <family val="2"/>
    </font>
    <font>
      <sz val="10"/>
      <color theme="1"/>
      <name val="Arial"/>
      <family val="2"/>
    </font>
    <font>
      <sz val="10"/>
      <color rgb="FFFF0000"/>
      <name val="Arial"/>
      <family val="2"/>
    </font>
    <font>
      <b/>
      <u/>
      <sz val="10"/>
      <name val="Arial"/>
      <family val="2"/>
    </font>
    <font>
      <sz val="10"/>
      <color rgb="FF000000"/>
      <name val="Arial"/>
      <family val="2"/>
    </font>
    <font>
      <b/>
      <u/>
      <sz val="12"/>
      <name val="Arial"/>
      <family val="2"/>
    </font>
    <font>
      <sz val="10"/>
      <color theme="0"/>
      <name val="Arial"/>
      <family val="2"/>
    </font>
    <font>
      <b/>
      <sz val="9"/>
      <name val="Arial"/>
      <family val="2"/>
    </font>
    <font>
      <sz val="9"/>
      <name val="Arial"/>
      <family val="2"/>
    </font>
    <font>
      <b/>
      <u/>
      <sz val="11"/>
      <color theme="1"/>
      <name val="Calibri"/>
      <family val="2"/>
      <scheme val="minor"/>
    </font>
    <font>
      <b/>
      <sz val="14"/>
      <name val="Arial"/>
      <family val="2"/>
    </font>
    <font>
      <sz val="11"/>
      <color rgb="FFFF0000"/>
      <name val="Calibri"/>
      <family val="2"/>
      <scheme val="minor"/>
    </font>
    <font>
      <sz val="11"/>
      <name val="Calibri"/>
      <family val="2"/>
      <scheme val="minor"/>
    </font>
    <font>
      <sz val="11"/>
      <color indexed="8"/>
      <name val="Calibri"/>
      <family val="2"/>
      <scheme val="minor"/>
    </font>
    <font>
      <sz val="11"/>
      <color rgb="FF000000"/>
      <name val="Calibri"/>
      <family val="2"/>
      <scheme val="minor"/>
    </font>
    <font>
      <b/>
      <sz val="12"/>
      <name val="Arial"/>
      <family val="2"/>
      <charset val="1"/>
    </font>
    <font>
      <b/>
      <sz val="11"/>
      <name val="Calibri"/>
      <family val="2"/>
      <scheme val="minor"/>
    </font>
    <font>
      <b/>
      <sz val="9"/>
      <color indexed="81"/>
      <name val="Tahoma"/>
      <family val="2"/>
    </font>
    <font>
      <sz val="9"/>
      <color indexed="81"/>
      <name val="Tahoma"/>
      <family val="2"/>
    </font>
    <font>
      <sz val="12"/>
      <color theme="1"/>
      <name val="Arial"/>
      <family val="2"/>
    </font>
    <font>
      <b/>
      <sz val="11"/>
      <color theme="1"/>
      <name val="Arial"/>
      <family val="2"/>
    </font>
    <font>
      <sz val="10"/>
      <name val="Arial Narrow"/>
      <family val="2"/>
    </font>
    <font>
      <b/>
      <sz val="11"/>
      <color theme="0"/>
      <name val="Calibri"/>
      <family val="2"/>
      <scheme val="minor"/>
    </font>
    <font>
      <b/>
      <sz val="11"/>
      <color indexed="10"/>
      <name val="Calibri"/>
      <family val="2"/>
      <scheme val="minor"/>
    </font>
    <font>
      <b/>
      <sz val="11"/>
      <color indexed="40"/>
      <name val="Calibri"/>
      <family val="2"/>
      <scheme val="minor"/>
    </font>
    <font>
      <b/>
      <sz val="11"/>
      <color rgb="FF0000CC"/>
      <name val="Calibri"/>
      <family val="2"/>
      <scheme val="minor"/>
    </font>
    <font>
      <sz val="11"/>
      <color theme="1"/>
      <name val="Arial Narrow"/>
      <family val="2"/>
    </font>
    <font>
      <b/>
      <sz val="10"/>
      <name val="Arial Narrow"/>
      <family val="2"/>
    </font>
    <font>
      <b/>
      <sz val="10"/>
      <color indexed="8"/>
      <name val="Arial Narrow"/>
      <family val="2"/>
    </font>
    <font>
      <b/>
      <sz val="9"/>
      <name val="Arial Narrow"/>
      <family val="2"/>
    </font>
    <font>
      <sz val="10"/>
      <color indexed="8"/>
      <name val="Arial Narrow"/>
      <family val="2"/>
    </font>
    <font>
      <b/>
      <sz val="8"/>
      <color rgb="FF000000"/>
      <name val="Arial Narrow"/>
      <family val="2"/>
    </font>
    <font>
      <sz val="9"/>
      <color indexed="8"/>
      <name val="Arial Narrow"/>
      <family val="2"/>
    </font>
    <font>
      <sz val="9"/>
      <name val="Arial Narrow"/>
      <family val="2"/>
    </font>
    <font>
      <sz val="9"/>
      <color theme="1"/>
      <name val="Arial Narrow"/>
      <family val="2"/>
    </font>
    <font>
      <b/>
      <sz val="10"/>
      <color theme="1"/>
      <name val="Arial Narrow"/>
      <family val="2"/>
    </font>
    <font>
      <sz val="9"/>
      <color indexed="8"/>
      <name val="Arial"/>
      <family val="2"/>
    </font>
    <font>
      <sz val="10"/>
      <color theme="1"/>
      <name val="Arial Narrow"/>
      <family val="2"/>
    </font>
    <font>
      <b/>
      <sz val="10"/>
      <color rgb="FFFF0000"/>
      <name val="Arial Narrow"/>
      <family val="2"/>
    </font>
    <font>
      <i/>
      <sz val="10"/>
      <name val="Arial Narrow"/>
      <family val="2"/>
    </font>
    <font>
      <sz val="10"/>
      <color rgb="FFFF0000"/>
      <name val="Arial Narrow"/>
      <family val="2"/>
    </font>
    <font>
      <b/>
      <sz val="14"/>
      <color theme="1"/>
      <name val="Arial"/>
      <family val="2"/>
    </font>
    <font>
      <b/>
      <sz val="12"/>
      <color indexed="8"/>
      <name val="Arial"/>
      <family val="2"/>
    </font>
    <font>
      <sz val="12"/>
      <name val="Arial"/>
      <family val="2"/>
    </font>
    <font>
      <sz val="12"/>
      <color indexed="8"/>
      <name val="Arial"/>
      <family val="2"/>
    </font>
    <font>
      <sz val="11"/>
      <color theme="1"/>
      <name val="Arial"/>
      <family val="2"/>
    </font>
    <font>
      <u val="singleAccounting"/>
      <sz val="10"/>
      <name val="Arial"/>
      <family val="2"/>
    </font>
    <font>
      <b/>
      <sz val="12"/>
      <name val="Calibri"/>
      <family val="2"/>
      <scheme val="minor"/>
    </font>
    <font>
      <sz val="12"/>
      <name val="Calibri"/>
      <family val="2"/>
      <scheme val="minor"/>
    </font>
    <font>
      <b/>
      <sz val="11"/>
      <color theme="0"/>
      <name val="Arial"/>
      <family val="2"/>
    </font>
    <font>
      <sz val="11"/>
      <name val="Arial"/>
      <family val="2"/>
    </font>
    <font>
      <sz val="11"/>
      <color rgb="FF0070C0"/>
      <name val="Calibri"/>
      <family val="2"/>
      <scheme val="minor"/>
    </font>
    <font>
      <sz val="9"/>
      <color theme="1"/>
      <name val="Arial"/>
      <family val="2"/>
    </font>
    <font>
      <i/>
      <sz val="10"/>
      <name val="Arial"/>
      <family val="2"/>
    </font>
    <font>
      <sz val="12"/>
      <name val="Arial Narrow"/>
      <family val="2"/>
    </font>
    <font>
      <u/>
      <sz val="9"/>
      <color indexed="81"/>
      <name val="Tahoma"/>
      <family val="2"/>
    </font>
    <font>
      <b/>
      <u/>
      <sz val="10"/>
      <color theme="1"/>
      <name val="Arial Narrow"/>
      <family val="2"/>
    </font>
    <font>
      <b/>
      <sz val="10"/>
      <color theme="3" tint="0.79998168889431442"/>
      <name val="Arial"/>
      <family val="2"/>
    </font>
    <font>
      <b/>
      <sz val="16"/>
      <color rgb="FFFF0000"/>
      <name val="Calibri"/>
      <family val="2"/>
      <scheme val="minor"/>
    </font>
    <font>
      <sz val="11"/>
      <name val="Arial Narrow"/>
      <family val="2"/>
    </font>
  </fonts>
  <fills count="100">
    <fill>
      <patternFill patternType="none"/>
    </fill>
    <fill>
      <patternFill patternType="gray125"/>
    </fill>
    <fill>
      <patternFill patternType="solid">
        <fgColor rgb="FFFFFF00"/>
        <bgColor indexed="64"/>
      </patternFill>
    </fill>
    <fill>
      <patternFill patternType="solid">
        <fgColor theme="0" tint="-0.249977111117893"/>
        <bgColor indexed="26"/>
      </patternFill>
    </fill>
    <fill>
      <patternFill patternType="solid">
        <fgColor theme="3"/>
        <bgColor indexed="26"/>
      </patternFill>
    </fill>
    <fill>
      <patternFill patternType="solid">
        <fgColor theme="5" tint="0.39997558519241921"/>
        <bgColor indexed="26"/>
      </patternFill>
    </fill>
    <fill>
      <patternFill patternType="solid">
        <fgColor rgb="FFC00000"/>
        <bgColor indexed="26"/>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gray125">
        <bgColor rgb="FFFFFF99"/>
      </patternFill>
    </fill>
    <fill>
      <patternFill patternType="solid">
        <fgColor indexed="9"/>
        <bgColor indexed="26"/>
      </patternFill>
    </fill>
    <fill>
      <patternFill patternType="solid">
        <fgColor theme="3" tint="-0.249977111117893"/>
        <bgColor indexed="24"/>
      </patternFill>
    </fill>
    <fill>
      <patternFill patternType="solid">
        <fgColor theme="3" tint="0.39997558519241921"/>
        <bgColor indexed="26"/>
      </patternFill>
    </fill>
    <fill>
      <patternFill patternType="gray125">
        <bgColor indexed="9"/>
      </patternFill>
    </fill>
    <fill>
      <patternFill patternType="solid">
        <fgColor theme="3" tint="0.79998168889431442"/>
        <bgColor indexed="24"/>
      </patternFill>
    </fill>
    <fill>
      <patternFill patternType="gray125">
        <fgColor indexed="26"/>
        <bgColor indexed="9"/>
      </patternFill>
    </fill>
    <fill>
      <patternFill patternType="gray125">
        <fgColor indexed="24"/>
        <bgColor theme="3" tint="0.79998168889431442"/>
      </patternFill>
    </fill>
    <fill>
      <patternFill patternType="solid">
        <fgColor theme="3" tint="0.39997558519241921"/>
        <bgColor indexed="44"/>
      </patternFill>
    </fill>
    <fill>
      <patternFill patternType="solid">
        <fgColor rgb="FFFFFF00"/>
        <bgColor indexed="26"/>
      </patternFill>
    </fill>
    <fill>
      <patternFill patternType="solid">
        <fgColor rgb="FFFFFFFF"/>
        <bgColor indexed="64"/>
      </patternFill>
    </fill>
    <fill>
      <patternFill patternType="solid">
        <fgColor theme="0" tint="-0.249977111117893"/>
        <bgColor indexed="24"/>
      </patternFill>
    </fill>
    <fill>
      <patternFill patternType="gray125">
        <bgColor theme="0"/>
      </patternFill>
    </fill>
    <fill>
      <patternFill patternType="gray125">
        <bgColor theme="4" tint="0.79998168889431442"/>
      </patternFill>
    </fill>
    <fill>
      <patternFill patternType="solid">
        <fgColor theme="0"/>
        <bgColor indexed="64"/>
      </patternFill>
    </fill>
    <fill>
      <patternFill patternType="solid">
        <fgColor theme="0" tint="-0.249977111117893"/>
        <bgColor indexed="44"/>
      </patternFill>
    </fill>
    <fill>
      <patternFill patternType="solid">
        <fgColor theme="5" tint="0.39997558519241921"/>
        <bgColor indexed="24"/>
      </patternFill>
    </fill>
    <fill>
      <patternFill patternType="solid">
        <fgColor theme="5" tint="0.39997558519241921"/>
        <bgColor indexed="40"/>
      </patternFill>
    </fill>
    <fill>
      <patternFill patternType="solid">
        <fgColor theme="5" tint="0.39994506668294322"/>
        <bgColor auto="1"/>
      </patternFill>
    </fill>
    <fill>
      <patternFill patternType="gray125">
        <fgColor auto="1"/>
        <bgColor theme="5" tint="0.39997558519241921"/>
      </patternFill>
    </fill>
    <fill>
      <patternFill patternType="solid">
        <fgColor theme="5" tint="0.79998168889431442"/>
        <bgColor indexed="24"/>
      </patternFill>
    </fill>
    <fill>
      <patternFill patternType="gray125">
        <fgColor auto="1"/>
        <bgColor theme="5" tint="0.79998168889431442"/>
      </patternFill>
    </fill>
    <fill>
      <patternFill patternType="gray125">
        <bgColor theme="3" tint="0.79998168889431442"/>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39997558519241921"/>
        <bgColor indexed="24"/>
      </patternFill>
    </fill>
    <fill>
      <patternFill patternType="gray125">
        <fgColor auto="1"/>
        <bgColor theme="3" tint="0.39997558519241921"/>
      </patternFill>
    </fill>
    <fill>
      <patternFill patternType="solid">
        <fgColor indexed="1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00B0F0"/>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0" tint="-0.14999847407452621"/>
        <bgColor indexed="64"/>
      </patternFill>
    </fill>
    <fill>
      <patternFill patternType="gray125">
        <bgColor theme="0" tint="-0.14999847407452621"/>
      </patternFill>
    </fill>
    <fill>
      <patternFill patternType="solid">
        <fgColor theme="2"/>
        <bgColor indexed="64"/>
      </patternFill>
    </fill>
    <fill>
      <patternFill patternType="gray125">
        <bgColor rgb="FFFFFF00"/>
      </patternFill>
    </fill>
    <fill>
      <patternFill patternType="solid">
        <fgColor rgb="FF002060"/>
        <bgColor indexed="64"/>
      </patternFill>
    </fill>
    <fill>
      <patternFill patternType="solid">
        <fgColor theme="0" tint="-0.14999847407452621"/>
        <bgColor theme="4" tint="0.79998168889431442"/>
      </patternFill>
    </fill>
    <fill>
      <patternFill patternType="solid">
        <fgColor theme="4" tint="0.79998168889431442"/>
        <bgColor theme="4" tint="0.79998168889431442"/>
      </patternFill>
    </fill>
    <fill>
      <patternFill patternType="solid">
        <fgColor rgb="FFFFFF00"/>
        <bgColor rgb="FFDFDF00"/>
      </patternFill>
    </fill>
    <fill>
      <patternFill patternType="solid">
        <fgColor theme="4" tint="0.59999389629810485"/>
        <bgColor rgb="FFDFDF00"/>
      </patternFill>
    </fill>
    <fill>
      <patternFill patternType="solid">
        <fgColor rgb="FFFFFF00"/>
        <bgColor rgb="FF000000"/>
      </patternFill>
    </fill>
    <fill>
      <patternFill patternType="solid">
        <fgColor rgb="FF95B3D7"/>
        <bgColor rgb="FF8EB7E5"/>
      </patternFill>
    </fill>
    <fill>
      <patternFill patternType="solid">
        <fgColor rgb="FFFFFFFF"/>
        <bgColor rgb="FFFFFFF2"/>
      </patternFill>
    </fill>
    <fill>
      <patternFill patternType="solid">
        <fgColor rgb="FFD99694"/>
        <bgColor rgb="FFBD9CA1"/>
      </patternFill>
    </fill>
    <fill>
      <patternFill patternType="solid">
        <fgColor indexed="6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gray125">
        <bgColor theme="7" tint="0.39997558519241921"/>
      </patternFill>
    </fill>
    <fill>
      <patternFill patternType="gray125">
        <bgColor theme="4" tint="0.59999389629810485"/>
      </patternFill>
    </fill>
    <fill>
      <patternFill patternType="gray125">
        <bgColor theme="9" tint="0.59999389629810485"/>
      </patternFill>
    </fill>
    <fill>
      <patternFill patternType="lightGray">
        <bgColor theme="4" tint="0.39994506668294322"/>
      </patternFill>
    </fill>
    <fill>
      <patternFill patternType="solid">
        <fgColor theme="7" tint="0.79998168889431442"/>
        <bgColor indexed="64"/>
      </patternFill>
    </fill>
    <fill>
      <patternFill patternType="gray125">
        <bgColor theme="7" tint="0.79998168889431442"/>
      </patternFill>
    </fill>
    <fill>
      <patternFill patternType="solid">
        <fgColor theme="7" tint="0.79998168889431442"/>
        <bgColor indexed="26"/>
      </patternFill>
    </fill>
    <fill>
      <patternFill patternType="solid">
        <fgColor theme="7" tint="0.79998168889431442"/>
        <bgColor indexed="24"/>
      </patternFill>
    </fill>
    <fill>
      <patternFill patternType="gray125">
        <fgColor indexed="24"/>
        <bgColor theme="7" tint="0.79998168889431442"/>
      </patternFill>
    </fill>
    <fill>
      <patternFill patternType="lightGray">
        <bgColor rgb="FFFFFF00"/>
      </patternFill>
    </fill>
    <fill>
      <patternFill patternType="lightGray">
        <bgColor theme="7" tint="0.39994506668294322"/>
      </patternFill>
    </fill>
    <fill>
      <patternFill patternType="lightGray">
        <bgColor theme="4" tint="0.59999389629810485"/>
      </patternFill>
    </fill>
    <fill>
      <patternFill patternType="solid">
        <fgColor theme="3" tint="0.79995117038483843"/>
        <bgColor indexed="64"/>
      </patternFill>
    </fill>
    <fill>
      <patternFill patternType="gray125">
        <bgColor theme="0" tint="-0.14993743705557422"/>
      </patternFill>
    </fill>
    <fill>
      <patternFill patternType="gray125">
        <bgColor theme="3" tint="0.79995117038483843"/>
      </patternFill>
    </fill>
    <fill>
      <patternFill patternType="gray125">
        <bgColor theme="0" tint="-0.14996795556505021"/>
      </patternFill>
    </fill>
    <fill>
      <patternFill patternType="solid">
        <fgColor theme="0" tint="-0.14996795556505021"/>
        <bgColor indexed="64"/>
      </patternFill>
    </fill>
    <fill>
      <patternFill patternType="solid">
        <fgColor theme="4" tint="-0.249977111117893"/>
        <bgColor indexed="64"/>
      </patternFill>
    </fill>
    <fill>
      <patternFill patternType="solid">
        <fgColor theme="4" tint="-0.249977111117893"/>
        <bgColor indexed="24"/>
      </patternFill>
    </fill>
    <fill>
      <patternFill patternType="solid">
        <fgColor theme="7"/>
        <bgColor indexed="64"/>
      </patternFill>
    </fill>
    <fill>
      <patternFill patternType="gray125">
        <bgColor rgb="FF00B0F0"/>
      </patternFill>
    </fill>
    <fill>
      <patternFill patternType="solid">
        <fgColor theme="0" tint="-4.9989318521683403E-2"/>
        <bgColor indexed="64"/>
      </patternFill>
    </fill>
    <fill>
      <patternFill patternType="solid">
        <fgColor rgb="FF92D050"/>
        <bgColor indexed="64"/>
      </patternFill>
    </fill>
    <fill>
      <patternFill patternType="solid">
        <fgColor theme="0"/>
        <bgColor indexed="24"/>
      </patternFill>
    </fill>
    <fill>
      <patternFill patternType="solid">
        <fgColor rgb="FFCCFF66"/>
        <bgColor indexed="64"/>
      </patternFill>
    </fill>
    <fill>
      <patternFill patternType="solid">
        <fgColor rgb="FF99FF99"/>
        <bgColor indexed="64"/>
      </patternFill>
    </fill>
    <fill>
      <patternFill patternType="solid">
        <fgColor rgb="FF99FF33"/>
        <bgColor indexed="64"/>
      </patternFill>
    </fill>
    <fill>
      <patternFill patternType="solid">
        <fgColor rgb="FFFFFF00"/>
        <bgColor indexed="2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indexed="50"/>
        <bgColor indexed="64"/>
      </patternFill>
    </fill>
    <fill>
      <patternFill patternType="solid">
        <fgColor indexed="30"/>
        <bgColor indexed="64"/>
      </patternFill>
    </fill>
  </fills>
  <borders count="539">
    <border>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medium">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bottom style="medium">
        <color indexed="64"/>
      </bottom>
      <diagonal/>
    </border>
    <border>
      <left/>
      <right/>
      <top style="thin">
        <color indexed="8"/>
      </top>
      <bottom style="medium">
        <color indexed="64"/>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auto="1"/>
      </bottom>
      <diagonal/>
    </border>
    <border>
      <left/>
      <right style="thin">
        <color indexed="8"/>
      </right>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style="medium">
        <color auto="1"/>
      </left>
      <right style="medium">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auto="1"/>
      </left>
      <right style="medium">
        <color indexed="64"/>
      </right>
      <top style="thin">
        <color auto="1"/>
      </top>
      <bottom style="medium">
        <color indexed="64"/>
      </bottom>
      <diagonal/>
    </border>
    <border>
      <left/>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thin">
        <color auto="1"/>
      </right>
      <top style="medium">
        <color indexed="64"/>
      </top>
      <bottom style="thin">
        <color auto="1"/>
      </bottom>
      <diagonal/>
    </border>
    <border>
      <left/>
      <right style="thin">
        <color indexed="64"/>
      </right>
      <top style="thin">
        <color indexed="64"/>
      </top>
      <bottom style="medium">
        <color indexed="64"/>
      </bottom>
      <diagonal/>
    </border>
    <border>
      <left style="medium">
        <color indexed="64"/>
      </left>
      <right style="medium">
        <color indexed="64"/>
      </right>
      <top style="thin">
        <color auto="1"/>
      </top>
      <bottom/>
      <diagonal/>
    </border>
    <border>
      <left/>
      <right/>
      <top style="thin">
        <color auto="1"/>
      </top>
      <bottom/>
      <diagonal/>
    </border>
    <border>
      <left/>
      <right style="medium">
        <color indexed="64"/>
      </right>
      <top style="thin">
        <color auto="1"/>
      </top>
      <bottom/>
      <diagonal/>
    </border>
    <border>
      <left style="thin">
        <color indexed="64"/>
      </left>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right/>
      <top style="thin">
        <color indexed="8"/>
      </top>
      <bottom/>
      <diagonal/>
    </border>
    <border>
      <left style="thin">
        <color indexed="64"/>
      </left>
      <right style="thin">
        <color auto="1"/>
      </right>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8"/>
      </top>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8"/>
      </top>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indexed="64"/>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auto="1"/>
      </left>
      <right/>
      <top/>
      <bottom style="medium">
        <color indexed="64"/>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right style="medium">
        <color auto="1"/>
      </right>
      <top/>
      <bottom style="medium">
        <color auto="1"/>
      </bottom>
      <diagonal/>
    </border>
    <border>
      <left style="thin">
        <color indexed="64"/>
      </left>
      <right/>
      <top/>
      <bottom style="medium">
        <color indexed="64"/>
      </bottom>
      <diagonal/>
    </border>
    <border>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thin">
        <color auto="1"/>
      </top>
      <bottom/>
      <diagonal/>
    </border>
    <border>
      <left style="thin">
        <color rgb="FF0070C0"/>
      </left>
      <right style="thin">
        <color rgb="FF0070C0"/>
      </right>
      <top/>
      <bottom style="thin">
        <color rgb="FF0070C0"/>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auto="1"/>
      </top>
      <bottom style="thin">
        <color auto="1"/>
      </bottom>
      <diagonal/>
    </border>
    <border>
      <left style="thin">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indexed="64"/>
      </right>
      <top style="thin">
        <color auto="1"/>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auto="1"/>
      </left>
      <right/>
      <top/>
      <bottom style="thin">
        <color auto="1"/>
      </bottom>
      <diagonal/>
    </border>
    <border>
      <left/>
      <right style="thin">
        <color indexed="64"/>
      </right>
      <top/>
      <bottom/>
      <diagonal/>
    </border>
    <border>
      <left style="thin">
        <color indexed="64"/>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medium">
        <color indexed="64"/>
      </top>
      <bottom style="thin">
        <color auto="1"/>
      </bottom>
      <diagonal/>
    </border>
    <border>
      <left style="thin">
        <color auto="1"/>
      </left>
      <right style="thin">
        <color auto="1"/>
      </right>
      <top/>
      <bottom style="thin">
        <color auto="1"/>
      </bottom>
      <diagonal/>
    </border>
    <border>
      <left style="thin">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auto="1"/>
      </left>
      <right/>
      <top style="medium">
        <color indexed="64"/>
      </top>
      <bottom style="thin">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bottom style="thin">
        <color auto="1"/>
      </bottom>
      <diagonal/>
    </border>
    <border>
      <left/>
      <right/>
      <top style="thin">
        <color auto="1"/>
      </top>
      <bottom style="thin">
        <color auto="1"/>
      </bottom>
      <diagonal/>
    </border>
    <border>
      <left/>
      <right/>
      <top style="thin">
        <color indexed="64"/>
      </top>
      <bottom style="medium">
        <color indexed="64"/>
      </bottom>
      <diagonal/>
    </border>
    <border>
      <left/>
      <right/>
      <top style="thin">
        <color indexed="8"/>
      </top>
      <bottom style="thin">
        <color indexed="8"/>
      </bottom>
      <diagonal/>
    </border>
    <border>
      <left/>
      <right/>
      <top style="thin">
        <color indexed="64"/>
      </top>
      <bottom style="thin">
        <color indexed="64"/>
      </bottom>
      <diagonal/>
    </border>
    <border>
      <left/>
      <right/>
      <top style="medium">
        <color indexed="64"/>
      </top>
      <bottom style="thin">
        <color indexed="8"/>
      </bottom>
      <diagonal/>
    </border>
    <border>
      <left style="medium">
        <color indexed="64"/>
      </left>
      <right/>
      <top style="thin">
        <color auto="1"/>
      </top>
      <bottom style="thin">
        <color auto="1"/>
      </bottom>
      <diagonal/>
    </border>
    <border>
      <left style="thin">
        <color indexed="64"/>
      </left>
      <right style="medium">
        <color auto="1"/>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auto="1"/>
      </right>
      <top style="medium">
        <color indexed="64"/>
      </top>
      <bottom style="thin">
        <color auto="1"/>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8"/>
      </right>
      <top/>
      <bottom/>
      <diagonal/>
    </border>
    <border>
      <left style="medium">
        <color indexed="64"/>
      </left>
      <right style="thin">
        <color indexed="64"/>
      </right>
      <top style="thin">
        <color auto="1"/>
      </top>
      <bottom/>
      <diagonal/>
    </border>
    <border>
      <left style="thin">
        <color indexed="64"/>
      </left>
      <right style="medium">
        <color indexed="64"/>
      </right>
      <top style="thin">
        <color auto="1"/>
      </top>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style="medium">
        <color indexed="64"/>
      </left>
      <right style="thin">
        <color indexed="64"/>
      </right>
      <top/>
      <bottom style="thin">
        <color auto="1"/>
      </bottom>
      <diagonal/>
    </border>
    <border>
      <left/>
      <right style="thin">
        <color auto="1"/>
      </right>
      <top style="medium">
        <color indexed="64"/>
      </top>
      <bottom style="thin">
        <color auto="1"/>
      </bottom>
      <diagonal/>
    </border>
    <border>
      <left style="medium">
        <color auto="1"/>
      </left>
      <right/>
      <top style="thin">
        <color auto="1"/>
      </top>
      <bottom/>
      <diagonal/>
    </border>
    <border>
      <left style="thin">
        <color auto="1"/>
      </left>
      <right style="thin">
        <color auto="1"/>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auto="1"/>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8"/>
      </bottom>
      <diagonal/>
    </border>
    <border>
      <left style="medium">
        <color indexed="64"/>
      </left>
      <right style="thin">
        <color indexed="64"/>
      </right>
      <top style="thin">
        <color indexed="8"/>
      </top>
      <bottom/>
      <diagonal/>
    </border>
    <border>
      <left style="medium">
        <color indexed="64"/>
      </left>
      <right style="thin">
        <color indexed="64"/>
      </right>
      <top style="thin">
        <color auto="1"/>
      </top>
      <bottom/>
      <diagonal/>
    </border>
    <border>
      <left style="thin">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auto="1"/>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auto="1"/>
      </top>
      <bottom/>
      <diagonal/>
    </border>
    <border>
      <left style="thin">
        <color indexed="8"/>
      </left>
      <right style="medium">
        <color indexed="64"/>
      </right>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auto="1"/>
      </top>
      <bottom/>
      <diagonal/>
    </border>
    <border>
      <left style="thin">
        <color indexed="8"/>
      </left>
      <right style="thin">
        <color indexed="8"/>
      </right>
      <top/>
      <bottom style="thin">
        <color indexed="8"/>
      </bottom>
      <diagonal/>
    </border>
    <border>
      <left style="thin">
        <color auto="1"/>
      </left>
      <right style="medium">
        <color indexed="64"/>
      </right>
      <top style="medium">
        <color indexed="64"/>
      </top>
      <bottom/>
      <diagonal/>
    </border>
    <border>
      <left/>
      <right style="thin">
        <color auto="1"/>
      </right>
      <top style="medium">
        <color indexed="64"/>
      </top>
      <bottom/>
      <diagonal/>
    </border>
    <border>
      <left/>
      <right/>
      <top style="thin">
        <color indexed="64"/>
      </top>
      <bottom style="thin">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bottom style="medium">
        <color indexed="64"/>
      </bottom>
      <diagonal/>
    </border>
    <border>
      <left/>
      <right/>
      <top style="thin">
        <color indexed="8"/>
      </top>
      <bottom/>
      <diagonal/>
    </border>
    <border>
      <left/>
      <right style="thin">
        <color indexed="8"/>
      </right>
      <top style="thin">
        <color indexed="8"/>
      </top>
      <bottom/>
      <diagonal/>
    </border>
    <border>
      <left style="medium">
        <color indexed="64"/>
      </left>
      <right/>
      <top/>
      <bottom style="thin">
        <color indexed="8"/>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right/>
      <top style="thin">
        <color auto="1"/>
      </top>
      <bottom style="medium">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auto="1"/>
      </right>
      <top style="thin">
        <color indexed="64"/>
      </top>
      <bottom style="medium">
        <color indexed="64"/>
      </bottom>
      <diagonal/>
    </border>
    <border>
      <left style="medium">
        <color auto="1"/>
      </left>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auto="1"/>
      </left>
      <right style="medium">
        <color indexed="64"/>
      </right>
      <top/>
      <bottom style="thin">
        <color auto="1"/>
      </bottom>
      <diagonal/>
    </border>
    <border>
      <left style="thin">
        <color indexed="64"/>
      </left>
      <right/>
      <top/>
      <bottom style="thin">
        <color indexed="64"/>
      </bottom>
      <diagonal/>
    </border>
    <border>
      <left/>
      <right style="thin">
        <color indexed="64"/>
      </right>
      <top style="thin">
        <color auto="1"/>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top style="medium">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64"/>
      </left>
      <right/>
      <top/>
      <bottom style="thin">
        <color indexed="8"/>
      </bottom>
      <diagonal/>
    </border>
    <border>
      <left style="thin">
        <color indexed="64"/>
      </left>
      <right/>
      <top/>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auto="1"/>
      </left>
      <right/>
      <top style="thin">
        <color auto="1"/>
      </top>
      <bottom style="thin">
        <color auto="1"/>
      </bottom>
      <diagonal/>
    </border>
    <border>
      <left style="thin">
        <color indexed="64"/>
      </left>
      <right style="thin">
        <color indexed="64"/>
      </right>
      <top style="thin">
        <color indexed="8"/>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bottom style="thin">
        <color indexed="64"/>
      </bottom>
      <diagonal/>
    </border>
    <border>
      <left/>
      <right/>
      <top style="thin">
        <color indexed="8"/>
      </top>
      <bottom/>
      <diagonal/>
    </border>
    <border>
      <left style="thin">
        <color auto="1"/>
      </left>
      <right style="thin">
        <color auto="1"/>
      </right>
      <top/>
      <bottom/>
      <diagonal/>
    </border>
    <border>
      <left style="thin">
        <color indexed="64"/>
      </left>
      <right style="thin">
        <color indexed="64"/>
      </right>
      <top/>
      <bottom/>
      <diagonal/>
    </border>
    <border>
      <left style="thin">
        <color auto="1"/>
      </left>
      <right style="thin">
        <color indexed="8"/>
      </right>
      <top style="thin">
        <color auto="1"/>
      </top>
      <bottom style="thin">
        <color indexed="8"/>
      </bottom>
      <diagonal/>
    </border>
    <border>
      <left style="thin">
        <color indexed="8"/>
      </left>
      <right/>
      <top style="thin">
        <color auto="1"/>
      </top>
      <bottom style="thin">
        <color indexed="8"/>
      </bottom>
      <diagonal/>
    </border>
    <border>
      <left style="thin">
        <color auto="1"/>
      </left>
      <right style="thin">
        <color indexed="8"/>
      </right>
      <top/>
      <bottom style="thin">
        <color indexed="8"/>
      </bottom>
      <diagonal/>
    </border>
    <border>
      <left style="thin">
        <color indexed="8"/>
      </left>
      <right/>
      <top/>
      <bottom style="thin">
        <color indexed="8"/>
      </bottom>
      <diagonal/>
    </border>
    <border>
      <left style="thin">
        <color auto="1"/>
      </left>
      <right/>
      <top/>
      <bottom style="thin">
        <color indexed="8"/>
      </bottom>
      <diagonal/>
    </border>
    <border>
      <left style="thin">
        <color indexed="8"/>
      </left>
      <right/>
      <top style="thin">
        <color indexed="8"/>
      </top>
      <bottom style="thin">
        <color auto="1"/>
      </bottom>
      <diagonal/>
    </border>
    <border>
      <left style="thin">
        <color auto="1"/>
      </left>
      <right style="thin">
        <color auto="1"/>
      </right>
      <top/>
      <bottom style="thin">
        <color auto="1"/>
      </bottom>
      <diagonal/>
    </border>
    <border>
      <left/>
      <right/>
      <top/>
      <bottom style="thin">
        <color indexed="8"/>
      </bottom>
      <diagonal/>
    </border>
    <border>
      <left style="thin">
        <color auto="1"/>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auto="1"/>
      </left>
      <right style="medium">
        <color auto="1"/>
      </right>
      <top style="thin">
        <color auto="1"/>
      </top>
      <bottom style="thin">
        <color auto="1"/>
      </bottom>
      <diagonal/>
    </border>
    <border>
      <left/>
      <right style="medium">
        <color indexed="64"/>
      </right>
      <top style="thin">
        <color auto="1"/>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auto="1"/>
      </top>
      <bottom/>
      <diagonal/>
    </border>
    <border>
      <left style="medium">
        <color indexed="64"/>
      </left>
      <right style="medium">
        <color indexed="64"/>
      </right>
      <top style="thin">
        <color indexed="64"/>
      </top>
      <bottom/>
      <diagonal/>
    </border>
    <border>
      <left style="medium">
        <color auto="1"/>
      </left>
      <right/>
      <top style="thin">
        <color auto="1"/>
      </top>
      <bottom/>
      <diagonal/>
    </border>
    <border>
      <left style="medium">
        <color indexed="64"/>
      </left>
      <right style="thin">
        <color auto="1"/>
      </right>
      <top/>
      <bottom style="thin">
        <color auto="1"/>
      </bottom>
      <diagonal/>
    </border>
    <border>
      <left style="thin">
        <color auto="1"/>
      </left>
      <right/>
      <top/>
      <bottom style="thin">
        <color auto="1"/>
      </bottom>
      <diagonal/>
    </border>
    <border>
      <left/>
      <right style="medium">
        <color indexed="64"/>
      </right>
      <top/>
      <bottom style="thin">
        <color indexed="64"/>
      </bottom>
      <diagonal/>
    </border>
    <border>
      <left style="medium">
        <color auto="1"/>
      </left>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6" fillId="0" borderId="0"/>
    <xf numFmtId="167" fontId="7" fillId="0" borderId="0"/>
    <xf numFmtId="0" fontId="7" fillId="0" borderId="0"/>
    <xf numFmtId="166" fontId="7" fillId="0" borderId="0"/>
    <xf numFmtId="9" fontId="7" fillId="0" borderId="0" applyFont="0" applyFill="0" applyBorder="0" applyAlignment="0" applyProtection="0"/>
    <xf numFmtId="167" fontId="7" fillId="0" borderId="0"/>
    <xf numFmtId="41" fontId="1" fillId="0" borderId="0" applyFont="0" applyFill="0" applyBorder="0" applyAlignment="0" applyProtection="0"/>
    <xf numFmtId="0" fontId="7" fillId="0" borderId="0"/>
    <xf numFmtId="0" fontId="38" fillId="0" borderId="0"/>
    <xf numFmtId="165" fontId="7" fillId="0" borderId="0" applyFont="0" applyFill="0" applyBorder="0" applyAlignment="0" applyProtection="0"/>
    <xf numFmtId="164" fontId="7"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6" fillId="0" borderId="0"/>
    <xf numFmtId="42" fontId="1" fillId="0" borderId="0" applyFont="0" applyFill="0" applyBorder="0" applyAlignment="0" applyProtection="0"/>
    <xf numFmtId="0" fontId="16"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3223">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9" fontId="4" fillId="0" borderId="0" xfId="4" applyFont="1" applyBorder="1" applyAlignment="1" applyProtection="1">
      <alignment vertical="center"/>
    </xf>
    <xf numFmtId="9" fontId="0" fillId="0" borderId="0" xfId="4" applyFont="1" applyProtection="1"/>
    <xf numFmtId="0" fontId="5" fillId="0" borderId="0" xfId="0" applyFont="1" applyAlignment="1">
      <alignment horizontal="right" vertical="center"/>
    </xf>
    <xf numFmtId="9" fontId="5" fillId="0" borderId="0" xfId="4" applyFont="1" applyFill="1" applyBorder="1" applyAlignment="1" applyProtection="1">
      <alignment horizontal="center" vertical="center"/>
    </xf>
    <xf numFmtId="0" fontId="5" fillId="12" borderId="0" xfId="0" applyFont="1" applyFill="1" applyAlignment="1">
      <alignment horizontal="left" vertical="center"/>
    </xf>
    <xf numFmtId="168" fontId="5" fillId="12" borderId="0" xfId="2" applyNumberFormat="1" applyFont="1" applyFill="1" applyBorder="1" applyAlignment="1" applyProtection="1">
      <alignment vertical="center"/>
    </xf>
    <xf numFmtId="0" fontId="0" fillId="0" borderId="0" xfId="0" applyAlignment="1">
      <alignment horizontal="center" vertical="center"/>
    </xf>
    <xf numFmtId="44" fontId="5" fillId="0" borderId="0" xfId="2" applyFont="1" applyFill="1" applyBorder="1" applyAlignment="1" applyProtection="1">
      <alignment vertical="center"/>
    </xf>
    <xf numFmtId="169" fontId="5" fillId="0" borderId="0" xfId="0" applyNumberFormat="1" applyFont="1" applyAlignment="1">
      <alignment vertical="center"/>
    </xf>
    <xf numFmtId="168" fontId="5" fillId="0" borderId="0" xfId="0" applyNumberFormat="1" applyFont="1" applyAlignment="1">
      <alignment vertical="center" wrapText="1"/>
    </xf>
    <xf numFmtId="168" fontId="0" fillId="0" borderId="0" xfId="0" applyNumberFormat="1" applyAlignment="1">
      <alignment horizontal="center" vertical="center" wrapText="1"/>
    </xf>
    <xf numFmtId="168" fontId="5" fillId="14" borderId="13" xfId="0" applyNumberFormat="1" applyFont="1" applyFill="1" applyBorder="1" applyAlignment="1">
      <alignment horizontal="center" vertical="center" wrapText="1"/>
    </xf>
    <xf numFmtId="168" fontId="5" fillId="0" borderId="0" xfId="0" applyNumberFormat="1" applyFont="1" applyAlignment="1">
      <alignment horizontal="center" vertical="center" wrapText="1"/>
    </xf>
    <xf numFmtId="168" fontId="0" fillId="0" borderId="17" xfId="0" applyNumberFormat="1" applyBorder="1" applyAlignment="1">
      <alignment vertical="center"/>
    </xf>
    <xf numFmtId="168" fontId="7" fillId="0" borderId="17" xfId="2" applyNumberFormat="1" applyFont="1" applyFill="1" applyBorder="1" applyAlignment="1" applyProtection="1">
      <alignment vertical="center"/>
    </xf>
    <xf numFmtId="168" fontId="0" fillId="0" borderId="0" xfId="2" applyNumberFormat="1" applyFont="1" applyFill="1" applyBorder="1" applyAlignment="1" applyProtection="1">
      <alignment vertical="center"/>
    </xf>
    <xf numFmtId="168" fontId="0" fillId="0" borderId="20" xfId="0" applyNumberFormat="1" applyBorder="1" applyAlignment="1">
      <alignment vertical="center"/>
    </xf>
    <xf numFmtId="170" fontId="0" fillId="0" borderId="21" xfId="1" applyNumberFormat="1" applyFont="1" applyFill="1" applyBorder="1" applyAlignment="1" applyProtection="1">
      <alignment vertical="center"/>
    </xf>
    <xf numFmtId="170" fontId="0" fillId="0" borderId="0" xfId="1" applyNumberFormat="1" applyFont="1" applyFill="1" applyBorder="1" applyAlignment="1" applyProtection="1">
      <alignment vertical="center"/>
    </xf>
    <xf numFmtId="168" fontId="5" fillId="16" borderId="20" xfId="0" applyNumberFormat="1" applyFont="1" applyFill="1" applyBorder="1" applyAlignment="1">
      <alignment vertical="center"/>
    </xf>
    <xf numFmtId="168" fontId="5" fillId="16" borderId="20" xfId="2" applyNumberFormat="1" applyFont="1" applyFill="1" applyBorder="1" applyAlignment="1" applyProtection="1">
      <alignment vertical="center"/>
    </xf>
    <xf numFmtId="168" fontId="5" fillId="16" borderId="20" xfId="2" applyNumberFormat="1" applyFont="1" applyFill="1" applyBorder="1" applyAlignment="1" applyProtection="1">
      <alignment horizontal="right" vertical="center"/>
    </xf>
    <xf numFmtId="168" fontId="5" fillId="16" borderId="24" xfId="2" applyNumberFormat="1" applyFont="1" applyFill="1" applyBorder="1" applyAlignment="1" applyProtection="1">
      <alignment horizontal="right" vertical="center"/>
    </xf>
    <xf numFmtId="168" fontId="5" fillId="0" borderId="0" xfId="2" applyNumberFormat="1" applyFont="1" applyFill="1" applyBorder="1" applyAlignment="1" applyProtection="1">
      <alignment vertical="center"/>
    </xf>
    <xf numFmtId="168" fontId="0" fillId="0" borderId="25" xfId="2" applyNumberFormat="1" applyFont="1" applyFill="1" applyBorder="1" applyAlignment="1" applyProtection="1">
      <alignment vertical="center"/>
    </xf>
    <xf numFmtId="170" fontId="0" fillId="0" borderId="20" xfId="1" applyNumberFormat="1" applyFont="1" applyFill="1" applyBorder="1" applyAlignment="1" applyProtection="1">
      <alignment vertical="center"/>
    </xf>
    <xf numFmtId="168" fontId="0" fillId="0" borderId="20" xfId="2" applyNumberFormat="1" applyFont="1" applyFill="1" applyBorder="1" applyAlignment="1" applyProtection="1">
      <alignment vertical="center"/>
    </xf>
    <xf numFmtId="168" fontId="5" fillId="18" borderId="20" xfId="2" applyNumberFormat="1" applyFont="1" applyFill="1" applyBorder="1" applyAlignment="1" applyProtection="1">
      <alignment vertical="center"/>
    </xf>
    <xf numFmtId="168" fontId="5" fillId="18" borderId="20" xfId="2" applyNumberFormat="1" applyFont="1" applyFill="1" applyBorder="1" applyAlignment="1" applyProtection="1">
      <alignment horizontal="right" vertical="center"/>
    </xf>
    <xf numFmtId="168" fontId="5" fillId="18" borderId="24" xfId="2" applyNumberFormat="1" applyFont="1" applyFill="1" applyBorder="1" applyAlignment="1" applyProtection="1">
      <alignment horizontal="right" vertical="center"/>
    </xf>
    <xf numFmtId="168" fontId="7" fillId="0" borderId="20" xfId="2" applyNumberFormat="1" applyFont="1" applyFill="1" applyBorder="1" applyAlignment="1" applyProtection="1">
      <alignment vertical="center"/>
    </xf>
    <xf numFmtId="168" fontId="13" fillId="19" borderId="14" xfId="2" applyNumberFormat="1" applyFont="1" applyFill="1" applyBorder="1" applyAlignment="1" applyProtection="1">
      <alignment vertical="center" wrapText="1"/>
    </xf>
    <xf numFmtId="168" fontId="5" fillId="0" borderId="0" xfId="2" applyNumberFormat="1" applyFont="1" applyFill="1" applyBorder="1" applyAlignment="1" applyProtection="1">
      <alignment vertical="center" wrapText="1"/>
    </xf>
    <xf numFmtId="168" fontId="0" fillId="0" borderId="17" xfId="2" applyNumberFormat="1" applyFont="1" applyFill="1" applyBorder="1" applyAlignment="1" applyProtection="1">
      <alignment vertical="center"/>
    </xf>
    <xf numFmtId="168" fontId="5" fillId="16" borderId="21" xfId="0" applyNumberFormat="1" applyFont="1" applyFill="1" applyBorder="1" applyAlignment="1">
      <alignment vertical="center"/>
    </xf>
    <xf numFmtId="168" fontId="5" fillId="18" borderId="21" xfId="2" applyNumberFormat="1" applyFont="1" applyFill="1" applyBorder="1" applyAlignment="1" applyProtection="1">
      <alignment vertical="center"/>
    </xf>
    <xf numFmtId="168" fontId="5" fillId="16" borderId="21" xfId="2" applyNumberFormat="1" applyFont="1" applyFill="1" applyBorder="1" applyAlignment="1" applyProtection="1">
      <alignment vertical="center"/>
    </xf>
    <xf numFmtId="168" fontId="5" fillId="16" borderId="21" xfId="2" applyNumberFormat="1" applyFont="1" applyFill="1" applyBorder="1" applyAlignment="1" applyProtection="1">
      <alignment horizontal="right" vertical="center"/>
    </xf>
    <xf numFmtId="168" fontId="5" fillId="16" borderId="22" xfId="2" applyNumberFormat="1" applyFont="1" applyFill="1" applyBorder="1" applyAlignment="1" applyProtection="1">
      <alignment horizontal="right" vertical="center"/>
    </xf>
    <xf numFmtId="168" fontId="13" fillId="19" borderId="30" xfId="2" applyNumberFormat="1" applyFont="1" applyFill="1" applyBorder="1" applyAlignment="1" applyProtection="1">
      <alignment vertical="center" wrapText="1"/>
    </xf>
    <xf numFmtId="168" fontId="5" fillId="18" borderId="32" xfId="2" applyNumberFormat="1" applyFont="1" applyFill="1" applyBorder="1" applyAlignment="1" applyProtection="1">
      <alignment vertical="center"/>
    </xf>
    <xf numFmtId="168" fontId="5" fillId="16" borderId="35" xfId="0" applyNumberFormat="1" applyFont="1" applyFill="1" applyBorder="1" applyAlignment="1">
      <alignment vertical="center"/>
    </xf>
    <xf numFmtId="168" fontId="5" fillId="18" borderId="36" xfId="2" applyNumberFormat="1" applyFont="1" applyFill="1" applyBorder="1" applyAlignment="1" applyProtection="1">
      <alignment vertical="center"/>
    </xf>
    <xf numFmtId="168" fontId="5" fillId="16" borderId="37" xfId="2" applyNumberFormat="1" applyFont="1" applyFill="1" applyBorder="1" applyAlignment="1" applyProtection="1">
      <alignment vertical="center"/>
    </xf>
    <xf numFmtId="170" fontId="0" fillId="0" borderId="32" xfId="1" applyNumberFormat="1" applyFont="1" applyFill="1" applyBorder="1" applyAlignment="1" applyProtection="1">
      <alignment vertical="center"/>
    </xf>
    <xf numFmtId="168" fontId="5" fillId="16" borderId="32" xfId="0" applyNumberFormat="1" applyFont="1" applyFill="1" applyBorder="1" applyAlignment="1">
      <alignment vertical="center"/>
    </xf>
    <xf numFmtId="168" fontId="5" fillId="16" borderId="32" xfId="2" applyNumberFormat="1" applyFont="1" applyFill="1" applyBorder="1" applyAlignment="1" applyProtection="1">
      <alignment vertical="center"/>
    </xf>
    <xf numFmtId="168" fontId="5" fillId="16" borderId="32" xfId="2" applyNumberFormat="1" applyFont="1" applyFill="1" applyBorder="1" applyAlignment="1" applyProtection="1">
      <alignment horizontal="right" vertical="center"/>
    </xf>
    <xf numFmtId="168" fontId="0" fillId="0" borderId="36" xfId="0" applyNumberFormat="1" applyBorder="1" applyAlignment="1">
      <alignment vertical="center"/>
    </xf>
    <xf numFmtId="168" fontId="0" fillId="0" borderId="36" xfId="2" applyNumberFormat="1" applyFont="1" applyFill="1" applyBorder="1" applyAlignment="1" applyProtection="1">
      <alignment vertical="center"/>
    </xf>
    <xf numFmtId="170" fontId="0" fillId="0" borderId="36" xfId="1" applyNumberFormat="1" applyFont="1" applyFill="1" applyBorder="1" applyAlignment="1" applyProtection="1">
      <alignment vertical="center"/>
    </xf>
    <xf numFmtId="168" fontId="5" fillId="16" borderId="36" xfId="0" applyNumberFormat="1" applyFont="1" applyFill="1" applyBorder="1" applyAlignment="1">
      <alignment vertical="center"/>
    </xf>
    <xf numFmtId="168" fontId="5" fillId="16" borderId="36" xfId="2" applyNumberFormat="1" applyFont="1" applyFill="1" applyBorder="1" applyAlignment="1" applyProtection="1">
      <alignment vertical="center"/>
    </xf>
    <xf numFmtId="168" fontId="5" fillId="16" borderId="36" xfId="2" applyNumberFormat="1" applyFont="1" applyFill="1" applyBorder="1" applyAlignment="1" applyProtection="1">
      <alignment horizontal="right" vertical="center"/>
    </xf>
    <xf numFmtId="168" fontId="5" fillId="16" borderId="39" xfId="2" applyNumberFormat="1" applyFont="1" applyFill="1" applyBorder="1" applyAlignment="1" applyProtection="1">
      <alignment horizontal="right" vertical="center"/>
    </xf>
    <xf numFmtId="168" fontId="13" fillId="19" borderId="15" xfId="2" applyNumberFormat="1" applyFont="1" applyFill="1" applyBorder="1" applyAlignment="1" applyProtection="1">
      <alignment vertical="center" wrapText="1"/>
    </xf>
    <xf numFmtId="171" fontId="0" fillId="0" borderId="44" xfId="2" applyNumberFormat="1" applyFont="1" applyFill="1" applyBorder="1" applyAlignment="1" applyProtection="1">
      <alignment vertical="center"/>
    </xf>
    <xf numFmtId="171" fontId="0" fillId="0" borderId="46" xfId="2" applyNumberFormat="1" applyFont="1" applyFill="1" applyBorder="1" applyAlignment="1" applyProtection="1">
      <alignment vertical="center"/>
    </xf>
    <xf numFmtId="171" fontId="0" fillId="0" borderId="47" xfId="2" applyNumberFormat="1" applyFont="1" applyFill="1" applyBorder="1" applyAlignment="1" applyProtection="1">
      <alignment vertical="center"/>
    </xf>
    <xf numFmtId="173" fontId="0" fillId="2" borderId="46" xfId="2" applyNumberFormat="1" applyFont="1" applyFill="1" applyBorder="1" applyAlignment="1" applyProtection="1">
      <alignment horizontal="center" vertical="center"/>
      <protection locked="0"/>
    </xf>
    <xf numFmtId="173" fontId="0" fillId="2" borderId="47" xfId="2" applyNumberFormat="1" applyFont="1" applyFill="1" applyBorder="1" applyAlignment="1" applyProtection="1">
      <alignment horizontal="center" vertical="center"/>
      <protection locked="0"/>
    </xf>
    <xf numFmtId="171" fontId="0" fillId="0" borderId="57" xfId="2" applyNumberFormat="1" applyFont="1" applyFill="1" applyBorder="1" applyAlignment="1" applyProtection="1">
      <alignment vertical="center"/>
    </xf>
    <xf numFmtId="173" fontId="0" fillId="2" borderId="39" xfId="2" applyNumberFormat="1" applyFont="1" applyFill="1" applyBorder="1" applyAlignment="1" applyProtection="1">
      <alignment horizontal="center" vertical="center"/>
      <protection locked="0"/>
    </xf>
    <xf numFmtId="168" fontId="0" fillId="1" borderId="57" xfId="2" applyNumberFormat="1" applyFont="1" applyFill="1" applyBorder="1" applyAlignment="1" applyProtection="1">
      <alignment vertical="center"/>
    </xf>
    <xf numFmtId="171" fontId="0" fillId="1" borderId="57" xfId="2" applyNumberFormat="1" applyFont="1" applyFill="1" applyBorder="1" applyAlignment="1" applyProtection="1">
      <alignment vertical="center"/>
    </xf>
    <xf numFmtId="171" fontId="0" fillId="1" borderId="51" xfId="2" applyNumberFormat="1" applyFont="1" applyFill="1" applyBorder="1" applyAlignment="1" applyProtection="1">
      <alignment vertical="center"/>
    </xf>
    <xf numFmtId="171" fontId="0" fillId="0" borderId="30" xfId="2" applyNumberFormat="1" applyFont="1" applyFill="1" applyBorder="1" applyAlignment="1" applyProtection="1">
      <alignment vertical="center"/>
    </xf>
    <xf numFmtId="171" fontId="0" fillId="0" borderId="31" xfId="2" applyNumberFormat="1" applyFont="1" applyFill="1" applyBorder="1" applyAlignment="1" applyProtection="1">
      <alignment vertical="center"/>
    </xf>
    <xf numFmtId="173" fontId="0" fillId="2" borderId="30" xfId="2" applyNumberFormat="1" applyFont="1" applyFill="1" applyBorder="1" applyAlignment="1" applyProtection="1">
      <alignment horizontal="center" vertical="center"/>
      <protection locked="0"/>
    </xf>
    <xf numFmtId="173" fontId="0" fillId="2" borderId="31" xfId="2" applyNumberFormat="1" applyFont="1" applyFill="1" applyBorder="1" applyAlignment="1" applyProtection="1">
      <alignment horizontal="center" vertical="center"/>
      <protection locked="0"/>
    </xf>
    <xf numFmtId="171" fontId="0" fillId="0" borderId="45" xfId="2" applyNumberFormat="1" applyFont="1" applyFill="1" applyBorder="1" applyAlignment="1" applyProtection="1">
      <alignment vertical="center"/>
    </xf>
    <xf numFmtId="171" fontId="0" fillId="0" borderId="52" xfId="2" applyNumberFormat="1" applyFont="1" applyFill="1" applyBorder="1" applyAlignment="1" applyProtection="1">
      <alignment vertical="center"/>
    </xf>
    <xf numFmtId="171" fontId="0" fillId="1" borderId="67" xfId="2" applyNumberFormat="1" applyFont="1" applyFill="1" applyBorder="1" applyAlignment="1" applyProtection="1">
      <alignment vertical="center"/>
    </xf>
    <xf numFmtId="173" fontId="0" fillId="2" borderId="63" xfId="2" applyNumberFormat="1" applyFont="1" applyFill="1" applyBorder="1" applyAlignment="1" applyProtection="1">
      <alignment horizontal="center" vertical="center"/>
      <protection locked="0"/>
    </xf>
    <xf numFmtId="173" fontId="0" fillId="2" borderId="64" xfId="2" applyNumberFormat="1" applyFont="1" applyFill="1" applyBorder="1" applyAlignment="1" applyProtection="1">
      <alignment horizontal="center" vertical="center"/>
      <protection locked="0"/>
    </xf>
    <xf numFmtId="171" fontId="0" fillId="1" borderId="44" xfId="2" applyNumberFormat="1" applyFont="1" applyFill="1" applyBorder="1" applyAlignment="1" applyProtection="1">
      <alignment vertical="center"/>
    </xf>
    <xf numFmtId="171" fontId="0" fillId="1" borderId="66" xfId="2" applyNumberFormat="1" applyFont="1" applyFill="1" applyBorder="1" applyAlignment="1" applyProtection="1">
      <alignment vertical="center"/>
    </xf>
    <xf numFmtId="171" fontId="0" fillId="0" borderId="73" xfId="2" applyNumberFormat="1" applyFont="1" applyFill="1" applyBorder="1" applyAlignment="1" applyProtection="1">
      <alignment vertical="center"/>
    </xf>
    <xf numFmtId="171" fontId="0" fillId="0" borderId="74" xfId="2" applyNumberFormat="1" applyFont="1" applyFill="1" applyBorder="1" applyAlignment="1" applyProtection="1">
      <alignment vertical="center"/>
    </xf>
    <xf numFmtId="173" fontId="0" fillId="2" borderId="72" xfId="2" applyNumberFormat="1" applyFont="1" applyFill="1" applyBorder="1" applyAlignment="1" applyProtection="1">
      <alignment horizontal="center" vertical="center"/>
      <protection locked="0"/>
    </xf>
    <xf numFmtId="173" fontId="0" fillId="2" borderId="73" xfId="2" applyNumberFormat="1" applyFont="1" applyFill="1" applyBorder="1" applyAlignment="1" applyProtection="1">
      <alignment horizontal="center" vertical="center"/>
      <protection locked="0"/>
    </xf>
    <xf numFmtId="173" fontId="0" fillId="2" borderId="74" xfId="2" applyNumberFormat="1" applyFont="1" applyFill="1" applyBorder="1" applyAlignment="1" applyProtection="1">
      <alignment horizontal="center" vertical="center"/>
      <protection locked="0"/>
    </xf>
    <xf numFmtId="168" fontId="0" fillId="1" borderId="73" xfId="2" applyNumberFormat="1" applyFont="1" applyFill="1" applyBorder="1" applyAlignment="1" applyProtection="1">
      <alignment vertical="center"/>
    </xf>
    <xf numFmtId="168" fontId="0" fillId="1" borderId="74" xfId="2" applyNumberFormat="1" applyFont="1" applyFill="1" applyBorder="1" applyAlignment="1" applyProtection="1">
      <alignment vertical="center"/>
    </xf>
    <xf numFmtId="171" fontId="0" fillId="1" borderId="73" xfId="2" applyNumberFormat="1" applyFont="1" applyFill="1" applyBorder="1" applyAlignment="1" applyProtection="1">
      <alignment vertical="center"/>
    </xf>
    <xf numFmtId="171" fontId="0" fillId="1" borderId="74" xfId="2" applyNumberFormat="1" applyFont="1" applyFill="1" applyBorder="1" applyAlignment="1" applyProtection="1">
      <alignment vertical="center"/>
    </xf>
    <xf numFmtId="168" fontId="0" fillId="1" borderId="51" xfId="2" applyNumberFormat="1" applyFont="1" applyFill="1" applyBorder="1" applyAlignment="1" applyProtection="1">
      <alignment vertical="center"/>
    </xf>
    <xf numFmtId="168" fontId="0" fillId="1" borderId="44" xfId="2" applyNumberFormat="1" applyFont="1" applyFill="1" applyBorder="1" applyAlignment="1" applyProtection="1">
      <alignment vertical="center"/>
    </xf>
    <xf numFmtId="171" fontId="0" fillId="0" borderId="51" xfId="2" applyNumberFormat="1" applyFont="1" applyFill="1" applyBorder="1" applyAlignment="1" applyProtection="1">
      <alignment vertical="center"/>
    </xf>
    <xf numFmtId="173" fontId="0" fillId="2" borderId="51" xfId="2" applyNumberFormat="1" applyFont="1" applyFill="1" applyBorder="1" applyAlignment="1" applyProtection="1">
      <alignment horizontal="center" vertical="center"/>
      <protection locked="0"/>
    </xf>
    <xf numFmtId="168" fontId="0" fillId="1" borderId="77" xfId="2" applyNumberFormat="1" applyFont="1" applyFill="1" applyBorder="1" applyAlignment="1" applyProtection="1">
      <alignment vertical="center"/>
    </xf>
    <xf numFmtId="171" fontId="0" fillId="0" borderId="78" xfId="2" applyNumberFormat="1" applyFont="1" applyFill="1" applyBorder="1" applyAlignment="1" applyProtection="1">
      <alignment vertical="center"/>
    </xf>
    <xf numFmtId="174" fontId="0" fillId="0" borderId="0" xfId="1" applyNumberFormat="1" applyFont="1" applyFill="1" applyBorder="1" applyAlignment="1" applyProtection="1">
      <alignment vertical="center"/>
    </xf>
    <xf numFmtId="174" fontId="5" fillId="22" borderId="85" xfId="1" applyNumberFormat="1" applyFont="1" applyFill="1" applyBorder="1" applyAlignment="1" applyProtection="1">
      <alignment horizontal="center" vertical="center" wrapText="1"/>
    </xf>
    <xf numFmtId="168" fontId="15" fillId="2" borderId="92" xfId="2" applyNumberFormat="1" applyFont="1" applyFill="1" applyBorder="1" applyAlignment="1" applyProtection="1">
      <alignment vertical="center"/>
      <protection locked="0"/>
    </xf>
    <xf numFmtId="176" fontId="15" fillId="2" borderId="92" xfId="1" applyNumberFormat="1" applyFont="1" applyFill="1" applyBorder="1" applyAlignment="1" applyProtection="1">
      <alignment vertical="center"/>
      <protection locked="0"/>
    </xf>
    <xf numFmtId="168" fontId="15" fillId="2" borderId="73" xfId="2" applyNumberFormat="1" applyFont="1" applyFill="1" applyBorder="1" applyAlignment="1" applyProtection="1">
      <alignment vertical="center"/>
      <protection locked="0"/>
    </xf>
    <xf numFmtId="176" fontId="15" fillId="2" borderId="73" xfId="1" applyNumberFormat="1" applyFont="1" applyFill="1" applyBorder="1" applyAlignment="1" applyProtection="1">
      <alignment vertical="center"/>
      <protection locked="0"/>
    </xf>
    <xf numFmtId="164" fontId="7" fillId="2" borderId="73" xfId="6" applyNumberFormat="1" applyFont="1" applyFill="1" applyBorder="1" applyProtection="1">
      <protection locked="0"/>
    </xf>
    <xf numFmtId="1" fontId="0" fillId="0" borderId="94" xfId="0" applyNumberFormat="1" applyBorder="1" applyAlignment="1">
      <alignment horizontal="center" vertical="center" wrapText="1"/>
    </xf>
    <xf numFmtId="168" fontId="15" fillId="2" borderId="97" xfId="2" applyNumberFormat="1" applyFont="1" applyFill="1" applyBorder="1" applyAlignment="1" applyProtection="1">
      <alignment vertical="center"/>
      <protection locked="0"/>
    </xf>
    <xf numFmtId="176" fontId="15" fillId="2" borderId="97" xfId="1" applyNumberFormat="1" applyFont="1" applyFill="1" applyBorder="1" applyAlignment="1" applyProtection="1">
      <alignment vertical="center"/>
      <protection locked="0"/>
    </xf>
    <xf numFmtId="168" fontId="0" fillId="2" borderId="97" xfId="2" applyNumberFormat="1" applyFont="1" applyFill="1" applyBorder="1" applyAlignment="1" applyProtection="1">
      <alignment vertical="center"/>
      <protection locked="0"/>
    </xf>
    <xf numFmtId="174" fontId="5" fillId="22" borderId="97" xfId="1" applyNumberFormat="1" applyFont="1" applyFill="1" applyBorder="1" applyAlignment="1" applyProtection="1">
      <alignment horizontal="center" vertical="center" wrapText="1"/>
    </xf>
    <xf numFmtId="168" fontId="0" fillId="2" borderId="102" xfId="2" applyNumberFormat="1" applyFont="1" applyFill="1" applyBorder="1" applyAlignment="1" applyProtection="1">
      <alignment vertical="center"/>
      <protection locked="0"/>
    </xf>
    <xf numFmtId="168" fontId="15" fillId="2" borderId="102" xfId="2" applyNumberFormat="1" applyFont="1" applyFill="1" applyBorder="1" applyAlignment="1" applyProtection="1">
      <alignment vertical="center"/>
      <protection locked="0"/>
    </xf>
    <xf numFmtId="176" fontId="15" fillId="2" borderId="102" xfId="1" applyNumberFormat="1" applyFont="1" applyFill="1" applyBorder="1" applyAlignment="1" applyProtection="1">
      <alignment vertical="center"/>
      <protection locked="0"/>
    </xf>
    <xf numFmtId="174" fontId="5" fillId="22" borderId="102" xfId="1" applyNumberFormat="1" applyFont="1" applyFill="1" applyBorder="1" applyAlignment="1" applyProtection="1">
      <alignment horizontal="center" vertical="center" wrapText="1"/>
    </xf>
    <xf numFmtId="168" fontId="0" fillId="2" borderId="108" xfId="2" applyNumberFormat="1" applyFont="1" applyFill="1" applyBorder="1" applyAlignment="1" applyProtection="1">
      <alignment vertical="center"/>
      <protection locked="0"/>
    </xf>
    <xf numFmtId="168" fontId="15" fillId="2" borderId="108" xfId="2" applyNumberFormat="1" applyFont="1" applyFill="1" applyBorder="1" applyAlignment="1" applyProtection="1">
      <alignment vertical="center"/>
      <protection locked="0"/>
    </xf>
    <xf numFmtId="176" fontId="15" fillId="2" borderId="108" xfId="1" applyNumberFormat="1" applyFont="1" applyFill="1" applyBorder="1" applyAlignment="1" applyProtection="1">
      <alignment vertical="center"/>
      <protection locked="0"/>
    </xf>
    <xf numFmtId="174" fontId="5" fillId="22" borderId="73" xfId="1" applyNumberFormat="1" applyFont="1" applyFill="1" applyBorder="1" applyAlignment="1" applyProtection="1">
      <alignment horizontal="center" vertical="center" wrapText="1"/>
    </xf>
    <xf numFmtId="168" fontId="0" fillId="2" borderId="114" xfId="2" applyNumberFormat="1" applyFont="1" applyFill="1" applyBorder="1" applyAlignment="1" applyProtection="1">
      <alignment vertical="center"/>
      <protection locked="0"/>
    </xf>
    <xf numFmtId="168" fontId="15" fillId="2" borderId="114" xfId="2" applyNumberFormat="1" applyFont="1" applyFill="1" applyBorder="1" applyAlignment="1" applyProtection="1">
      <alignment vertical="center"/>
      <protection locked="0"/>
    </xf>
    <xf numFmtId="176" fontId="15" fillId="2" borderId="114" xfId="1" applyNumberFormat="1" applyFont="1" applyFill="1" applyBorder="1" applyAlignment="1" applyProtection="1">
      <alignment vertical="center"/>
      <protection locked="0"/>
    </xf>
    <xf numFmtId="168" fontId="0" fillId="2" borderId="122" xfId="2" applyNumberFormat="1" applyFont="1" applyFill="1" applyBorder="1" applyAlignment="1" applyProtection="1">
      <alignment vertical="center"/>
      <protection locked="0"/>
    </xf>
    <xf numFmtId="168" fontId="15" fillId="2" borderId="122" xfId="2" applyNumberFormat="1" applyFont="1" applyFill="1" applyBorder="1" applyAlignment="1" applyProtection="1">
      <alignment vertical="center"/>
      <protection locked="0"/>
    </xf>
    <xf numFmtId="176" fontId="15" fillId="2" borderId="122" xfId="1" applyNumberFormat="1" applyFont="1" applyFill="1" applyBorder="1" applyAlignment="1" applyProtection="1">
      <alignment vertical="center"/>
      <protection locked="0"/>
    </xf>
    <xf numFmtId="175" fontId="15" fillId="0" borderId="130" xfId="0" applyNumberFormat="1" applyFont="1" applyBorder="1" applyAlignment="1">
      <alignment horizontal="left"/>
    </xf>
    <xf numFmtId="168" fontId="15" fillId="2" borderId="130" xfId="2" applyNumberFormat="1" applyFont="1" applyFill="1" applyBorder="1" applyAlignment="1" applyProtection="1">
      <alignment vertical="center"/>
      <protection locked="0"/>
    </xf>
    <xf numFmtId="176" fontId="15" fillId="2" borderId="130" xfId="1" applyNumberFormat="1" applyFont="1" applyFill="1" applyBorder="1" applyAlignment="1" applyProtection="1">
      <alignment vertical="center"/>
      <protection locked="0"/>
    </xf>
    <xf numFmtId="168" fontId="0" fillId="2" borderId="146" xfId="2" applyNumberFormat="1" applyFont="1" applyFill="1" applyBorder="1" applyAlignment="1" applyProtection="1">
      <alignment vertical="center"/>
      <protection locked="0"/>
    </xf>
    <xf numFmtId="168" fontId="15" fillId="2" borderId="146" xfId="2" applyNumberFormat="1" applyFont="1" applyFill="1" applyBorder="1" applyAlignment="1" applyProtection="1">
      <alignment vertical="center"/>
      <protection locked="0"/>
    </xf>
    <xf numFmtId="176" fontId="15" fillId="2" borderId="146" xfId="1" applyNumberFormat="1" applyFont="1" applyFill="1" applyBorder="1" applyAlignment="1" applyProtection="1">
      <alignment vertical="center"/>
      <protection locked="0"/>
    </xf>
    <xf numFmtId="168" fontId="0" fillId="2" borderId="154" xfId="2" applyNumberFormat="1" applyFont="1" applyFill="1" applyBorder="1" applyAlignment="1" applyProtection="1">
      <alignment vertical="center"/>
      <protection locked="0"/>
    </xf>
    <xf numFmtId="168" fontId="15" fillId="2" borderId="154" xfId="2" applyNumberFormat="1" applyFont="1" applyFill="1" applyBorder="1" applyAlignment="1" applyProtection="1">
      <alignment vertical="center"/>
      <protection locked="0"/>
    </xf>
    <xf numFmtId="176" fontId="15" fillId="2" borderId="154" xfId="1" applyNumberFormat="1" applyFont="1" applyFill="1" applyBorder="1" applyAlignment="1" applyProtection="1">
      <alignment vertical="center"/>
      <protection locked="0"/>
    </xf>
    <xf numFmtId="175" fontId="15" fillId="0" borderId="162" xfId="0" applyNumberFormat="1" applyFont="1" applyBorder="1" applyAlignment="1">
      <alignment horizontal="left"/>
    </xf>
    <xf numFmtId="168" fontId="15" fillId="2" borderId="162" xfId="2" applyNumberFormat="1" applyFont="1" applyFill="1" applyBorder="1" applyAlignment="1" applyProtection="1">
      <alignment vertical="center"/>
      <protection locked="0"/>
    </xf>
    <xf numFmtId="176" fontId="15" fillId="2" borderId="162" xfId="1" applyNumberFormat="1" applyFont="1" applyFill="1" applyBorder="1" applyAlignment="1" applyProtection="1">
      <alignment vertical="center"/>
      <protection locked="0"/>
    </xf>
    <xf numFmtId="175" fontId="15" fillId="25" borderId="162" xfId="0" applyNumberFormat="1" applyFont="1" applyFill="1" applyBorder="1" applyAlignment="1">
      <alignment horizontal="left"/>
    </xf>
    <xf numFmtId="168" fontId="0" fillId="2" borderId="170" xfId="2" applyNumberFormat="1" applyFont="1" applyFill="1" applyBorder="1" applyAlignment="1" applyProtection="1">
      <alignment vertical="center"/>
      <protection locked="0"/>
    </xf>
    <xf numFmtId="168" fontId="15" fillId="2" borderId="170" xfId="2" applyNumberFormat="1" applyFont="1" applyFill="1" applyBorder="1" applyAlignment="1" applyProtection="1">
      <alignment vertical="center"/>
      <protection locked="0"/>
    </xf>
    <xf numFmtId="176" fontId="15" fillId="2" borderId="170" xfId="1" applyNumberFormat="1" applyFont="1" applyFill="1" applyBorder="1" applyAlignment="1" applyProtection="1">
      <alignment vertical="center"/>
      <protection locked="0"/>
    </xf>
    <xf numFmtId="168" fontId="0" fillId="2" borderId="178" xfId="2" applyNumberFormat="1" applyFont="1" applyFill="1" applyBorder="1" applyAlignment="1" applyProtection="1">
      <alignment vertical="center"/>
      <protection locked="0"/>
    </xf>
    <xf numFmtId="168" fontId="15" fillId="2" borderId="178" xfId="2" applyNumberFormat="1" applyFont="1" applyFill="1" applyBorder="1" applyAlignment="1" applyProtection="1">
      <alignment vertical="center"/>
      <protection locked="0"/>
    </xf>
    <xf numFmtId="176" fontId="15" fillId="2" borderId="178" xfId="1" applyNumberFormat="1" applyFont="1" applyFill="1" applyBorder="1" applyAlignment="1" applyProtection="1">
      <alignment vertical="center"/>
      <protection locked="0"/>
    </xf>
    <xf numFmtId="168" fontId="0" fillId="2" borderId="186" xfId="2" applyNumberFormat="1" applyFont="1" applyFill="1" applyBorder="1" applyAlignment="1" applyProtection="1">
      <alignment vertical="center"/>
      <protection locked="0"/>
    </xf>
    <xf numFmtId="168" fontId="15" fillId="2" borderId="186" xfId="2" applyNumberFormat="1" applyFont="1" applyFill="1" applyBorder="1" applyAlignment="1" applyProtection="1">
      <alignment vertical="center"/>
      <protection locked="0"/>
    </xf>
    <xf numFmtId="176" fontId="15" fillId="2" borderId="186" xfId="1" applyNumberFormat="1" applyFont="1" applyFill="1" applyBorder="1" applyAlignment="1" applyProtection="1">
      <alignment vertical="center"/>
      <protection locked="0"/>
    </xf>
    <xf numFmtId="172" fontId="5" fillId="8" borderId="73" xfId="4" applyNumberFormat="1" applyFont="1" applyFill="1" applyBorder="1" applyAlignment="1" applyProtection="1">
      <alignment horizontal="center" vertical="center"/>
    </xf>
    <xf numFmtId="171" fontId="0" fillId="2" borderId="73" xfId="7" applyNumberFormat="1" applyFont="1" applyFill="1" applyBorder="1" applyAlignment="1" applyProtection="1">
      <alignment vertical="center"/>
      <protection locked="0"/>
    </xf>
    <xf numFmtId="9" fontId="20" fillId="0" borderId="210" xfId="4" applyFont="1" applyFill="1" applyBorder="1" applyAlignment="1" applyProtection="1">
      <alignment horizontal="center" vertical="center"/>
    </xf>
    <xf numFmtId="9" fontId="20" fillId="0" borderId="213" xfId="4" applyFont="1" applyFill="1" applyBorder="1" applyAlignment="1" applyProtection="1">
      <alignment horizontal="center" vertical="center"/>
    </xf>
    <xf numFmtId="0" fontId="0" fillId="2" borderId="30" xfId="0"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171" fontId="0" fillId="2" borderId="30" xfId="7" applyNumberFormat="1" applyFont="1" applyFill="1" applyBorder="1" applyAlignment="1" applyProtection="1">
      <alignment vertical="center"/>
      <protection locked="0"/>
    </xf>
    <xf numFmtId="9" fontId="10" fillId="8" borderId="220" xfId="4" applyFont="1" applyFill="1" applyBorder="1" applyAlignment="1" applyProtection="1">
      <alignment horizontal="center" vertical="center"/>
    </xf>
    <xf numFmtId="0" fontId="0" fillId="2" borderId="46" xfId="0" applyFill="1" applyBorder="1" applyAlignment="1" applyProtection="1">
      <alignment horizontal="left" vertical="center"/>
      <protection locked="0"/>
    </xf>
    <xf numFmtId="171" fontId="0" fillId="2" borderId="46" xfId="7" applyNumberFormat="1" applyFont="1" applyFill="1" applyBorder="1" applyAlignment="1" applyProtection="1">
      <alignment vertical="center"/>
      <protection locked="0"/>
    </xf>
    <xf numFmtId="181" fontId="7" fillId="0" borderId="0" xfId="7" applyNumberFormat="1"/>
    <xf numFmtId="0" fontId="0" fillId="25" borderId="0" xfId="0" applyFill="1"/>
    <xf numFmtId="9" fontId="5" fillId="0" borderId="0" xfId="0" applyNumberFormat="1" applyFont="1" applyAlignment="1">
      <alignment vertical="center"/>
    </xf>
    <xf numFmtId="182" fontId="5" fillId="0" borderId="0" xfId="0" applyNumberFormat="1" applyFont="1" applyAlignment="1">
      <alignment vertical="center"/>
    </xf>
    <xf numFmtId="172" fontId="5" fillId="0" borderId="0" xfId="0" applyNumberFormat="1" applyFont="1" applyAlignment="1">
      <alignment horizontal="center" vertical="center"/>
    </xf>
    <xf numFmtId="168" fontId="5" fillId="14" borderId="204" xfId="0" applyNumberFormat="1" applyFont="1" applyFill="1" applyBorder="1" applyAlignment="1">
      <alignment horizontal="center" vertical="center" wrapText="1"/>
    </xf>
    <xf numFmtId="168" fontId="5" fillId="14" borderId="208" xfId="0" applyNumberFormat="1" applyFont="1" applyFill="1" applyBorder="1" applyAlignment="1">
      <alignment horizontal="center" vertical="center" wrapText="1"/>
    </xf>
    <xf numFmtId="168" fontId="5" fillId="14" borderId="205" xfId="0" applyNumberFormat="1" applyFont="1" applyFill="1" applyBorder="1" applyAlignment="1">
      <alignment horizontal="center" vertical="center" wrapText="1"/>
    </xf>
    <xf numFmtId="168" fontId="5" fillId="3" borderId="217" xfId="0" applyNumberFormat="1" applyFont="1" applyFill="1" applyBorder="1" applyAlignment="1">
      <alignment horizontal="center" vertical="center" wrapText="1"/>
    </xf>
    <xf numFmtId="168" fontId="5" fillId="3" borderId="208" xfId="0" applyNumberFormat="1" applyFont="1" applyFill="1" applyBorder="1" applyAlignment="1">
      <alignment horizontal="center" vertical="center" wrapText="1"/>
    </xf>
    <xf numFmtId="168" fontId="5" fillId="3" borderId="205" xfId="0" applyNumberFormat="1" applyFont="1" applyFill="1" applyBorder="1" applyAlignment="1">
      <alignment horizontal="center" vertical="center" wrapText="1"/>
    </xf>
    <xf numFmtId="168" fontId="0" fillId="0" borderId="66" xfId="7" applyNumberFormat="1" applyFont="1" applyBorder="1" applyAlignment="1">
      <alignment vertical="center"/>
    </xf>
    <xf numFmtId="168" fontId="0" fillId="0" borderId="46" xfId="7" applyNumberFormat="1" applyFont="1" applyBorder="1" applyAlignment="1">
      <alignment vertical="center"/>
    </xf>
    <xf numFmtId="168" fontId="0" fillId="0" borderId="45" xfId="7" applyNumberFormat="1" applyFont="1" applyBorder="1" applyAlignment="1">
      <alignment vertical="center"/>
    </xf>
    <xf numFmtId="178" fontId="0" fillId="0" borderId="222" xfId="7" applyNumberFormat="1" applyFont="1" applyBorder="1" applyAlignment="1">
      <alignment vertical="center"/>
    </xf>
    <xf numFmtId="168" fontId="0" fillId="35" borderId="73" xfId="7" applyNumberFormat="1" applyFont="1" applyFill="1" applyBorder="1" applyAlignment="1">
      <alignment vertical="center"/>
    </xf>
    <xf numFmtId="168" fontId="0" fillId="35" borderId="74" xfId="7" applyNumberFormat="1" applyFont="1" applyFill="1" applyBorder="1" applyAlignment="1">
      <alignment vertical="center"/>
    </xf>
    <xf numFmtId="168" fontId="0" fillId="46" borderId="73" xfId="7" applyNumberFormat="1" applyFont="1" applyFill="1" applyBorder="1" applyAlignment="1">
      <alignment vertical="center"/>
    </xf>
    <xf numFmtId="168" fontId="0" fillId="46" borderId="74" xfId="7" applyNumberFormat="1" applyFont="1" applyFill="1" applyBorder="1" applyAlignment="1">
      <alignment vertical="center"/>
    </xf>
    <xf numFmtId="168" fontId="0" fillId="0" borderId="209" xfId="7" applyNumberFormat="1" applyFont="1" applyBorder="1" applyAlignment="1">
      <alignment vertical="center"/>
    </xf>
    <xf numFmtId="168" fontId="0" fillId="0" borderId="73" xfId="7" applyNumberFormat="1" applyFont="1" applyBorder="1" applyAlignment="1">
      <alignment vertical="center"/>
    </xf>
    <xf numFmtId="168" fontId="0" fillId="0" borderId="190" xfId="7" applyNumberFormat="1" applyFont="1" applyBorder="1" applyAlignment="1">
      <alignment vertical="center"/>
    </xf>
    <xf numFmtId="183" fontId="0" fillId="0" borderId="72" xfId="9" applyNumberFormat="1" applyFont="1" applyBorder="1" applyAlignment="1">
      <alignment horizontal="center" vertical="center"/>
    </xf>
    <xf numFmtId="183" fontId="7" fillId="0" borderId="73" xfId="9" applyNumberFormat="1" applyBorder="1" applyAlignment="1">
      <alignment horizontal="center"/>
    </xf>
    <xf numFmtId="183" fontId="7" fillId="0" borderId="74" xfId="9" applyNumberFormat="1" applyBorder="1" applyAlignment="1">
      <alignment horizontal="center"/>
    </xf>
    <xf numFmtId="178" fontId="5" fillId="0" borderId="222" xfId="7" applyNumberFormat="1" applyFont="1" applyBorder="1" applyAlignment="1">
      <alignment vertical="center"/>
    </xf>
    <xf numFmtId="168" fontId="0" fillId="33" borderId="72" xfId="7" applyNumberFormat="1" applyFont="1" applyFill="1" applyBorder="1" applyAlignment="1">
      <alignment vertical="center"/>
    </xf>
    <xf numFmtId="168" fontId="0" fillId="33" borderId="73" xfId="7" applyNumberFormat="1" applyFont="1" applyFill="1" applyBorder="1" applyAlignment="1">
      <alignment vertical="center"/>
    </xf>
    <xf numFmtId="168" fontId="0" fillId="33" borderId="74" xfId="7" applyNumberFormat="1" applyFont="1" applyFill="1" applyBorder="1" applyAlignment="1">
      <alignment vertical="center"/>
    </xf>
    <xf numFmtId="168" fontId="0" fillId="47" borderId="209" xfId="7" applyNumberFormat="1" applyFont="1" applyFill="1" applyBorder="1" applyAlignment="1">
      <alignment vertical="center"/>
    </xf>
    <xf numFmtId="168" fontId="0" fillId="47" borderId="73" xfId="7" applyNumberFormat="1" applyFont="1" applyFill="1" applyBorder="1" applyAlignment="1">
      <alignment vertical="center"/>
    </xf>
    <xf numFmtId="168" fontId="0" fillId="47" borderId="74" xfId="7" applyNumberFormat="1" applyFont="1" applyFill="1" applyBorder="1" applyAlignment="1">
      <alignment vertical="center"/>
    </xf>
    <xf numFmtId="168" fontId="0" fillId="1" borderId="209" xfId="7" applyNumberFormat="1" applyFont="1" applyFill="1" applyBorder="1" applyAlignment="1">
      <alignment vertical="center"/>
    </xf>
    <xf numFmtId="168" fontId="0" fillId="1" borderId="73" xfId="7" applyNumberFormat="1" applyFont="1" applyFill="1" applyBorder="1" applyAlignment="1">
      <alignment vertical="center"/>
    </xf>
    <xf numFmtId="168" fontId="0" fillId="1" borderId="190" xfId="7" applyNumberFormat="1" applyFont="1" applyFill="1" applyBorder="1" applyAlignment="1">
      <alignment vertical="center"/>
    </xf>
    <xf numFmtId="183" fontId="0" fillId="1" borderId="72" xfId="9" applyNumberFormat="1" applyFont="1" applyFill="1" applyBorder="1" applyAlignment="1">
      <alignment horizontal="center" vertical="center"/>
    </xf>
    <xf numFmtId="183" fontId="7" fillId="1" borderId="73" xfId="9" applyNumberFormat="1" applyFill="1" applyBorder="1" applyAlignment="1">
      <alignment horizontal="center"/>
    </xf>
    <xf numFmtId="183" fontId="7" fillId="1" borderId="74" xfId="9" applyNumberFormat="1" applyFill="1" applyBorder="1" applyAlignment="1">
      <alignment horizontal="center"/>
    </xf>
    <xf numFmtId="178" fontId="0" fillId="0" borderId="222" xfId="7" applyNumberFormat="1" applyFont="1" applyBorder="1" applyAlignment="1">
      <alignment horizontal="right" vertical="center"/>
    </xf>
    <xf numFmtId="178" fontId="0" fillId="0" borderId="54" xfId="7" applyNumberFormat="1" applyFont="1" applyBorder="1" applyAlignment="1">
      <alignment horizontal="right" vertical="center"/>
    </xf>
    <xf numFmtId="168" fontId="0" fillId="33" borderId="51" xfId="7" applyNumberFormat="1" applyFont="1" applyFill="1" applyBorder="1" applyAlignment="1">
      <alignment vertical="center"/>
    </xf>
    <xf numFmtId="168" fontId="0" fillId="35" borderId="30" xfId="7" applyNumberFormat="1" applyFont="1" applyFill="1" applyBorder="1" applyAlignment="1">
      <alignment vertical="center"/>
    </xf>
    <xf numFmtId="168" fontId="0" fillId="35" borderId="31" xfId="7" applyNumberFormat="1" applyFont="1" applyFill="1" applyBorder="1" applyAlignment="1">
      <alignment vertical="center"/>
    </xf>
    <xf numFmtId="168" fontId="0" fillId="1" borderId="67" xfId="7" applyNumberFormat="1" applyFont="1" applyFill="1" applyBorder="1" applyAlignment="1">
      <alignment vertical="center"/>
    </xf>
    <xf numFmtId="168" fontId="0" fillId="0" borderId="30" xfId="7" applyNumberFormat="1" applyFont="1" applyBorder="1" applyAlignment="1">
      <alignment vertical="center"/>
    </xf>
    <xf numFmtId="168" fontId="0" fillId="0" borderId="52" xfId="7" applyNumberFormat="1" applyFont="1" applyBorder="1" applyAlignment="1">
      <alignment vertical="center"/>
    </xf>
    <xf numFmtId="183" fontId="0" fillId="1" borderId="51" xfId="9" applyNumberFormat="1" applyFont="1" applyFill="1" applyBorder="1" applyAlignment="1">
      <alignment horizontal="center" vertical="center"/>
    </xf>
    <xf numFmtId="183" fontId="7" fillId="1" borderId="30" xfId="9" applyNumberFormat="1" applyFill="1" applyBorder="1" applyAlignment="1">
      <alignment horizontal="center"/>
    </xf>
    <xf numFmtId="183" fontId="7" fillId="1" borderId="31" xfId="9" applyNumberFormat="1" applyFill="1" applyBorder="1" applyAlignment="1">
      <alignment horizontal="center"/>
    </xf>
    <xf numFmtId="178" fontId="0" fillId="0" borderId="223" xfId="7" applyNumberFormat="1" applyFont="1" applyBorder="1" applyAlignment="1">
      <alignment vertical="center"/>
    </xf>
    <xf numFmtId="168" fontId="0" fillId="35" borderId="224" xfId="7" applyNumberFormat="1" applyFont="1" applyFill="1" applyBorder="1" applyAlignment="1">
      <alignment vertical="center"/>
    </xf>
    <xf numFmtId="168" fontId="0" fillId="46" borderId="206" xfId="7" applyNumberFormat="1" applyFont="1" applyFill="1" applyBorder="1" applyAlignment="1">
      <alignment vertical="center"/>
    </xf>
    <xf numFmtId="183" fontId="7" fillId="0" borderId="92" xfId="9" applyNumberFormat="1" applyBorder="1" applyAlignment="1">
      <alignment horizontal="center"/>
    </xf>
    <xf numFmtId="183" fontId="7" fillId="0" borderId="225" xfId="9" applyNumberFormat="1" applyBorder="1" applyAlignment="1">
      <alignment horizontal="center"/>
    </xf>
    <xf numFmtId="178" fontId="0" fillId="0" borderId="221" xfId="7" applyNumberFormat="1" applyFont="1" applyBorder="1" applyAlignment="1">
      <alignment horizontal="right" vertical="center"/>
    </xf>
    <xf numFmtId="168" fontId="0" fillId="1" borderId="217" xfId="7" applyNumberFormat="1" applyFont="1" applyFill="1" applyBorder="1" applyAlignment="1">
      <alignment vertical="center"/>
    </xf>
    <xf numFmtId="168" fontId="0" fillId="0" borderId="218" xfId="7" applyNumberFormat="1" applyFont="1" applyBorder="1" applyAlignment="1">
      <alignment vertical="center"/>
    </xf>
    <xf numFmtId="168" fontId="0" fillId="47" borderId="30" xfId="7" applyNumberFormat="1" applyFont="1" applyFill="1" applyBorder="1" applyAlignment="1">
      <alignment vertical="center"/>
    </xf>
    <xf numFmtId="178" fontId="0" fillId="0" borderId="221" xfId="7" applyNumberFormat="1" applyFont="1" applyBorder="1" applyAlignment="1">
      <alignment vertical="center"/>
    </xf>
    <xf numFmtId="168" fontId="0" fillId="1" borderId="66" xfId="7" applyNumberFormat="1" applyFont="1" applyFill="1" applyBorder="1" applyAlignment="1">
      <alignment vertical="center"/>
    </xf>
    <xf numFmtId="168" fontId="0" fillId="46" borderId="217" xfId="7" applyNumberFormat="1" applyFont="1" applyFill="1" applyBorder="1" applyAlignment="1">
      <alignment vertical="center"/>
    </xf>
    <xf numFmtId="168" fontId="0" fillId="0" borderId="217" xfId="7" applyNumberFormat="1" applyFont="1" applyBorder="1" applyAlignment="1">
      <alignment vertical="center"/>
    </xf>
    <xf numFmtId="0" fontId="8" fillId="0" borderId="214" xfId="0" applyFont="1" applyBorder="1" applyAlignment="1">
      <alignment horizontal="center" vertical="center" wrapText="1"/>
    </xf>
    <xf numFmtId="178" fontId="0" fillId="0" borderId="214" xfId="7" applyNumberFormat="1" applyFont="1" applyBorder="1" applyAlignment="1">
      <alignment vertical="center"/>
    </xf>
    <xf numFmtId="168" fontId="0" fillId="1" borderId="226" xfId="7" applyNumberFormat="1" applyFont="1" applyFill="1" applyBorder="1" applyAlignment="1">
      <alignment vertical="center"/>
    </xf>
    <xf numFmtId="168" fontId="0" fillId="0" borderId="78" xfId="7" applyNumberFormat="1" applyFont="1" applyBorder="1" applyAlignment="1">
      <alignment vertical="center"/>
    </xf>
    <xf numFmtId="183" fontId="0" fillId="1" borderId="77" xfId="9" applyNumberFormat="1" applyFont="1" applyFill="1" applyBorder="1" applyAlignment="1">
      <alignment horizontal="center" vertical="center"/>
    </xf>
    <xf numFmtId="183" fontId="7" fillId="0" borderId="78" xfId="9" applyNumberFormat="1" applyBorder="1" applyAlignment="1">
      <alignment horizontal="center"/>
    </xf>
    <xf numFmtId="183" fontId="7" fillId="0" borderId="79" xfId="9" applyNumberFormat="1" applyBorder="1" applyAlignment="1">
      <alignment horizontal="center"/>
    </xf>
    <xf numFmtId="0" fontId="0" fillId="0" borderId="0" xfId="0" applyAlignment="1">
      <alignment horizontal="left" vertical="center"/>
    </xf>
    <xf numFmtId="168" fontId="0" fillId="35" borderId="238" xfId="7" applyNumberFormat="1" applyFont="1" applyFill="1" applyBorder="1" applyAlignment="1">
      <alignment vertical="center"/>
    </xf>
    <xf numFmtId="168" fontId="0" fillId="35" borderId="246" xfId="7" applyNumberFormat="1" applyFont="1" applyFill="1" applyBorder="1" applyAlignment="1">
      <alignment vertical="center"/>
    </xf>
    <xf numFmtId="168" fontId="0" fillId="35" borderId="245" xfId="7" applyNumberFormat="1" applyFont="1" applyFill="1" applyBorder="1" applyAlignment="1">
      <alignment vertical="center"/>
    </xf>
    <xf numFmtId="0" fontId="0" fillId="0" borderId="0" xfId="0" applyProtection="1">
      <protection locked="0"/>
    </xf>
    <xf numFmtId="0" fontId="5" fillId="0" borderId="0" xfId="0" applyFont="1" applyAlignment="1" applyProtection="1">
      <alignment vertical="center"/>
      <protection locked="0"/>
    </xf>
    <xf numFmtId="0" fontId="9" fillId="50" borderId="243" xfId="0" applyFont="1" applyFill="1" applyBorder="1" applyAlignment="1">
      <alignment horizontal="center" vertical="center"/>
    </xf>
    <xf numFmtId="0" fontId="0" fillId="25" borderId="243" xfId="0" applyFill="1" applyBorder="1" applyAlignment="1">
      <alignment horizontal="left"/>
    </xf>
    <xf numFmtId="181" fontId="7" fillId="2" borderId="243" xfId="7" applyNumberFormat="1" applyFill="1" applyBorder="1" applyProtection="1">
      <protection locked="0"/>
    </xf>
    <xf numFmtId="0" fontId="0" fillId="25" borderId="243" xfId="0" applyFill="1" applyBorder="1" applyAlignment="1">
      <alignment horizontal="center"/>
    </xf>
    <xf numFmtId="0" fontId="5" fillId="25" borderId="0" xfId="0" applyFont="1" applyFill="1" applyAlignment="1">
      <alignment horizontal="center" vertical="center"/>
    </xf>
    <xf numFmtId="0" fontId="0" fillId="25" borderId="0" xfId="0" applyFill="1" applyAlignment="1">
      <alignment vertical="center"/>
    </xf>
    <xf numFmtId="0" fontId="5" fillId="25" borderId="0" xfId="0" applyFont="1" applyFill="1" applyAlignment="1">
      <alignment vertical="center"/>
    </xf>
    <xf numFmtId="0" fontId="5" fillId="25" borderId="1" xfId="0" applyFont="1" applyFill="1" applyBorder="1" applyAlignment="1">
      <alignment horizontal="center" vertical="center"/>
    </xf>
    <xf numFmtId="0" fontId="5" fillId="25" borderId="0" xfId="0" applyFont="1" applyFill="1" applyAlignment="1">
      <alignment horizontal="right" vertical="center"/>
    </xf>
    <xf numFmtId="0" fontId="17" fillId="25" borderId="0" xfId="0" applyFont="1" applyFill="1" applyAlignment="1">
      <alignment vertical="center"/>
    </xf>
    <xf numFmtId="0" fontId="0" fillId="25" borderId="0" xfId="0" applyFill="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9" fontId="25" fillId="25" borderId="0" xfId="0" applyNumberFormat="1" applyFont="1" applyFill="1" applyAlignment="1">
      <alignment horizontal="center"/>
    </xf>
    <xf numFmtId="0" fontId="2" fillId="37" borderId="81" xfId="0" applyFont="1" applyFill="1" applyBorder="1" applyAlignment="1">
      <alignment horizontal="left" vertical="center" indent="1"/>
    </xf>
    <xf numFmtId="0" fontId="2" fillId="51" borderId="226" xfId="0" applyFont="1" applyFill="1" applyBorder="1" applyAlignment="1">
      <alignment horizontal="center" vertical="center" wrapText="1"/>
    </xf>
    <xf numFmtId="0" fontId="2" fillId="51" borderId="78" xfId="0" applyFont="1" applyFill="1" applyBorder="1" applyAlignment="1">
      <alignment horizontal="center" vertical="center" wrapText="1"/>
    </xf>
    <xf numFmtId="0" fontId="2" fillId="52" borderId="78" xfId="0" applyFont="1" applyFill="1" applyBorder="1" applyAlignment="1">
      <alignment horizontal="center" vertical="center" wrapText="1"/>
    </xf>
    <xf numFmtId="0" fontId="2" fillId="52" borderId="227" xfId="0" applyFont="1" applyFill="1" applyBorder="1" applyAlignment="1">
      <alignment horizontal="center" vertical="center" wrapText="1"/>
    </xf>
    <xf numFmtId="0" fontId="2" fillId="52" borderId="81" xfId="0" applyFont="1" applyFill="1" applyBorder="1" applyAlignment="1">
      <alignment horizontal="center" vertical="center" wrapText="1"/>
    </xf>
    <xf numFmtId="0" fontId="0" fillId="25" borderId="239" xfId="0" applyFill="1" applyBorder="1" applyAlignment="1">
      <alignment horizontal="left" indent="2"/>
    </xf>
    <xf numFmtId="185" fontId="0" fillId="25" borderId="248" xfId="0" applyNumberFormat="1" applyFill="1" applyBorder="1"/>
    <xf numFmtId="185" fontId="2" fillId="25" borderId="239" xfId="0" applyNumberFormat="1" applyFont="1" applyFill="1" applyBorder="1"/>
    <xf numFmtId="185" fontId="0" fillId="25" borderId="251" xfId="0" applyNumberFormat="1" applyFill="1" applyBorder="1"/>
    <xf numFmtId="185" fontId="0" fillId="25" borderId="252" xfId="0" applyNumberFormat="1" applyFill="1" applyBorder="1"/>
    <xf numFmtId="185" fontId="0" fillId="25" borderId="253" xfId="0" applyNumberFormat="1" applyFill="1" applyBorder="1"/>
    <xf numFmtId="0" fontId="0" fillId="25" borderId="254" xfId="0" applyFill="1" applyBorder="1" applyAlignment="1">
      <alignment horizontal="left" indent="2"/>
    </xf>
    <xf numFmtId="185" fontId="0" fillId="25" borderId="217" xfId="0" applyNumberFormat="1" applyFill="1" applyBorder="1"/>
    <xf numFmtId="0" fontId="2" fillId="9" borderId="81" xfId="0" applyFont="1" applyFill="1" applyBorder="1" applyAlignment="1">
      <alignment horizontal="left" indent="2"/>
    </xf>
    <xf numFmtId="185" fontId="2" fillId="25" borderId="226" xfId="0" applyNumberFormat="1" applyFont="1" applyFill="1" applyBorder="1"/>
    <xf numFmtId="185" fontId="2" fillId="25" borderId="78" xfId="0" applyNumberFormat="1" applyFont="1" applyFill="1" applyBorder="1"/>
    <xf numFmtId="185" fontId="2" fillId="25" borderId="227" xfId="0" applyNumberFormat="1" applyFont="1" applyFill="1" applyBorder="1"/>
    <xf numFmtId="185" fontId="2" fillId="25" borderId="81" xfId="0" applyNumberFormat="1" applyFont="1" applyFill="1" applyBorder="1"/>
    <xf numFmtId="0" fontId="26" fillId="25" borderId="0" xfId="0" applyFont="1" applyFill="1" applyAlignment="1">
      <alignment horizontal="left"/>
    </xf>
    <xf numFmtId="166" fontId="27" fillId="0" borderId="0" xfId="9" applyFont="1" applyAlignment="1">
      <alignment horizontal="center"/>
    </xf>
    <xf numFmtId="166" fontId="27" fillId="0" borderId="0" xfId="9" applyFont="1"/>
    <xf numFmtId="0" fontId="0" fillId="25" borderId="0" xfId="0" applyFill="1" applyAlignment="1">
      <alignment horizontal="center"/>
    </xf>
    <xf numFmtId="9" fontId="7" fillId="0" borderId="0" xfId="9" applyNumberFormat="1" applyAlignment="1">
      <alignment horizontal="center"/>
    </xf>
    <xf numFmtId="185" fontId="0" fillId="25" borderId="255" xfId="0" applyNumberFormat="1" applyFill="1" applyBorder="1"/>
    <xf numFmtId="185" fontId="0" fillId="25" borderId="256" xfId="0" applyNumberFormat="1" applyFill="1" applyBorder="1"/>
    <xf numFmtId="9" fontId="27" fillId="25" borderId="0" xfId="10" applyFont="1" applyFill="1" applyAlignment="1">
      <alignment horizontal="center"/>
    </xf>
    <xf numFmtId="185" fontId="2" fillId="25" borderId="0" xfId="0" applyNumberFormat="1" applyFont="1" applyFill="1"/>
    <xf numFmtId="9" fontId="11" fillId="25" borderId="0" xfId="10" applyFont="1" applyFill="1" applyAlignment="1">
      <alignment horizontal="center"/>
    </xf>
    <xf numFmtId="9" fontId="21" fillId="0" borderId="0" xfId="9" applyNumberFormat="1" applyFont="1" applyAlignment="1">
      <alignment horizontal="center"/>
    </xf>
    <xf numFmtId="0" fontId="28" fillId="25" borderId="0" xfId="0" applyFont="1" applyFill="1"/>
    <xf numFmtId="0" fontId="3" fillId="0" borderId="0" xfId="5" applyBorder="1" applyAlignment="1" applyProtection="1">
      <alignment horizontal="left" vertical="center" indent="2"/>
    </xf>
    <xf numFmtId="0" fontId="0" fillId="25" borderId="219" xfId="0" applyFill="1" applyBorder="1" applyAlignment="1">
      <alignment horizontal="left" indent="2"/>
    </xf>
    <xf numFmtId="185" fontId="0" fillId="25" borderId="69" xfId="0" applyNumberFormat="1" applyFill="1" applyBorder="1"/>
    <xf numFmtId="185" fontId="2" fillId="25" borderId="240" xfId="0" applyNumberFormat="1" applyFont="1" applyFill="1" applyBorder="1"/>
    <xf numFmtId="0" fontId="8" fillId="2" borderId="0" xfId="0" applyFont="1" applyFill="1" applyAlignment="1" applyProtection="1">
      <alignment horizontal="center" vertical="center"/>
      <protection locked="0"/>
    </xf>
    <xf numFmtId="0" fontId="2" fillId="52" borderId="257" xfId="0" applyFont="1" applyFill="1" applyBorder="1" applyAlignment="1">
      <alignment horizontal="center" vertical="center" wrapText="1"/>
    </xf>
    <xf numFmtId="185" fontId="2" fillId="25" borderId="257" xfId="0" applyNumberFormat="1" applyFont="1" applyFill="1" applyBorder="1"/>
    <xf numFmtId="0" fontId="2" fillId="52" borderId="82" xfId="0" applyFont="1" applyFill="1" applyBorder="1" applyAlignment="1">
      <alignment horizontal="center" vertical="center" wrapText="1"/>
    </xf>
    <xf numFmtId="185" fontId="2" fillId="25" borderId="82" xfId="0" applyNumberFormat="1" applyFont="1" applyFill="1" applyBorder="1"/>
    <xf numFmtId="0" fontId="29" fillId="0" borderId="0" xfId="0" applyFont="1" applyAlignment="1">
      <alignment horizontal="center" vertical="center"/>
    </xf>
    <xf numFmtId="0" fontId="29" fillId="0" borderId="0" xfId="0" applyFont="1" applyAlignment="1">
      <alignment vertical="center"/>
    </xf>
    <xf numFmtId="0" fontId="3" fillId="0" borderId="0" xfId="5" applyBorder="1" applyAlignment="1" applyProtection="1">
      <alignment horizontal="left" vertical="center"/>
    </xf>
    <xf numFmtId="0" fontId="3" fillId="0" borderId="0" xfId="5" applyBorder="1" applyAlignment="1" applyProtection="1">
      <alignment vertical="center"/>
    </xf>
    <xf numFmtId="0" fontId="0" fillId="25" borderId="0" xfId="0" applyFill="1" applyAlignment="1" applyProtection="1">
      <alignment horizontal="left" vertical="center" wrapText="1"/>
      <protection locked="0"/>
    </xf>
    <xf numFmtId="0" fontId="0" fillId="25" borderId="0" xfId="0" applyFill="1" applyProtection="1">
      <protection locked="0"/>
    </xf>
    <xf numFmtId="0" fontId="0" fillId="2" borderId="252" xfId="0" applyFill="1" applyBorder="1" applyAlignment="1" applyProtection="1">
      <alignment horizontal="left" vertical="center"/>
      <protection locked="0"/>
    </xf>
    <xf numFmtId="168" fontId="0" fillId="35" borderId="252" xfId="7" applyNumberFormat="1" applyFont="1" applyFill="1" applyBorder="1" applyAlignment="1">
      <alignment vertical="center"/>
    </xf>
    <xf numFmtId="168" fontId="0" fillId="46" borderId="252" xfId="7" applyNumberFormat="1" applyFont="1" applyFill="1" applyBorder="1" applyAlignment="1">
      <alignment vertical="center"/>
    </xf>
    <xf numFmtId="181" fontId="0" fillId="25" borderId="0" xfId="0" applyNumberFormat="1" applyFill="1"/>
    <xf numFmtId="0" fontId="0" fillId="2" borderId="263" xfId="0" applyFill="1" applyBorder="1" applyAlignment="1" applyProtection="1">
      <alignment horizontal="left" vertical="center"/>
      <protection locked="0"/>
    </xf>
    <xf numFmtId="171" fontId="0" fillId="2" borderId="263" xfId="7" applyNumberFormat="1" applyFont="1" applyFill="1" applyBorder="1" applyAlignment="1" applyProtection="1">
      <alignment vertical="center"/>
      <protection locked="0"/>
    </xf>
    <xf numFmtId="0" fontId="30" fillId="2" borderId="73" xfId="0" applyFont="1" applyFill="1" applyBorder="1" applyAlignment="1" applyProtection="1">
      <alignment horizontal="left" vertical="center"/>
      <protection locked="0"/>
    </xf>
    <xf numFmtId="168" fontId="31" fillId="55" borderId="252" xfId="7" applyNumberFormat="1" applyFont="1" applyFill="1" applyBorder="1" applyAlignment="1" applyProtection="1">
      <alignment vertical="center"/>
      <protection locked="0"/>
    </xf>
    <xf numFmtId="168" fontId="32" fillId="2" borderId="146" xfId="2" applyNumberFormat="1" applyFont="1" applyFill="1" applyBorder="1" applyAlignment="1" applyProtection="1">
      <alignment vertical="center"/>
      <protection locked="0"/>
    </xf>
    <xf numFmtId="176" fontId="32" fillId="2" borderId="146" xfId="1" applyNumberFormat="1" applyFont="1" applyFill="1" applyBorder="1" applyAlignment="1" applyProtection="1">
      <alignment vertical="center"/>
      <protection locked="0"/>
    </xf>
    <xf numFmtId="168" fontId="33" fillId="55" borderId="252" xfId="7" applyNumberFormat="1" applyFont="1" applyFill="1" applyBorder="1" applyAlignment="1" applyProtection="1">
      <alignment vertical="center"/>
      <protection locked="0"/>
    </xf>
    <xf numFmtId="176" fontId="33" fillId="55" borderId="252" xfId="1" applyNumberFormat="1" applyFont="1" applyFill="1" applyBorder="1" applyAlignment="1" applyProtection="1">
      <alignment vertical="center"/>
      <protection locked="0"/>
    </xf>
    <xf numFmtId="172" fontId="0" fillId="0" borderId="0" xfId="4" applyNumberFormat="1" applyFont="1"/>
    <xf numFmtId="187" fontId="0" fillId="2" borderId="46" xfId="7" applyNumberFormat="1" applyFont="1" applyFill="1" applyBorder="1" applyAlignment="1" applyProtection="1">
      <alignment vertical="center"/>
      <protection locked="0"/>
    </xf>
    <xf numFmtId="42" fontId="0" fillId="25" borderId="0" xfId="0" applyNumberFormat="1" applyFill="1"/>
    <xf numFmtId="168" fontId="0" fillId="0" borderId="0" xfId="0" applyNumberFormat="1"/>
    <xf numFmtId="0" fontId="7" fillId="53" borderId="252" xfId="8" applyFill="1" applyBorder="1" applyAlignment="1" applyProtection="1">
      <alignment horizontal="left" vertical="center"/>
      <protection locked="0"/>
    </xf>
    <xf numFmtId="0" fontId="7" fillId="53" borderId="252" xfId="8" applyFill="1" applyBorder="1" applyProtection="1">
      <protection locked="0"/>
    </xf>
    <xf numFmtId="181" fontId="0" fillId="53" borderId="252" xfId="7" applyNumberFormat="1" applyFont="1" applyFill="1" applyBorder="1" applyAlignment="1" applyProtection="1">
      <alignment vertical="center"/>
      <protection locked="0"/>
    </xf>
    <xf numFmtId="181" fontId="0" fillId="53" borderId="253" xfId="7" applyNumberFormat="1" applyFont="1" applyFill="1" applyBorder="1" applyAlignment="1" applyProtection="1">
      <alignment vertical="center"/>
      <protection locked="0"/>
    </xf>
    <xf numFmtId="0" fontId="7" fillId="53" borderId="30" xfId="8" applyFill="1" applyBorder="1" applyProtection="1">
      <protection locked="0"/>
    </xf>
    <xf numFmtId="0" fontId="7" fillId="53" borderId="269" xfId="8" applyFill="1" applyBorder="1" applyProtection="1">
      <protection locked="0"/>
    </xf>
    <xf numFmtId="171" fontId="0" fillId="2" borderId="252" xfId="11" applyNumberFormat="1" applyFont="1" applyFill="1" applyBorder="1" applyAlignment="1" applyProtection="1">
      <alignment vertical="center"/>
      <protection locked="0"/>
    </xf>
    <xf numFmtId="171" fontId="0" fillId="2" borderId="253" xfId="11" applyNumberFormat="1" applyFont="1" applyFill="1" applyBorder="1" applyAlignment="1" applyProtection="1">
      <alignment vertical="center"/>
      <protection locked="0"/>
    </xf>
    <xf numFmtId="0" fontId="7" fillId="53" borderId="51" xfId="8" applyFill="1" applyBorder="1" applyProtection="1">
      <protection locked="0"/>
    </xf>
    <xf numFmtId="171" fontId="0" fillId="2" borderId="30" xfId="11" applyNumberFormat="1" applyFont="1" applyFill="1" applyBorder="1" applyAlignment="1" applyProtection="1">
      <alignment vertical="center"/>
      <protection locked="0"/>
    </xf>
    <xf numFmtId="171" fontId="0" fillId="2" borderId="259" xfId="11" applyNumberFormat="1" applyFont="1" applyFill="1" applyBorder="1" applyAlignment="1" applyProtection="1">
      <alignment vertical="center"/>
      <protection locked="0"/>
    </xf>
    <xf numFmtId="0" fontId="26" fillId="25" borderId="0" xfId="0" applyFont="1" applyFill="1" applyAlignment="1">
      <alignment horizontal="right"/>
    </xf>
    <xf numFmtId="1" fontId="0" fillId="0" borderId="0" xfId="0" applyNumberFormat="1"/>
    <xf numFmtId="1" fontId="0" fillId="25" borderId="0" xfId="0" applyNumberFormat="1" applyFill="1"/>
    <xf numFmtId="171" fontId="0" fillId="2" borderId="258" xfId="7" applyNumberFormat="1" applyFont="1" applyFill="1" applyBorder="1" applyAlignment="1" applyProtection="1">
      <alignment vertical="center"/>
      <protection locked="0"/>
    </xf>
    <xf numFmtId="171" fontId="0" fillId="2" borderId="260" xfId="7" applyNumberFormat="1" applyFont="1" applyFill="1" applyBorder="1" applyAlignment="1" applyProtection="1">
      <alignment vertical="center"/>
      <protection locked="0"/>
    </xf>
    <xf numFmtId="171" fontId="0" fillId="2" borderId="273" xfId="7" applyNumberFormat="1" applyFont="1" applyFill="1" applyBorder="1" applyAlignment="1" applyProtection="1">
      <alignment vertical="center"/>
      <protection locked="0"/>
    </xf>
    <xf numFmtId="187" fontId="0" fillId="2" borderId="273" xfId="7" applyNumberFormat="1" applyFont="1" applyFill="1" applyBorder="1" applyAlignment="1" applyProtection="1">
      <alignment vertical="center"/>
      <protection locked="0"/>
    </xf>
    <xf numFmtId="171" fontId="0" fillId="2" borderId="276" xfId="7" applyNumberFormat="1" applyFont="1" applyFill="1" applyBorder="1" applyAlignment="1" applyProtection="1">
      <alignment vertical="center"/>
      <protection locked="0"/>
    </xf>
    <xf numFmtId="171" fontId="0" fillId="2" borderId="265" xfId="7" applyNumberFormat="1" applyFont="1" applyFill="1" applyBorder="1" applyAlignment="1" applyProtection="1">
      <alignment vertical="center"/>
      <protection locked="0"/>
    </xf>
    <xf numFmtId="171" fontId="0" fillId="2" borderId="254" xfId="7" applyNumberFormat="1" applyFont="1" applyFill="1" applyBorder="1" applyAlignment="1" applyProtection="1">
      <alignment vertical="center"/>
      <protection locked="0"/>
    </xf>
    <xf numFmtId="171" fontId="0" fillId="2" borderId="272" xfId="7" applyNumberFormat="1" applyFont="1" applyFill="1" applyBorder="1" applyAlignment="1" applyProtection="1">
      <alignment vertical="center"/>
      <protection locked="0"/>
    </xf>
    <xf numFmtId="187" fontId="0" fillId="2" borderId="272" xfId="7" applyNumberFormat="1" applyFont="1" applyFill="1" applyBorder="1" applyAlignment="1" applyProtection="1">
      <alignment vertical="center"/>
      <protection locked="0"/>
    </xf>
    <xf numFmtId="168" fontId="5" fillId="16" borderId="278" xfId="2" applyNumberFormat="1" applyFont="1" applyFill="1" applyBorder="1" applyAlignment="1" applyProtection="1">
      <alignment vertical="center"/>
    </xf>
    <xf numFmtId="168" fontId="0" fillId="0" borderId="279" xfId="0" applyNumberFormat="1" applyBorder="1" applyAlignment="1">
      <alignment vertical="center"/>
    </xf>
    <xf numFmtId="168" fontId="0" fillId="0" borderId="280" xfId="0" applyNumberFormat="1" applyBorder="1" applyAlignment="1">
      <alignment vertical="center"/>
    </xf>
    <xf numFmtId="168" fontId="5" fillId="16" borderId="252" xfId="0" applyNumberFormat="1" applyFont="1" applyFill="1" applyBorder="1" applyAlignment="1">
      <alignment vertical="center"/>
    </xf>
    <xf numFmtId="168" fontId="5" fillId="18" borderId="278" xfId="2" applyNumberFormat="1" applyFont="1" applyFill="1" applyBorder="1" applyAlignment="1" applyProtection="1">
      <alignment vertical="center"/>
    </xf>
    <xf numFmtId="168" fontId="0" fillId="0" borderId="278" xfId="2" applyNumberFormat="1" applyFont="1" applyFill="1" applyBorder="1" applyAlignment="1" applyProtection="1">
      <alignment vertical="center"/>
    </xf>
    <xf numFmtId="170" fontId="0" fillId="0" borderId="278" xfId="1" applyNumberFormat="1" applyFont="1" applyFill="1" applyBorder="1" applyAlignment="1" applyProtection="1">
      <alignment vertical="center"/>
    </xf>
    <xf numFmtId="168" fontId="0" fillId="0" borderId="252" xfId="0" applyNumberFormat="1" applyBorder="1" applyAlignment="1">
      <alignment vertical="center"/>
    </xf>
    <xf numFmtId="168" fontId="5" fillId="18" borderId="252" xfId="0" applyNumberFormat="1" applyFont="1" applyFill="1" applyBorder="1" applyAlignment="1">
      <alignment vertical="center"/>
    </xf>
    <xf numFmtId="168" fontId="0" fillId="0" borderId="283" xfId="2" applyNumberFormat="1" applyFont="1" applyFill="1" applyBorder="1" applyAlignment="1" applyProtection="1">
      <alignment vertical="center"/>
    </xf>
    <xf numFmtId="170" fontId="0" fillId="0" borderId="282" xfId="1" applyNumberFormat="1" applyFont="1" applyFill="1" applyBorder="1" applyAlignment="1" applyProtection="1">
      <alignment vertical="center"/>
    </xf>
    <xf numFmtId="168" fontId="5" fillId="18" borderId="285" xfId="2" applyNumberFormat="1" applyFont="1" applyFill="1" applyBorder="1" applyAlignment="1" applyProtection="1">
      <alignment vertical="center"/>
    </xf>
    <xf numFmtId="168" fontId="0" fillId="0" borderId="95" xfId="2" applyNumberFormat="1" applyFont="1" applyFill="1" applyBorder="1" applyAlignment="1" applyProtection="1">
      <alignment vertical="center"/>
    </xf>
    <xf numFmtId="168" fontId="5" fillId="18" borderId="282" xfId="2" applyNumberFormat="1" applyFont="1" applyFill="1" applyBorder="1" applyAlignment="1" applyProtection="1">
      <alignment vertical="center"/>
    </xf>
    <xf numFmtId="168" fontId="5" fillId="16" borderId="25" xfId="0" applyNumberFormat="1" applyFont="1" applyFill="1" applyBorder="1" applyAlignment="1">
      <alignment vertical="center"/>
    </xf>
    <xf numFmtId="168" fontId="0" fillId="0" borderId="25" xfId="0" applyNumberFormat="1" applyBorder="1" applyAlignment="1">
      <alignment vertical="center"/>
    </xf>
    <xf numFmtId="168" fontId="0" fillId="1" borderId="230" xfId="2" applyNumberFormat="1" applyFont="1" applyFill="1" applyBorder="1" applyAlignment="1" applyProtection="1">
      <alignment vertical="center"/>
    </xf>
    <xf numFmtId="168" fontId="11" fillId="2" borderId="270" xfId="2" applyNumberFormat="1" applyFont="1" applyFill="1" applyBorder="1" applyAlignment="1" applyProtection="1">
      <alignment vertical="center"/>
      <protection locked="0"/>
    </xf>
    <xf numFmtId="168" fontId="0" fillId="53" borderId="270" xfId="2" applyNumberFormat="1" applyFont="1" applyFill="1" applyBorder="1" applyAlignment="1" applyProtection="1">
      <alignment vertical="center"/>
      <protection locked="0"/>
    </xf>
    <xf numFmtId="168" fontId="0" fillId="2" borderId="270" xfId="7" applyNumberFormat="1" applyFont="1" applyFill="1" applyBorder="1" applyAlignment="1" applyProtection="1">
      <alignment vertical="center"/>
      <protection locked="0"/>
    </xf>
    <xf numFmtId="9" fontId="0" fillId="25" borderId="226" xfId="4" applyFont="1" applyFill="1" applyBorder="1" applyAlignment="1" applyProtection="1">
      <alignment horizontal="center" vertical="center"/>
    </xf>
    <xf numFmtId="178" fontId="0" fillId="0" borderId="267" xfId="7" applyNumberFormat="1" applyFont="1" applyBorder="1" applyAlignment="1">
      <alignment vertical="center"/>
    </xf>
    <xf numFmtId="178" fontId="0" fillId="0" borderId="268" xfId="7" applyNumberFormat="1" applyFont="1" applyBorder="1" applyAlignment="1">
      <alignment vertical="center"/>
    </xf>
    <xf numFmtId="178" fontId="5" fillId="0" borderId="268" xfId="7" applyNumberFormat="1" applyFont="1" applyBorder="1" applyAlignment="1">
      <alignment vertical="center"/>
    </xf>
    <xf numFmtId="178" fontId="0" fillId="0" borderId="268" xfId="7" applyNumberFormat="1" applyFont="1" applyBorder="1" applyAlignment="1">
      <alignment horizontal="right" vertical="center"/>
    </xf>
    <xf numFmtId="168" fontId="0" fillId="35" borderId="286" xfId="7" applyNumberFormat="1" applyFont="1" applyFill="1" applyBorder="1" applyAlignment="1">
      <alignment vertical="center"/>
    </xf>
    <xf numFmtId="168" fontId="0" fillId="35" borderId="287" xfId="7" applyNumberFormat="1" applyFont="1" applyFill="1" applyBorder="1" applyAlignment="1">
      <alignment vertical="center"/>
    </xf>
    <xf numFmtId="168" fontId="0" fillId="35" borderId="290" xfId="7" applyNumberFormat="1" applyFont="1" applyFill="1" applyBorder="1" applyAlignment="1">
      <alignment vertical="center"/>
    </xf>
    <xf numFmtId="168" fontId="0" fillId="33" borderId="252" xfId="7" applyNumberFormat="1" applyFont="1" applyFill="1" applyBorder="1" applyAlignment="1">
      <alignment vertical="center"/>
    </xf>
    <xf numFmtId="168" fontId="0" fillId="35" borderId="275" xfId="7" applyNumberFormat="1" applyFont="1" applyFill="1" applyBorder="1" applyAlignment="1">
      <alignment vertical="center"/>
    </xf>
    <xf numFmtId="168" fontId="0" fillId="35" borderId="274" xfId="7" applyNumberFormat="1" applyFont="1" applyFill="1" applyBorder="1" applyAlignment="1">
      <alignment vertical="center"/>
    </xf>
    <xf numFmtId="168" fontId="0" fillId="35" borderId="269" xfId="7" applyNumberFormat="1" applyFont="1" applyFill="1" applyBorder="1" applyAlignment="1">
      <alignment vertical="center"/>
    </xf>
    <xf numFmtId="168" fontId="0" fillId="35" borderId="270" xfId="7" applyNumberFormat="1" applyFont="1" applyFill="1" applyBorder="1" applyAlignment="1">
      <alignment vertical="center"/>
    </xf>
    <xf numFmtId="168" fontId="0" fillId="33" borderId="269" xfId="7" applyNumberFormat="1" applyFont="1" applyFill="1" applyBorder="1" applyAlignment="1">
      <alignment vertical="center"/>
    </xf>
    <xf numFmtId="168" fontId="0" fillId="33" borderId="270" xfId="7" applyNumberFormat="1" applyFont="1" applyFill="1" applyBorder="1" applyAlignment="1">
      <alignment vertical="center"/>
    </xf>
    <xf numFmtId="168" fontId="0" fillId="35" borderId="266" xfId="7" applyNumberFormat="1" applyFont="1" applyFill="1" applyBorder="1" applyAlignment="1">
      <alignment vertical="center"/>
    </xf>
    <xf numFmtId="168" fontId="0" fillId="35" borderId="253" xfId="7" applyNumberFormat="1" applyFont="1" applyFill="1" applyBorder="1" applyAlignment="1">
      <alignment vertical="center"/>
    </xf>
    <xf numFmtId="168" fontId="0" fillId="33" borderId="253" xfId="7" applyNumberFormat="1" applyFont="1" applyFill="1" applyBorder="1" applyAlignment="1">
      <alignment vertical="center"/>
    </xf>
    <xf numFmtId="168" fontId="0" fillId="35" borderId="259" xfId="7" applyNumberFormat="1" applyFont="1" applyFill="1" applyBorder="1" applyAlignment="1">
      <alignment vertical="center"/>
    </xf>
    <xf numFmtId="168" fontId="0" fillId="46" borderId="237" xfId="7" applyNumberFormat="1" applyFont="1" applyFill="1" applyBorder="1" applyAlignment="1">
      <alignment vertical="center"/>
    </xf>
    <xf numFmtId="168" fontId="0" fillId="46" borderId="287" xfId="7" applyNumberFormat="1" applyFont="1" applyFill="1" applyBorder="1" applyAlignment="1">
      <alignment vertical="center"/>
    </xf>
    <xf numFmtId="168" fontId="0" fillId="46" borderId="290" xfId="7" applyNumberFormat="1" applyFont="1" applyFill="1" applyBorder="1" applyAlignment="1">
      <alignment vertical="center"/>
    </xf>
    <xf numFmtId="168" fontId="0" fillId="47" borderId="252" xfId="7" applyNumberFormat="1" applyFont="1" applyFill="1" applyBorder="1" applyAlignment="1">
      <alignment vertical="center"/>
    </xf>
    <xf numFmtId="168" fontId="0" fillId="46" borderId="275" xfId="7" applyNumberFormat="1" applyFont="1" applyFill="1" applyBorder="1" applyAlignment="1">
      <alignment vertical="center"/>
    </xf>
    <xf numFmtId="168" fontId="0" fillId="46" borderId="274" xfId="7" applyNumberFormat="1" applyFont="1" applyFill="1" applyBorder="1" applyAlignment="1">
      <alignment vertical="center"/>
    </xf>
    <xf numFmtId="168" fontId="0" fillId="46" borderId="246" xfId="7" applyNumberFormat="1" applyFont="1" applyFill="1" applyBorder="1" applyAlignment="1">
      <alignment vertical="center"/>
    </xf>
    <xf numFmtId="168" fontId="0" fillId="46" borderId="269" xfId="7" applyNumberFormat="1" applyFont="1" applyFill="1" applyBorder="1" applyAlignment="1">
      <alignment vertical="center"/>
    </xf>
    <xf numFmtId="168" fontId="0" fillId="46" borderId="270" xfId="7" applyNumberFormat="1" applyFont="1" applyFill="1" applyBorder="1" applyAlignment="1">
      <alignment vertical="center"/>
    </xf>
    <xf numFmtId="168" fontId="0" fillId="47" borderId="269" xfId="7" applyNumberFormat="1" applyFont="1" applyFill="1" applyBorder="1" applyAlignment="1">
      <alignment vertical="center"/>
    </xf>
    <xf numFmtId="168" fontId="0" fillId="47" borderId="270" xfId="7" applyNumberFormat="1" applyFont="1" applyFill="1" applyBorder="1" applyAlignment="1">
      <alignment vertical="center"/>
    </xf>
    <xf numFmtId="168" fontId="0" fillId="47" borderId="51" xfId="7" applyNumberFormat="1" applyFont="1" applyFill="1" applyBorder="1" applyAlignment="1">
      <alignment vertical="center"/>
    </xf>
    <xf numFmtId="168" fontId="0" fillId="46" borderId="30" xfId="7" applyNumberFormat="1" applyFont="1" applyFill="1" applyBorder="1" applyAlignment="1">
      <alignment vertical="center"/>
    </xf>
    <xf numFmtId="168" fontId="0" fillId="46" borderId="31" xfId="7" applyNumberFormat="1" applyFont="1" applyFill="1" applyBorder="1" applyAlignment="1">
      <alignment vertical="center"/>
    </xf>
    <xf numFmtId="183" fontId="7" fillId="0" borderId="252" xfId="9" applyNumberFormat="1" applyBorder="1" applyAlignment="1">
      <alignment horizontal="center"/>
    </xf>
    <xf numFmtId="183" fontId="7" fillId="1" borderId="252" xfId="9" applyNumberFormat="1" applyFill="1" applyBorder="1" applyAlignment="1">
      <alignment horizontal="center"/>
    </xf>
    <xf numFmtId="183" fontId="0" fillId="0" borderId="275" xfId="9" applyNumberFormat="1" applyFont="1" applyBorder="1" applyAlignment="1">
      <alignment horizontal="center" vertical="center"/>
    </xf>
    <xf numFmtId="183" fontId="7" fillId="0" borderId="274" xfId="9" applyNumberFormat="1" applyBorder="1" applyAlignment="1">
      <alignment horizontal="center"/>
    </xf>
    <xf numFmtId="183" fontId="7" fillId="0" borderId="246" xfId="9" applyNumberFormat="1" applyBorder="1" applyAlignment="1">
      <alignment horizontal="center"/>
    </xf>
    <xf numFmtId="183" fontId="0" fillId="0" borderId="269" xfId="9" applyNumberFormat="1" applyFont="1" applyBorder="1" applyAlignment="1">
      <alignment horizontal="center" vertical="center"/>
    </xf>
    <xf numFmtId="183" fontId="7" fillId="0" borderId="270" xfId="9" applyNumberFormat="1" applyBorder="1" applyAlignment="1">
      <alignment horizontal="center"/>
    </xf>
    <xf numFmtId="183" fontId="0" fillId="1" borderId="269" xfId="9" applyNumberFormat="1" applyFont="1" applyFill="1" applyBorder="1" applyAlignment="1">
      <alignment horizontal="center" vertical="center"/>
    </xf>
    <xf numFmtId="183" fontId="7" fillId="1" borderId="270" xfId="9" applyNumberFormat="1" applyFill="1" applyBorder="1" applyAlignment="1">
      <alignment horizontal="center"/>
    </xf>
    <xf numFmtId="168" fontId="0" fillId="0" borderId="237" xfId="7" applyNumberFormat="1" applyFont="1" applyBorder="1" applyAlignment="1">
      <alignment vertical="center"/>
    </xf>
    <xf numFmtId="168" fontId="0" fillId="0" borderId="287" xfId="7" applyNumberFormat="1" applyFont="1" applyBorder="1" applyAlignment="1">
      <alignment vertical="center"/>
    </xf>
    <xf numFmtId="168" fontId="0" fillId="0" borderId="288" xfId="7" applyNumberFormat="1" applyFont="1" applyBorder="1" applyAlignment="1">
      <alignment vertical="center"/>
    </xf>
    <xf numFmtId="183" fontId="0" fillId="0" borderId="286" xfId="9" applyNumberFormat="1" applyFont="1" applyBorder="1" applyAlignment="1">
      <alignment horizontal="center" vertical="center"/>
    </xf>
    <xf numFmtId="183" fontId="7" fillId="0" borderId="287" xfId="9" applyNumberFormat="1" applyBorder="1" applyAlignment="1">
      <alignment horizontal="center"/>
    </xf>
    <xf numFmtId="183" fontId="7" fillId="0" borderId="290" xfId="9" applyNumberFormat="1" applyBorder="1" applyAlignment="1">
      <alignment horizontal="center"/>
    </xf>
    <xf numFmtId="168" fontId="0" fillId="0" borderId="274" xfId="7" applyNumberFormat="1" applyFont="1" applyBorder="1" applyAlignment="1">
      <alignment vertical="center"/>
    </xf>
    <xf numFmtId="168" fontId="0" fillId="0" borderId="266" xfId="7" applyNumberFormat="1" applyFont="1" applyBorder="1" applyAlignment="1">
      <alignment vertical="center"/>
    </xf>
    <xf numFmtId="168" fontId="0" fillId="0" borderId="255" xfId="7" applyNumberFormat="1" applyFont="1" applyBorder="1" applyAlignment="1">
      <alignment vertical="center"/>
    </xf>
    <xf numFmtId="168" fontId="0" fillId="0" borderId="252" xfId="7" applyNumberFormat="1" applyFont="1" applyBorder="1" applyAlignment="1">
      <alignment vertical="center"/>
    </xf>
    <xf numFmtId="168" fontId="0" fillId="0" borderId="253" xfId="7" applyNumberFormat="1" applyFont="1" applyBorder="1" applyAlignment="1">
      <alignment vertical="center"/>
    </xf>
    <xf numFmtId="168" fontId="0" fillId="1" borderId="255" xfId="7" applyNumberFormat="1" applyFont="1" applyFill="1" applyBorder="1" applyAlignment="1">
      <alignment vertical="center"/>
    </xf>
    <xf numFmtId="168" fontId="0" fillId="1" borderId="252" xfId="7" applyNumberFormat="1" applyFont="1" applyFill="1" applyBorder="1" applyAlignment="1">
      <alignment vertical="center"/>
    </xf>
    <xf numFmtId="168" fontId="0" fillId="1" borderId="253" xfId="7" applyNumberFormat="1" applyFont="1" applyFill="1" applyBorder="1" applyAlignment="1">
      <alignment vertical="center"/>
    </xf>
    <xf numFmtId="168" fontId="0" fillId="1" borderId="289" xfId="7" applyNumberFormat="1" applyFont="1" applyFill="1" applyBorder="1" applyAlignment="1">
      <alignment vertical="center"/>
    </xf>
    <xf numFmtId="168" fontId="0" fillId="0" borderId="259" xfId="7" applyNumberFormat="1" applyFont="1" applyBorder="1" applyAlignment="1">
      <alignment vertical="center"/>
    </xf>
    <xf numFmtId="178" fontId="0" fillId="0" borderId="292" xfId="7" applyNumberFormat="1" applyFont="1" applyBorder="1" applyAlignment="1">
      <alignment vertical="center"/>
    </xf>
    <xf numFmtId="178" fontId="0" fillId="0" borderId="54" xfId="7" applyNumberFormat="1" applyFont="1" applyBorder="1" applyAlignment="1">
      <alignment vertical="center"/>
    </xf>
    <xf numFmtId="168" fontId="0" fillId="33" borderId="241" xfId="7" applyNumberFormat="1" applyFont="1" applyFill="1" applyBorder="1" applyAlignment="1">
      <alignment vertical="center"/>
    </xf>
    <xf numFmtId="168" fontId="0" fillId="35" borderId="218" xfId="7" applyNumberFormat="1" applyFont="1" applyFill="1" applyBorder="1" applyAlignment="1">
      <alignment vertical="center"/>
    </xf>
    <xf numFmtId="168" fontId="0" fillId="47" borderId="241" xfId="7" applyNumberFormat="1" applyFont="1" applyFill="1" applyBorder="1" applyAlignment="1">
      <alignment vertical="center"/>
    </xf>
    <xf numFmtId="168" fontId="0" fillId="46" borderId="238" xfId="7" applyNumberFormat="1" applyFont="1" applyFill="1" applyBorder="1" applyAlignment="1">
      <alignment vertical="center"/>
    </xf>
    <xf numFmtId="168" fontId="0" fillId="46" borderId="245" xfId="7" applyNumberFormat="1" applyFont="1" applyFill="1" applyBorder="1" applyAlignment="1">
      <alignment vertical="center"/>
    </xf>
    <xf numFmtId="183" fontId="0" fillId="1" borderId="241" xfId="9" applyNumberFormat="1" applyFont="1" applyFill="1" applyBorder="1" applyAlignment="1">
      <alignment horizontal="center" vertical="center"/>
    </xf>
    <xf numFmtId="183" fontId="7" fillId="1" borderId="238" xfId="9" applyNumberFormat="1" applyFill="1" applyBorder="1" applyAlignment="1">
      <alignment horizontal="center"/>
    </xf>
    <xf numFmtId="183" fontId="7" fillId="1" borderId="245" xfId="9" applyNumberFormat="1" applyFill="1" applyBorder="1" applyAlignment="1">
      <alignment horizontal="center"/>
    </xf>
    <xf numFmtId="183" fontId="7" fillId="0" borderId="30" xfId="9" applyNumberFormat="1" applyBorder="1" applyAlignment="1">
      <alignment horizontal="center"/>
    </xf>
    <xf numFmtId="183" fontId="7" fillId="0" borderId="31" xfId="9" applyNumberFormat="1" applyBorder="1" applyAlignment="1">
      <alignment horizontal="center"/>
    </xf>
    <xf numFmtId="183" fontId="7" fillId="0" borderId="238" xfId="9" applyNumberFormat="1" applyBorder="1" applyAlignment="1">
      <alignment horizontal="center"/>
    </xf>
    <xf numFmtId="183" fontId="7" fillId="0" borderId="245" xfId="9" applyNumberFormat="1" applyBorder="1" applyAlignment="1">
      <alignment horizontal="center"/>
    </xf>
    <xf numFmtId="183" fontId="0" fillId="1" borderId="275" xfId="9" applyNumberFormat="1" applyFont="1" applyFill="1" applyBorder="1" applyAlignment="1">
      <alignment horizontal="center" vertical="center"/>
    </xf>
    <xf numFmtId="168" fontId="0" fillId="1" borderId="237" xfId="7" applyNumberFormat="1" applyFont="1" applyFill="1" applyBorder="1" applyAlignment="1">
      <alignment vertical="center"/>
    </xf>
    <xf numFmtId="168" fontId="0" fillId="33" borderId="275" xfId="7" applyNumberFormat="1" applyFont="1" applyFill="1" applyBorder="1" applyAlignment="1">
      <alignment vertical="center"/>
    </xf>
    <xf numFmtId="168" fontId="0" fillId="47" borderId="274" xfId="7" applyNumberFormat="1" applyFont="1" applyFill="1" applyBorder="1" applyAlignment="1">
      <alignment vertical="center"/>
    </xf>
    <xf numFmtId="168" fontId="0" fillId="0" borderId="238" xfId="7" applyNumberFormat="1" applyFont="1" applyBorder="1" applyAlignment="1">
      <alignment vertical="center"/>
    </xf>
    <xf numFmtId="168" fontId="0" fillId="0" borderId="275" xfId="7" applyNumberFormat="1" applyFont="1" applyBorder="1" applyAlignment="1">
      <alignment vertical="center"/>
    </xf>
    <xf numFmtId="168" fontId="0" fillId="0" borderId="246" xfId="7" applyNumberFormat="1" applyFont="1" applyBorder="1" applyAlignment="1">
      <alignment vertical="center"/>
    </xf>
    <xf numFmtId="168" fontId="0" fillId="0" borderId="270" xfId="7" applyNumberFormat="1" applyFont="1" applyBorder="1" applyAlignment="1">
      <alignment vertical="center"/>
    </xf>
    <xf numFmtId="168" fontId="0" fillId="1" borderId="269" xfId="7" applyNumberFormat="1" applyFont="1" applyFill="1" applyBorder="1" applyAlignment="1">
      <alignment vertical="center"/>
    </xf>
    <xf numFmtId="168" fontId="0" fillId="1" borderId="51" xfId="7" applyNumberFormat="1" applyFont="1" applyFill="1" applyBorder="1" applyAlignment="1">
      <alignment vertical="center"/>
    </xf>
    <xf numFmtId="168" fontId="0" fillId="0" borderId="31" xfId="7" applyNumberFormat="1" applyFont="1" applyBorder="1" applyAlignment="1">
      <alignment vertical="center"/>
    </xf>
    <xf numFmtId="168" fontId="0" fillId="47" borderId="275" xfId="7" applyNumberFormat="1" applyFont="1" applyFill="1" applyBorder="1" applyAlignment="1">
      <alignment vertical="center"/>
    </xf>
    <xf numFmtId="168" fontId="0" fillId="35" borderId="288" xfId="7" applyNumberFormat="1" applyFont="1" applyFill="1" applyBorder="1" applyAlignment="1">
      <alignment vertical="center"/>
    </xf>
    <xf numFmtId="183" fontId="7" fillId="0" borderId="203" xfId="9" applyNumberFormat="1" applyBorder="1" applyAlignment="1">
      <alignment horizontal="center"/>
    </xf>
    <xf numFmtId="183" fontId="7" fillId="0" borderId="212" xfId="9" applyNumberFormat="1" applyBorder="1" applyAlignment="1">
      <alignment horizontal="center"/>
    </xf>
    <xf numFmtId="178" fontId="0" fillId="0" borderId="196" xfId="7" applyNumberFormat="1" applyFont="1" applyBorder="1" applyAlignment="1">
      <alignment vertical="center"/>
    </xf>
    <xf numFmtId="168" fontId="0" fillId="35" borderId="230" xfId="7" applyNumberFormat="1" applyFont="1" applyFill="1" applyBorder="1" applyAlignment="1">
      <alignment vertical="center"/>
    </xf>
    <xf numFmtId="168" fontId="0" fillId="35" borderId="291" xfId="7" applyNumberFormat="1" applyFont="1" applyFill="1" applyBorder="1" applyAlignment="1">
      <alignment vertical="center"/>
    </xf>
    <xf numFmtId="168" fontId="0" fillId="46" borderId="230" xfId="7" applyNumberFormat="1" applyFont="1" applyFill="1" applyBorder="1" applyAlignment="1">
      <alignment vertical="center"/>
    </xf>
    <xf numFmtId="183" fontId="0" fillId="0" borderId="241" xfId="9" applyNumberFormat="1" applyFont="1" applyBorder="1" applyAlignment="1">
      <alignment horizontal="center" vertical="center"/>
    </xf>
    <xf numFmtId="168" fontId="0" fillId="46" borderId="291" xfId="7" applyNumberFormat="1" applyFont="1" applyFill="1" applyBorder="1" applyAlignment="1">
      <alignment vertical="center"/>
    </xf>
    <xf numFmtId="168" fontId="0" fillId="46" borderId="231" xfId="7" applyNumberFormat="1" applyFont="1" applyFill="1" applyBorder="1" applyAlignment="1">
      <alignment vertical="center"/>
    </xf>
    <xf numFmtId="183" fontId="7" fillId="0" borderId="291" xfId="9" applyNumberFormat="1" applyBorder="1" applyAlignment="1">
      <alignment horizontal="center"/>
    </xf>
    <xf numFmtId="183" fontId="7" fillId="0" borderId="231" xfId="9" applyNumberFormat="1" applyBorder="1" applyAlignment="1">
      <alignment horizontal="center"/>
    </xf>
    <xf numFmtId="168" fontId="0" fillId="35" borderId="241" xfId="7" applyNumberFormat="1" applyFont="1" applyFill="1" applyBorder="1" applyAlignment="1">
      <alignment vertical="center"/>
    </xf>
    <xf numFmtId="178" fontId="0" fillId="0" borderId="193" xfId="7" applyNumberFormat="1" applyFont="1" applyBorder="1" applyAlignment="1">
      <alignment vertical="center"/>
    </xf>
    <xf numFmtId="168" fontId="0" fillId="35" borderId="231" xfId="7" applyNumberFormat="1" applyFont="1" applyFill="1" applyBorder="1" applyAlignment="1">
      <alignment vertical="center"/>
    </xf>
    <xf numFmtId="168" fontId="0" fillId="46" borderId="78" xfId="7" applyNumberFormat="1" applyFont="1" applyFill="1" applyBorder="1" applyAlignment="1">
      <alignment vertical="center"/>
    </xf>
    <xf numFmtId="168" fontId="0" fillId="46" borderId="79" xfId="7" applyNumberFormat="1" applyFont="1" applyFill="1" applyBorder="1" applyAlignment="1">
      <alignment vertical="center"/>
    </xf>
    <xf numFmtId="0" fontId="0" fillId="2" borderId="310" xfId="8" applyFont="1" applyFill="1" applyBorder="1" applyAlignment="1" applyProtection="1">
      <alignment horizontal="left" vertical="center"/>
      <protection locked="0"/>
    </xf>
    <xf numFmtId="168" fontId="0" fillId="35" borderId="316" xfId="7" applyNumberFormat="1" applyFont="1" applyFill="1" applyBorder="1" applyAlignment="1">
      <alignment vertical="center"/>
    </xf>
    <xf numFmtId="168" fontId="0" fillId="35" borderId="318" xfId="7" applyNumberFormat="1" applyFont="1" applyFill="1" applyBorder="1" applyAlignment="1">
      <alignment vertical="center"/>
    </xf>
    <xf numFmtId="0" fontId="0" fillId="2" borderId="311" xfId="0" applyFill="1" applyBorder="1" applyAlignment="1" applyProtection="1">
      <alignment horizontal="left" vertical="center"/>
      <protection locked="0"/>
    </xf>
    <xf numFmtId="0" fontId="0" fillId="2" borderId="323" xfId="0" applyFill="1" applyBorder="1" applyAlignment="1" applyProtection="1">
      <alignment horizontal="left" vertical="center"/>
      <protection locked="0"/>
    </xf>
    <xf numFmtId="0" fontId="0" fillId="49" borderId="323" xfId="0" applyFill="1" applyBorder="1" applyAlignment="1" applyProtection="1">
      <alignment horizontal="left" vertical="center"/>
      <protection locked="0"/>
    </xf>
    <xf numFmtId="0" fontId="0" fillId="2" borderId="254" xfId="0" applyFill="1" applyBorder="1" applyAlignment="1" applyProtection="1">
      <alignment horizontal="left" vertical="center"/>
      <protection locked="0"/>
    </xf>
    <xf numFmtId="0" fontId="0" fillId="2" borderId="276" xfId="0" applyFill="1" applyBorder="1" applyAlignment="1" applyProtection="1">
      <alignment horizontal="left" vertical="center"/>
      <protection locked="0"/>
    </xf>
    <xf numFmtId="0" fontId="7" fillId="2" borderId="324" xfId="8" applyFill="1" applyBorder="1" applyAlignment="1" applyProtection="1">
      <alignment horizontal="left" vertical="center"/>
      <protection locked="0"/>
    </xf>
    <xf numFmtId="0" fontId="7" fillId="2" borderId="325" xfId="8" applyFill="1" applyBorder="1" applyAlignment="1" applyProtection="1">
      <alignment horizontal="left" vertical="center"/>
      <protection locked="0"/>
    </xf>
    <xf numFmtId="0" fontId="0" fillId="49" borderId="326" xfId="0" applyFill="1" applyBorder="1" applyAlignment="1" applyProtection="1">
      <alignment horizontal="left" vertical="center"/>
      <protection locked="0"/>
    </xf>
    <xf numFmtId="0" fontId="0" fillId="2" borderId="326" xfId="0" applyFill="1" applyBorder="1" applyAlignment="1" applyProtection="1">
      <alignment horizontal="left" vertical="center"/>
      <protection locked="0"/>
    </xf>
    <xf numFmtId="0" fontId="0" fillId="2" borderId="327" xfId="0" applyFill="1" applyBorder="1" applyAlignment="1" applyProtection="1">
      <alignment horizontal="left" vertical="center"/>
      <protection locked="0"/>
    </xf>
    <xf numFmtId="0" fontId="0" fillId="2" borderId="328" xfId="8" applyFont="1" applyFill="1" applyBorder="1" applyAlignment="1" applyProtection="1">
      <alignment horizontal="left" vertical="center"/>
      <protection locked="0"/>
    </xf>
    <xf numFmtId="0" fontId="0" fillId="40" borderId="311" xfId="0" applyFill="1" applyBorder="1" applyAlignment="1" applyProtection="1">
      <alignment horizontal="left" vertical="center"/>
      <protection locked="0"/>
    </xf>
    <xf numFmtId="0" fontId="0" fillId="40" borderId="323" xfId="0" applyFill="1" applyBorder="1" applyAlignment="1" applyProtection="1">
      <alignment horizontal="left" vertical="center"/>
      <protection locked="0"/>
    </xf>
    <xf numFmtId="0" fontId="0" fillId="40" borderId="254" xfId="0" applyFill="1" applyBorder="1" applyAlignment="1" applyProtection="1">
      <alignment horizontal="left" vertical="center"/>
      <protection locked="0"/>
    </xf>
    <xf numFmtId="0" fontId="0" fillId="2" borderId="329" xfId="0" applyFill="1" applyBorder="1" applyAlignment="1" applyProtection="1">
      <alignment horizontal="left" vertical="center"/>
      <protection locked="0"/>
    </xf>
    <xf numFmtId="0" fontId="0" fillId="2" borderId="219"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168" fontId="7" fillId="2" borderId="56" xfId="7" applyNumberFormat="1" applyFill="1" applyBorder="1" applyAlignment="1" applyProtection="1">
      <alignment vertical="center"/>
      <protection locked="0"/>
    </xf>
    <xf numFmtId="168" fontId="7" fillId="2" borderId="330" xfId="7" applyNumberFormat="1" applyFill="1" applyBorder="1" applyAlignment="1" applyProtection="1">
      <alignment vertical="center"/>
      <protection locked="0"/>
    </xf>
    <xf numFmtId="168" fontId="7" fillId="49" borderId="330" xfId="7" applyNumberFormat="1" applyFill="1" applyBorder="1" applyAlignment="1" applyProtection="1">
      <alignment vertical="center"/>
      <protection locked="0"/>
    </xf>
    <xf numFmtId="168" fontId="7" fillId="2" borderId="331" xfId="7" applyNumberFormat="1" applyFill="1" applyBorder="1" applyAlignment="1" applyProtection="1">
      <alignment vertical="center"/>
      <protection locked="0"/>
    </xf>
    <xf numFmtId="168" fontId="7" fillId="2" borderId="332" xfId="7" applyNumberFormat="1" applyFill="1" applyBorder="1" applyAlignment="1" applyProtection="1">
      <alignment vertical="center"/>
      <protection locked="0"/>
    </xf>
    <xf numFmtId="168" fontId="0" fillId="2" borderId="333" xfId="7" applyNumberFormat="1" applyFont="1" applyFill="1" applyBorder="1" applyAlignment="1" applyProtection="1">
      <alignment vertical="center"/>
      <protection locked="0"/>
    </xf>
    <xf numFmtId="168" fontId="0" fillId="2" borderId="334" xfId="7" applyNumberFormat="1" applyFont="1" applyFill="1" applyBorder="1" applyAlignment="1" applyProtection="1">
      <alignment vertical="center"/>
      <protection locked="0"/>
    </xf>
    <xf numFmtId="168" fontId="7" fillId="40" borderId="56" xfId="7" applyNumberFormat="1" applyFill="1" applyBorder="1" applyAlignment="1" applyProtection="1">
      <alignment vertical="center"/>
      <protection locked="0"/>
    </xf>
    <xf numFmtId="168" fontId="7" fillId="40" borderId="333" xfId="7" applyNumberFormat="1" applyFill="1" applyBorder="1" applyAlignment="1" applyProtection="1">
      <alignment vertical="center"/>
      <protection locked="0"/>
    </xf>
    <xf numFmtId="168" fontId="7" fillId="40" borderId="331" xfId="7" applyNumberFormat="1" applyFill="1" applyBorder="1" applyAlignment="1" applyProtection="1">
      <alignment vertical="center"/>
      <protection locked="0"/>
    </xf>
    <xf numFmtId="168" fontId="7" fillId="2" borderId="236" xfId="7" applyNumberFormat="1" applyFill="1" applyBorder="1" applyAlignment="1" applyProtection="1">
      <alignment vertical="center"/>
      <protection locked="0"/>
    </xf>
    <xf numFmtId="168" fontId="7" fillId="2" borderId="333" xfId="7" applyNumberFormat="1" applyFill="1" applyBorder="1" applyAlignment="1" applyProtection="1">
      <alignment vertical="center"/>
      <protection locked="0"/>
    </xf>
    <xf numFmtId="168" fontId="7" fillId="49" borderId="333" xfId="7" applyNumberFormat="1" applyFill="1" applyBorder="1" applyAlignment="1" applyProtection="1">
      <alignment vertical="center"/>
      <protection locked="0"/>
    </xf>
    <xf numFmtId="168" fontId="7" fillId="2" borderId="69" xfId="7" applyNumberFormat="1" applyFill="1" applyBorder="1" applyAlignment="1" applyProtection="1">
      <alignment vertical="center"/>
      <protection locked="0"/>
    </xf>
    <xf numFmtId="168" fontId="0" fillId="2" borderId="0" xfId="7" applyNumberFormat="1" applyFont="1" applyFill="1" applyAlignment="1" applyProtection="1">
      <alignment vertical="center"/>
      <protection locked="0"/>
    </xf>
    <xf numFmtId="168" fontId="0" fillId="2" borderId="56" xfId="7" applyNumberFormat="1" applyFont="1" applyFill="1" applyBorder="1" applyAlignment="1" applyProtection="1">
      <alignment vertical="center"/>
      <protection locked="0"/>
    </xf>
    <xf numFmtId="0" fontId="7" fillId="2" borderId="310" xfId="8" applyFill="1" applyBorder="1" applyAlignment="1" applyProtection="1">
      <alignment horizontal="left" vertical="center"/>
      <protection locked="0"/>
    </xf>
    <xf numFmtId="0" fontId="0" fillId="2" borderId="325" xfId="8" applyFont="1" applyFill="1" applyBorder="1" applyAlignment="1" applyProtection="1">
      <alignment horizontal="left" vertical="center"/>
      <protection locked="0"/>
    </xf>
    <xf numFmtId="0" fontId="0" fillId="2" borderId="325" xfId="0" applyFill="1" applyBorder="1" applyAlignment="1" applyProtection="1">
      <alignment horizontal="left" vertical="center"/>
      <protection locked="0"/>
    </xf>
    <xf numFmtId="0" fontId="0" fillId="40" borderId="326" xfId="0" applyFill="1" applyBorder="1" applyAlignment="1" applyProtection="1">
      <alignment horizontal="left" vertical="center"/>
      <protection locked="0"/>
    </xf>
    <xf numFmtId="0" fontId="0" fillId="40" borderId="327" xfId="0" applyFill="1" applyBorder="1" applyAlignment="1" applyProtection="1">
      <alignment horizontal="left" vertical="center"/>
      <protection locked="0"/>
    </xf>
    <xf numFmtId="168" fontId="0" fillId="2" borderId="332" xfId="7" applyNumberFormat="1" applyFont="1" applyFill="1" applyBorder="1" applyAlignment="1" applyProtection="1">
      <alignment vertical="center"/>
      <protection locked="0"/>
    </xf>
    <xf numFmtId="168" fontId="7" fillId="40" borderId="236" xfId="7" applyNumberFormat="1" applyFill="1" applyBorder="1" applyAlignment="1" applyProtection="1">
      <alignment vertical="center"/>
      <protection locked="0"/>
    </xf>
    <xf numFmtId="168" fontId="7" fillId="40" borderId="69" xfId="7" applyNumberFormat="1" applyFill="1" applyBorder="1" applyAlignment="1" applyProtection="1">
      <alignment vertical="center"/>
      <protection locked="0"/>
    </xf>
    <xf numFmtId="0" fontId="5" fillId="3" borderId="307" xfId="0" applyFont="1" applyFill="1" applyBorder="1" applyAlignment="1">
      <alignment horizontal="center" vertical="center"/>
    </xf>
    <xf numFmtId="0" fontId="0" fillId="40" borderId="219" xfId="0" applyFill="1" applyBorder="1" applyAlignment="1" applyProtection="1">
      <alignment horizontal="left" vertical="center"/>
      <protection locked="0"/>
    </xf>
    <xf numFmtId="168" fontId="7" fillId="40" borderId="330" xfId="7" applyNumberFormat="1" applyFill="1" applyBorder="1" applyAlignment="1" applyProtection="1">
      <alignment vertical="center"/>
      <protection locked="0"/>
    </xf>
    <xf numFmtId="168" fontId="7" fillId="40" borderId="319" xfId="7" applyNumberFormat="1" applyFill="1" applyBorder="1" applyAlignment="1" applyProtection="1">
      <alignment vertical="center"/>
      <protection locked="0"/>
    </xf>
    <xf numFmtId="168" fontId="7" fillId="40" borderId="335" xfId="7" applyNumberFormat="1" applyFill="1" applyBorder="1" applyAlignment="1" applyProtection="1">
      <alignment vertical="center"/>
      <protection locked="0"/>
    </xf>
    <xf numFmtId="168" fontId="7" fillId="40" borderId="320" xfId="7" applyNumberFormat="1" applyFill="1" applyBorder="1" applyAlignment="1" applyProtection="1">
      <alignment vertical="center"/>
      <protection locked="0"/>
    </xf>
    <xf numFmtId="173" fontId="0" fillId="2" borderId="218" xfId="2" applyNumberFormat="1" applyFont="1" applyFill="1" applyBorder="1" applyAlignment="1" applyProtection="1">
      <alignment horizontal="center" vertical="center"/>
      <protection locked="0"/>
    </xf>
    <xf numFmtId="0" fontId="0" fillId="2" borderId="337" xfId="0" applyFill="1" applyBorder="1" applyAlignment="1" applyProtection="1">
      <alignment horizontal="left" vertical="center"/>
      <protection locked="0"/>
    </xf>
    <xf numFmtId="0" fontId="0" fillId="2" borderId="339" xfId="0" applyFill="1" applyBorder="1" applyAlignment="1" applyProtection="1">
      <alignment horizontal="left" vertical="center"/>
      <protection locked="0"/>
    </xf>
    <xf numFmtId="0" fontId="0" fillId="2" borderId="71" xfId="0" applyFill="1" applyBorder="1" applyAlignment="1" applyProtection="1">
      <alignment horizontal="left" vertical="center"/>
      <protection locked="0"/>
    </xf>
    <xf numFmtId="171" fontId="0" fillId="0" borderId="336" xfId="2" applyNumberFormat="1" applyFont="1" applyFill="1" applyBorder="1" applyAlignment="1" applyProtection="1">
      <alignment vertical="center"/>
    </xf>
    <xf numFmtId="171" fontId="0" fillId="0" borderId="316" xfId="2" applyNumberFormat="1" applyFont="1" applyFill="1" applyBorder="1" applyAlignment="1" applyProtection="1">
      <alignment vertical="center"/>
    </xf>
    <xf numFmtId="171" fontId="0" fillId="0" borderId="318" xfId="2" applyNumberFormat="1" applyFont="1" applyFill="1" applyBorder="1" applyAlignment="1" applyProtection="1">
      <alignment vertical="center"/>
    </xf>
    <xf numFmtId="173" fontId="0" fillId="2" borderId="336" xfId="2" applyNumberFormat="1" applyFont="1" applyFill="1" applyBorder="1" applyAlignment="1" applyProtection="1">
      <alignment horizontal="center" vertical="center"/>
      <protection locked="0"/>
    </xf>
    <xf numFmtId="173" fontId="0" fillId="2" borderId="316" xfId="2" applyNumberFormat="1" applyFont="1" applyFill="1" applyBorder="1" applyAlignment="1" applyProtection="1">
      <alignment horizontal="center" vertical="center"/>
      <protection locked="0"/>
    </xf>
    <xf numFmtId="173" fontId="0" fillId="2" borderId="318" xfId="2" applyNumberFormat="1" applyFont="1" applyFill="1" applyBorder="1" applyAlignment="1" applyProtection="1">
      <alignment horizontal="center" vertical="center"/>
      <protection locked="0"/>
    </xf>
    <xf numFmtId="168" fontId="0" fillId="46" borderId="316" xfId="7" applyNumberFormat="1" applyFont="1" applyFill="1" applyBorder="1" applyAlignment="1">
      <alignment vertical="center"/>
    </xf>
    <xf numFmtId="168" fontId="0" fillId="46" borderId="318" xfId="7" applyNumberFormat="1" applyFont="1" applyFill="1" applyBorder="1" applyAlignment="1">
      <alignment vertical="center"/>
    </xf>
    <xf numFmtId="173" fontId="0" fillId="2" borderId="348" xfId="2" applyNumberFormat="1" applyFont="1" applyFill="1" applyBorder="1" applyAlignment="1" applyProtection="1">
      <alignment horizontal="center" vertical="center"/>
      <protection locked="0"/>
    </xf>
    <xf numFmtId="168" fontId="0" fillId="1" borderId="341" xfId="2" applyNumberFormat="1" applyFont="1" applyFill="1" applyBorder="1" applyAlignment="1" applyProtection="1">
      <alignment vertical="center"/>
    </xf>
    <xf numFmtId="171" fontId="0" fillId="0" borderId="348" xfId="2" applyNumberFormat="1" applyFont="1" applyFill="1" applyBorder="1" applyAlignment="1" applyProtection="1">
      <alignment vertical="center"/>
    </xf>
    <xf numFmtId="168" fontId="0" fillId="1" borderId="72" xfId="2" applyNumberFormat="1" applyFont="1" applyFill="1" applyBorder="1" applyAlignment="1" applyProtection="1">
      <alignment vertical="center"/>
    </xf>
    <xf numFmtId="168" fontId="0" fillId="1" borderId="307" xfId="2" applyNumberFormat="1" applyFont="1" applyFill="1" applyBorder="1" applyAlignment="1" applyProtection="1">
      <alignment vertical="center"/>
    </xf>
    <xf numFmtId="168" fontId="0" fillId="35" borderId="345" xfId="7" applyNumberFormat="1" applyFont="1" applyFill="1" applyBorder="1" applyAlignment="1">
      <alignment vertical="center"/>
    </xf>
    <xf numFmtId="168" fontId="0" fillId="46" borderId="345" xfId="7" applyNumberFormat="1" applyFont="1" applyFill="1" applyBorder="1" applyAlignment="1">
      <alignment vertical="center"/>
    </xf>
    <xf numFmtId="168" fontId="0" fillId="33" borderId="341" xfId="7" applyNumberFormat="1" applyFont="1" applyFill="1" applyBorder="1" applyAlignment="1">
      <alignment vertical="center"/>
    </xf>
    <xf numFmtId="168" fontId="0" fillId="35" borderId="348" xfId="7" applyNumberFormat="1" applyFont="1" applyFill="1" applyBorder="1" applyAlignment="1">
      <alignment vertical="center"/>
    </xf>
    <xf numFmtId="168" fontId="0" fillId="47" borderId="341" xfId="7" applyNumberFormat="1" applyFont="1" applyFill="1" applyBorder="1" applyAlignment="1">
      <alignment vertical="center"/>
    </xf>
    <xf numFmtId="168" fontId="0" fillId="46" borderId="348" xfId="7" applyNumberFormat="1" applyFont="1" applyFill="1" applyBorder="1" applyAlignment="1">
      <alignment vertical="center"/>
    </xf>
    <xf numFmtId="168" fontId="0" fillId="1" borderId="351" xfId="7" applyNumberFormat="1" applyFont="1" applyFill="1" applyBorder="1" applyAlignment="1">
      <alignment vertical="center"/>
    </xf>
    <xf numFmtId="168" fontId="0" fillId="0" borderId="348" xfId="7" applyNumberFormat="1" applyFont="1" applyBorder="1" applyAlignment="1">
      <alignment vertical="center"/>
    </xf>
    <xf numFmtId="168" fontId="0" fillId="0" borderId="349" xfId="7" applyNumberFormat="1" applyFont="1" applyBorder="1" applyAlignment="1">
      <alignment vertical="center"/>
    </xf>
    <xf numFmtId="183" fontId="0" fillId="1" borderId="341" xfId="9" applyNumberFormat="1" applyFont="1" applyFill="1" applyBorder="1" applyAlignment="1">
      <alignment horizontal="center" vertical="center"/>
    </xf>
    <xf numFmtId="178" fontId="0" fillId="0" borderId="352" xfId="7" applyNumberFormat="1" applyFont="1" applyBorder="1" applyAlignment="1">
      <alignment vertical="center"/>
    </xf>
    <xf numFmtId="168" fontId="0" fillId="47" borderId="72" xfId="7" applyNumberFormat="1" applyFont="1" applyFill="1" applyBorder="1" applyAlignment="1">
      <alignment vertical="center"/>
    </xf>
    <xf numFmtId="168" fontId="0" fillId="1" borderId="38" xfId="7" applyNumberFormat="1" applyFont="1" applyFill="1" applyBorder="1" applyAlignment="1">
      <alignment vertical="center"/>
    </xf>
    <xf numFmtId="168" fontId="0" fillId="0" borderId="71" xfId="7" applyNumberFormat="1" applyFont="1" applyBorder="1" applyAlignment="1">
      <alignment vertical="center"/>
    </xf>
    <xf numFmtId="183" fontId="7" fillId="0" borderId="345" xfId="9" applyNumberFormat="1" applyBorder="1" applyAlignment="1">
      <alignment horizontal="center"/>
    </xf>
    <xf numFmtId="168" fontId="0" fillId="46" borderId="72" xfId="7" applyNumberFormat="1" applyFont="1" applyFill="1" applyBorder="1" applyAlignment="1">
      <alignment vertical="center"/>
    </xf>
    <xf numFmtId="178" fontId="5" fillId="0" borderId="335" xfId="7" applyNumberFormat="1" applyFont="1" applyBorder="1" applyAlignment="1">
      <alignment vertical="center"/>
    </xf>
    <xf numFmtId="168" fontId="0" fillId="1" borderId="71" xfId="7" applyNumberFormat="1" applyFont="1" applyFill="1" applyBorder="1" applyAlignment="1">
      <alignment vertical="center"/>
    </xf>
    <xf numFmtId="178" fontId="0" fillId="0" borderId="352" xfId="7" applyNumberFormat="1" applyFont="1" applyBorder="1" applyAlignment="1">
      <alignment horizontal="right" vertical="center"/>
    </xf>
    <xf numFmtId="168" fontId="0" fillId="33" borderId="307" xfId="7" applyNumberFormat="1" applyFont="1" applyFill="1" applyBorder="1" applyAlignment="1">
      <alignment vertical="center"/>
    </xf>
    <xf numFmtId="168" fontId="0" fillId="47" borderId="307" xfId="7" applyNumberFormat="1" applyFont="1" applyFill="1" applyBorder="1" applyAlignment="1">
      <alignment vertical="center"/>
    </xf>
    <xf numFmtId="183" fontId="0" fillId="1" borderId="344" xfId="9" applyNumberFormat="1" applyFont="1" applyFill="1" applyBorder="1" applyAlignment="1">
      <alignment horizontal="center" vertical="center"/>
    </xf>
    <xf numFmtId="183" fontId="7" fillId="1" borderId="345" xfId="9" applyNumberFormat="1" applyFill="1" applyBorder="1" applyAlignment="1">
      <alignment horizontal="center"/>
    </xf>
    <xf numFmtId="168" fontId="0" fillId="0" borderId="257" xfId="7" applyNumberFormat="1" applyFont="1" applyBorder="1" applyAlignment="1">
      <alignment vertical="center"/>
    </xf>
    <xf numFmtId="183" fontId="0" fillId="1" borderId="307" xfId="9" applyNumberFormat="1" applyFont="1" applyFill="1" applyBorder="1" applyAlignment="1">
      <alignment horizontal="center" vertical="center"/>
    </xf>
    <xf numFmtId="171" fontId="0" fillId="0" borderId="355" xfId="2" applyNumberFormat="1" applyFont="1" applyFill="1" applyBorder="1" applyAlignment="1" applyProtection="1">
      <alignment vertical="center"/>
    </xf>
    <xf numFmtId="171" fontId="0" fillId="0" borderId="356" xfId="2" applyNumberFormat="1" applyFont="1" applyFill="1" applyBorder="1" applyAlignment="1" applyProtection="1">
      <alignment vertical="center"/>
    </xf>
    <xf numFmtId="170" fontId="0" fillId="0" borderId="361" xfId="1" applyNumberFormat="1" applyFont="1" applyFill="1" applyBorder="1" applyAlignment="1" applyProtection="1">
      <alignment vertical="center"/>
    </xf>
    <xf numFmtId="168" fontId="0" fillId="0" borderId="361" xfId="2" applyNumberFormat="1" applyFont="1" applyFill="1" applyBorder="1" applyAlignment="1" applyProtection="1">
      <alignment vertical="center"/>
    </xf>
    <xf numFmtId="168" fontId="0" fillId="0" borderId="355" xfId="0" applyNumberFormat="1" applyBorder="1" applyAlignment="1">
      <alignment vertical="center"/>
    </xf>
    <xf numFmtId="168" fontId="5" fillId="18" borderId="359" xfId="2" applyNumberFormat="1" applyFont="1" applyFill="1" applyBorder="1" applyAlignment="1" applyProtection="1">
      <alignment vertical="center"/>
    </xf>
    <xf numFmtId="168" fontId="5" fillId="16" borderId="360" xfId="2" applyNumberFormat="1" applyFont="1" applyFill="1" applyBorder="1" applyAlignment="1" applyProtection="1">
      <alignment vertical="center"/>
    </xf>
    <xf numFmtId="168" fontId="0" fillId="0" borderId="355" xfId="2" applyNumberFormat="1" applyFont="1" applyFill="1" applyBorder="1" applyAlignment="1" applyProtection="1">
      <alignment vertical="center"/>
    </xf>
    <xf numFmtId="170" fontId="0" fillId="0" borderId="355" xfId="1" applyNumberFormat="1" applyFont="1" applyFill="1" applyBorder="1" applyAlignment="1" applyProtection="1">
      <alignment vertical="center"/>
    </xf>
    <xf numFmtId="0" fontId="0" fillId="25" borderId="362" xfId="0" applyFill="1" applyBorder="1"/>
    <xf numFmtId="0" fontId="0" fillId="25" borderId="236" xfId="0" applyFill="1" applyBorder="1"/>
    <xf numFmtId="42" fontId="0" fillId="25" borderId="0" xfId="0" applyNumberFormat="1" applyFill="1" applyAlignment="1">
      <alignment vertical="center"/>
    </xf>
    <xf numFmtId="0" fontId="2" fillId="37" borderId="355" xfId="0" applyFont="1" applyFill="1" applyBorder="1" applyAlignment="1">
      <alignment horizontal="left" vertical="center" indent="1"/>
    </xf>
    <xf numFmtId="0" fontId="2" fillId="52" borderId="355" xfId="0" applyFont="1" applyFill="1" applyBorder="1" applyAlignment="1">
      <alignment horizontal="center" vertical="center" wrapText="1"/>
    </xf>
    <xf numFmtId="0" fontId="35" fillId="52" borderId="355" xfId="0" applyFont="1" applyFill="1" applyBorder="1" applyAlignment="1">
      <alignment horizontal="center" vertical="center" wrapText="1"/>
    </xf>
    <xf numFmtId="0" fontId="0" fillId="25" borderId="355" xfId="0" applyFill="1" applyBorder="1" applyAlignment="1">
      <alignment horizontal="left" indent="2"/>
    </xf>
    <xf numFmtId="185" fontId="0" fillId="25" borderId="355" xfId="0" applyNumberFormat="1" applyFill="1" applyBorder="1"/>
    <xf numFmtId="185" fontId="2" fillId="25" borderId="355" xfId="0" applyNumberFormat="1" applyFont="1" applyFill="1" applyBorder="1"/>
    <xf numFmtId="0" fontId="0" fillId="25" borderId="363" xfId="0" applyFill="1" applyBorder="1" applyAlignment="1">
      <alignment horizontal="left" indent="2"/>
    </xf>
    <xf numFmtId="185" fontId="0" fillId="25" borderId="363" xfId="0" applyNumberFormat="1" applyFill="1" applyBorder="1"/>
    <xf numFmtId="185" fontId="2" fillId="25" borderId="363" xfId="0" applyNumberFormat="1" applyFont="1" applyFill="1" applyBorder="1"/>
    <xf numFmtId="0" fontId="2" fillId="9" borderId="77" xfId="0" applyFont="1" applyFill="1" applyBorder="1" applyAlignment="1">
      <alignment horizontal="left" indent="2"/>
    </xf>
    <xf numFmtId="0" fontId="35" fillId="9" borderId="77" xfId="0" applyFont="1" applyFill="1" applyBorder="1" applyAlignment="1">
      <alignment horizontal="left" indent="2"/>
    </xf>
    <xf numFmtId="185" fontId="35" fillId="25" borderId="78" xfId="0" applyNumberFormat="1" applyFont="1" applyFill="1" applyBorder="1"/>
    <xf numFmtId="185" fontId="35" fillId="25" borderId="257" xfId="0" applyNumberFormat="1" applyFont="1" applyFill="1" applyBorder="1"/>
    <xf numFmtId="0" fontId="2" fillId="37" borderId="341" xfId="0" applyFont="1" applyFill="1" applyBorder="1" applyAlignment="1">
      <alignment horizontal="left" vertical="center" indent="1"/>
    </xf>
    <xf numFmtId="0" fontId="2" fillId="52" borderId="348" xfId="0" applyFont="1" applyFill="1" applyBorder="1" applyAlignment="1">
      <alignment horizontal="center" vertical="center" wrapText="1"/>
    </xf>
    <xf numFmtId="0" fontId="35" fillId="52" borderId="348" xfId="0" applyFont="1" applyFill="1" applyBorder="1" applyAlignment="1">
      <alignment horizontal="center" vertical="center" wrapText="1"/>
    </xf>
    <xf numFmtId="0" fontId="2" fillId="52" borderId="336" xfId="0" applyFont="1" applyFill="1" applyBorder="1" applyAlignment="1">
      <alignment horizontal="center" vertical="center" wrapText="1"/>
    </xf>
    <xf numFmtId="0" fontId="0" fillId="25" borderId="354" xfId="0" applyFill="1" applyBorder="1" applyAlignment="1">
      <alignment horizontal="left" indent="2"/>
    </xf>
    <xf numFmtId="185" fontId="2" fillId="25" borderId="356" xfId="0" applyNumberFormat="1" applyFont="1" applyFill="1" applyBorder="1"/>
    <xf numFmtId="0" fontId="0" fillId="25" borderId="307" xfId="0" applyFill="1" applyBorder="1" applyAlignment="1">
      <alignment horizontal="left" indent="2"/>
    </xf>
    <xf numFmtId="185" fontId="0" fillId="25" borderId="316" xfId="0" applyNumberFormat="1" applyFill="1" applyBorder="1"/>
    <xf numFmtId="185" fontId="2" fillId="25" borderId="318" xfId="0" applyNumberFormat="1" applyFont="1" applyFill="1" applyBorder="1"/>
    <xf numFmtId="0" fontId="2" fillId="9" borderId="307" xfId="0" applyFont="1" applyFill="1" applyBorder="1" applyAlignment="1">
      <alignment horizontal="left" indent="2"/>
    </xf>
    <xf numFmtId="185" fontId="2" fillId="25" borderId="345" xfId="0" applyNumberFormat="1" applyFont="1" applyFill="1" applyBorder="1"/>
    <xf numFmtId="0" fontId="0" fillId="25" borderId="344" xfId="0" applyFill="1" applyBorder="1" applyAlignment="1">
      <alignment horizontal="left" indent="2"/>
    </xf>
    <xf numFmtId="185" fontId="2" fillId="25" borderId="79" xfId="0" applyNumberFormat="1" applyFont="1" applyFill="1" applyBorder="1"/>
    <xf numFmtId="185" fontId="35" fillId="25" borderId="77" xfId="0" applyNumberFormat="1" applyFont="1" applyFill="1" applyBorder="1"/>
    <xf numFmtId="172" fontId="0" fillId="2" borderId="51" xfId="2" applyNumberFormat="1" applyFont="1" applyFill="1" applyBorder="1" applyAlignment="1" applyProtection="1">
      <alignment horizontal="center" vertical="center"/>
    </xf>
    <xf numFmtId="171" fontId="0" fillId="1" borderId="354" xfId="2" applyNumberFormat="1" applyFont="1" applyFill="1" applyBorder="1" applyAlignment="1" applyProtection="1">
      <alignment vertical="center"/>
    </xf>
    <xf numFmtId="171" fontId="0" fillId="1" borderId="307" xfId="2" applyNumberFormat="1" applyFont="1" applyFill="1" applyBorder="1" applyAlignment="1" applyProtection="1">
      <alignment vertical="center"/>
    </xf>
    <xf numFmtId="171" fontId="0" fillId="0" borderId="238" xfId="2" applyNumberFormat="1" applyFont="1" applyFill="1" applyBorder="1" applyAlignment="1" applyProtection="1">
      <alignment vertical="center"/>
    </xf>
    <xf numFmtId="0" fontId="9" fillId="0" borderId="0" xfId="0" applyFont="1" applyAlignment="1">
      <alignment horizontal="center" vertical="center"/>
    </xf>
    <xf numFmtId="181" fontId="0" fillId="0" borderId="0" xfId="0" applyNumberFormat="1"/>
    <xf numFmtId="0" fontId="9" fillId="50" borderId="355" xfId="0" applyFont="1" applyFill="1" applyBorder="1" applyAlignment="1">
      <alignment horizontal="center" vertical="center"/>
    </xf>
    <xf numFmtId="181" fontId="7" fillId="0" borderId="355" xfId="7" applyNumberFormat="1" applyBorder="1"/>
    <xf numFmtId="181" fontId="0" fillId="25" borderId="355" xfId="0" applyNumberFormat="1" applyFill="1" applyBorder="1"/>
    <xf numFmtId="0" fontId="0" fillId="0" borderId="73" xfId="0" applyBorder="1" applyAlignment="1" applyProtection="1">
      <alignment horizontal="left" vertical="center"/>
      <protection locked="0"/>
    </xf>
    <xf numFmtId="0" fontId="0" fillId="0" borderId="102" xfId="0" applyBorder="1" applyAlignment="1" applyProtection="1">
      <alignment horizontal="left" vertical="center"/>
      <protection locked="0"/>
    </xf>
    <xf numFmtId="0" fontId="0" fillId="0" borderId="108" xfId="0" applyBorder="1" applyAlignment="1" applyProtection="1">
      <alignment horizontal="left" vertical="center"/>
      <protection locked="0"/>
    </xf>
    <xf numFmtId="0" fontId="8" fillId="2" borderId="355" xfId="0" applyFont="1" applyFill="1" applyBorder="1" applyAlignment="1">
      <alignment horizontal="center" vertical="center"/>
    </xf>
    <xf numFmtId="171" fontId="0" fillId="2" borderId="355" xfId="7" applyNumberFormat="1" applyFont="1" applyFill="1" applyBorder="1" applyAlignment="1" applyProtection="1">
      <alignment vertical="center"/>
      <protection locked="0"/>
    </xf>
    <xf numFmtId="171" fontId="0" fillId="2" borderId="358" xfId="7" applyNumberFormat="1" applyFont="1" applyFill="1" applyBorder="1" applyAlignment="1" applyProtection="1">
      <alignment vertical="center"/>
      <protection locked="0"/>
    </xf>
    <xf numFmtId="0" fontId="0" fillId="53" borderId="355" xfId="0" applyFill="1" applyBorder="1" applyAlignment="1" applyProtection="1">
      <alignment horizontal="left" vertical="center"/>
      <protection locked="0"/>
    </xf>
    <xf numFmtId="0" fontId="0" fillId="53" borderId="355" xfId="0" applyFill="1" applyBorder="1" applyProtection="1">
      <protection locked="0"/>
    </xf>
    <xf numFmtId="171" fontId="0" fillId="2" borderId="316" xfId="7" applyNumberFormat="1" applyFont="1" applyFill="1" applyBorder="1" applyAlignment="1" applyProtection="1">
      <alignment vertical="center"/>
      <protection locked="0"/>
    </xf>
    <xf numFmtId="171" fontId="0" fillId="2" borderId="317" xfId="7" applyNumberFormat="1" applyFont="1" applyFill="1" applyBorder="1" applyAlignment="1" applyProtection="1">
      <alignment vertical="center"/>
      <protection locked="0"/>
    </xf>
    <xf numFmtId="9" fontId="0" fillId="2" borderId="341" xfId="0" applyNumberFormat="1" applyFill="1" applyBorder="1" applyAlignment="1" applyProtection="1">
      <alignment horizontal="center" vertical="center"/>
      <protection locked="0"/>
    </xf>
    <xf numFmtId="9" fontId="0" fillId="2" borderId="354" xfId="0" applyNumberFormat="1" applyFill="1" applyBorder="1" applyAlignment="1" applyProtection="1">
      <alignment horizontal="center" vertical="center"/>
      <protection locked="0"/>
    </xf>
    <xf numFmtId="9" fontId="0" fillId="2" borderId="307" xfId="0" applyNumberFormat="1" applyFill="1" applyBorder="1" applyAlignment="1" applyProtection="1">
      <alignment horizontal="center" vertical="center"/>
      <protection locked="0"/>
    </xf>
    <xf numFmtId="166" fontId="0" fillId="2" borderId="357" xfId="9" applyFont="1" applyFill="1" applyBorder="1" applyAlignment="1" applyProtection="1">
      <alignment horizontal="center" vertical="center"/>
      <protection locked="0"/>
    </xf>
    <xf numFmtId="166" fontId="0" fillId="2" borderId="321" xfId="9" applyFont="1" applyFill="1" applyBorder="1" applyAlignment="1" applyProtection="1">
      <alignment horizontal="center" vertical="center"/>
      <protection locked="0"/>
    </xf>
    <xf numFmtId="168" fontId="0" fillId="2" borderId="355" xfId="7" applyNumberFormat="1" applyFont="1" applyFill="1" applyBorder="1" applyAlignment="1" applyProtection="1">
      <alignment vertical="center"/>
      <protection locked="0"/>
    </xf>
    <xf numFmtId="168" fontId="15" fillId="2" borderId="355" xfId="2" applyNumberFormat="1" applyFont="1" applyFill="1" applyBorder="1" applyAlignment="1" applyProtection="1">
      <alignment vertical="center"/>
      <protection locked="0"/>
    </xf>
    <xf numFmtId="176" fontId="15" fillId="2" borderId="355" xfId="1" applyNumberFormat="1" applyFont="1" applyFill="1" applyBorder="1" applyAlignment="1" applyProtection="1">
      <alignment vertical="center"/>
      <protection locked="0"/>
    </xf>
    <xf numFmtId="168" fontId="0" fillId="2" borderId="355" xfId="2" applyNumberFormat="1" applyFont="1" applyFill="1" applyBorder="1" applyAlignment="1" applyProtection="1">
      <alignment vertical="center"/>
      <protection locked="0"/>
    </xf>
    <xf numFmtId="0" fontId="0" fillId="0" borderId="355" xfId="0" applyBorder="1" applyAlignment="1" applyProtection="1">
      <alignment horizontal="left" vertical="center"/>
      <protection locked="0"/>
    </xf>
    <xf numFmtId="0" fontId="0" fillId="25" borderId="355" xfId="0" applyFill="1" applyBorder="1" applyAlignment="1" applyProtection="1">
      <alignment horizontal="left" vertical="center"/>
      <protection locked="0"/>
    </xf>
    <xf numFmtId="168" fontId="0" fillId="2" borderId="365" xfId="2" applyNumberFormat="1" applyFont="1" applyFill="1" applyBorder="1" applyAlignment="1" applyProtection="1">
      <alignment vertical="center"/>
      <protection locked="0"/>
    </xf>
    <xf numFmtId="173" fontId="0" fillId="2" borderId="366" xfId="2" applyNumberFormat="1" applyFont="1" applyFill="1" applyBorder="1" applyAlignment="1" applyProtection="1">
      <alignment horizontal="center" vertical="center"/>
      <protection locked="0"/>
    </xf>
    <xf numFmtId="173" fontId="0" fillId="2" borderId="365" xfId="2" applyNumberFormat="1" applyFont="1" applyFill="1" applyBorder="1" applyAlignment="1" applyProtection="1">
      <alignment horizontal="center" vertical="center"/>
      <protection locked="0"/>
    </xf>
    <xf numFmtId="173" fontId="0" fillId="2" borderId="367" xfId="2" applyNumberFormat="1" applyFont="1" applyFill="1" applyBorder="1" applyAlignment="1" applyProtection="1">
      <alignment horizontal="center" vertical="center"/>
      <protection locked="0"/>
    </xf>
    <xf numFmtId="0" fontId="0" fillId="2" borderId="355" xfId="0" applyFill="1" applyBorder="1" applyAlignment="1" applyProtection="1">
      <alignment horizontal="left" vertical="center"/>
      <protection locked="0"/>
    </xf>
    <xf numFmtId="0" fontId="0" fillId="0" borderId="0" xfId="0" applyAlignment="1" applyProtection="1">
      <alignment horizontal="left" vertical="center"/>
      <protection locked="0"/>
    </xf>
    <xf numFmtId="168" fontId="31" fillId="55" borderId="365" xfId="7" applyNumberFormat="1" applyFont="1" applyFill="1" applyBorder="1" applyAlignment="1" applyProtection="1">
      <alignment vertical="center"/>
      <protection locked="0"/>
    </xf>
    <xf numFmtId="3" fontId="0" fillId="0" borderId="355" xfId="0" applyNumberFormat="1" applyBorder="1" applyAlignment="1" applyProtection="1">
      <alignment horizontal="left" vertical="center"/>
      <protection locked="0"/>
    </xf>
    <xf numFmtId="0" fontId="0" fillId="0" borderId="114" xfId="0" applyBorder="1" applyAlignment="1" applyProtection="1">
      <alignment horizontal="left" vertical="center"/>
      <protection locked="0"/>
    </xf>
    <xf numFmtId="0" fontId="0" fillId="0" borderId="122" xfId="0" applyBorder="1" applyAlignment="1" applyProtection="1">
      <alignment horizontal="left" vertical="center"/>
      <protection locked="0"/>
    </xf>
    <xf numFmtId="0" fontId="0" fillId="0" borderId="138" xfId="0" applyBorder="1" applyAlignment="1" applyProtection="1">
      <alignment horizontal="left" vertical="center"/>
      <protection locked="0"/>
    </xf>
    <xf numFmtId="0" fontId="0" fillId="0" borderId="154" xfId="0" applyBorder="1" applyAlignment="1" applyProtection="1">
      <alignment horizontal="left" vertical="center"/>
      <protection locked="0"/>
    </xf>
    <xf numFmtId="0" fontId="0" fillId="0" borderId="170" xfId="0" applyBorder="1" applyAlignment="1" applyProtection="1">
      <alignment horizontal="left" vertical="center"/>
      <protection locked="0"/>
    </xf>
    <xf numFmtId="0" fontId="0" fillId="0" borderId="178" xfId="0" applyBorder="1" applyAlignment="1" applyProtection="1">
      <alignment horizontal="left" vertical="center"/>
      <protection locked="0"/>
    </xf>
    <xf numFmtId="0" fontId="0" fillId="0" borderId="186" xfId="0" applyBorder="1" applyAlignment="1" applyProtection="1">
      <alignment horizontal="left" vertical="center"/>
      <protection locked="0"/>
    </xf>
    <xf numFmtId="0" fontId="0" fillId="2" borderId="355" xfId="0" applyFill="1" applyBorder="1" applyProtection="1">
      <protection locked="0"/>
    </xf>
    <xf numFmtId="0" fontId="0" fillId="2" borderId="316" xfId="0" applyFill="1" applyBorder="1" applyAlignment="1" applyProtection="1">
      <alignment horizontal="left" vertical="center"/>
      <protection locked="0"/>
    </xf>
    <xf numFmtId="0" fontId="0" fillId="2" borderId="316" xfId="0" applyFill="1" applyBorder="1" applyProtection="1">
      <protection locked="0"/>
    </xf>
    <xf numFmtId="0" fontId="0" fillId="53" borderId="341" xfId="0" applyFill="1" applyBorder="1" applyAlignment="1" applyProtection="1">
      <alignment horizontal="left" vertical="center"/>
      <protection locked="0"/>
    </xf>
    <xf numFmtId="0" fontId="0" fillId="53" borderId="354" xfId="0" applyFill="1" applyBorder="1" applyAlignment="1" applyProtection="1">
      <alignment horizontal="left" vertical="center"/>
      <protection locked="0"/>
    </xf>
    <xf numFmtId="0" fontId="0" fillId="2" borderId="354" xfId="0" applyFill="1" applyBorder="1" applyAlignment="1" applyProtection="1">
      <alignment horizontal="left" vertical="center"/>
      <protection locked="0"/>
    </xf>
    <xf numFmtId="0" fontId="0" fillId="2" borderId="307" xfId="0" applyFill="1" applyBorder="1" applyAlignment="1" applyProtection="1">
      <alignment horizontal="left" vertical="center"/>
      <protection locked="0"/>
    </xf>
    <xf numFmtId="9" fontId="10" fillId="8" borderId="77" xfId="4" applyFont="1" applyFill="1" applyBorder="1" applyAlignment="1" applyProtection="1">
      <alignment horizontal="center" vertical="center"/>
    </xf>
    <xf numFmtId="168" fontId="5" fillId="0" borderId="0" xfId="0" applyNumberFormat="1" applyFont="1" applyAlignment="1">
      <alignment vertical="center"/>
    </xf>
    <xf numFmtId="171" fontId="0" fillId="0" borderId="342" xfId="2" applyNumberFormat="1" applyFont="1" applyFill="1" applyBorder="1" applyAlignment="1" applyProtection="1">
      <alignment vertical="center"/>
    </xf>
    <xf numFmtId="171" fontId="0" fillId="0" borderId="369" xfId="2" applyNumberFormat="1" applyFont="1" applyFill="1" applyBorder="1" applyAlignment="1" applyProtection="1">
      <alignment vertical="center"/>
    </xf>
    <xf numFmtId="173" fontId="0" fillId="2" borderId="355" xfId="2" applyNumberFormat="1" applyFont="1" applyFill="1" applyBorder="1" applyAlignment="1" applyProtection="1">
      <alignment horizontal="center" vertical="center"/>
      <protection locked="0"/>
    </xf>
    <xf numFmtId="173" fontId="0" fillId="2" borderId="356" xfId="2" applyNumberFormat="1" applyFont="1" applyFill="1" applyBorder="1" applyAlignment="1" applyProtection="1">
      <alignment horizontal="center" vertical="center"/>
      <protection locked="0"/>
    </xf>
    <xf numFmtId="171" fontId="0" fillId="1" borderId="374" xfId="2" applyNumberFormat="1" applyFont="1" applyFill="1" applyBorder="1" applyAlignment="1" applyProtection="1">
      <alignment vertical="center"/>
    </xf>
    <xf numFmtId="171" fontId="0" fillId="0" borderId="375" xfId="2" applyNumberFormat="1" applyFont="1" applyFill="1" applyBorder="1" applyAlignment="1" applyProtection="1">
      <alignment vertical="center"/>
    </xf>
    <xf numFmtId="171" fontId="0" fillId="1" borderId="350" xfId="2" applyNumberFormat="1" applyFont="1" applyFill="1" applyBorder="1" applyAlignment="1" applyProtection="1">
      <alignment vertical="center"/>
    </xf>
    <xf numFmtId="171" fontId="0" fillId="64" borderId="354" xfId="2" applyNumberFormat="1" applyFont="1" applyFill="1" applyBorder="1" applyAlignment="1" applyProtection="1">
      <alignment vertical="center"/>
    </xf>
    <xf numFmtId="171" fontId="0" fillId="63" borderId="355" xfId="2" applyNumberFormat="1" applyFont="1" applyFill="1" applyBorder="1" applyAlignment="1" applyProtection="1">
      <alignment vertical="center"/>
    </xf>
    <xf numFmtId="171" fontId="0" fillId="63" borderId="356" xfId="2" applyNumberFormat="1" applyFont="1" applyFill="1" applyBorder="1" applyAlignment="1" applyProtection="1">
      <alignment vertical="center"/>
    </xf>
    <xf numFmtId="171" fontId="0" fillId="65" borderId="354" xfId="2" applyNumberFormat="1" applyFont="1" applyFill="1" applyBorder="1" applyAlignment="1" applyProtection="1">
      <alignment vertical="center"/>
    </xf>
    <xf numFmtId="171" fontId="0" fillId="60" borderId="355" xfId="2" applyNumberFormat="1" applyFont="1" applyFill="1" applyBorder="1" applyAlignment="1" applyProtection="1">
      <alignment vertical="center"/>
    </xf>
    <xf numFmtId="171" fontId="0" fillId="60" borderId="356" xfId="2" applyNumberFormat="1" applyFont="1" applyFill="1" applyBorder="1" applyAlignment="1" applyProtection="1">
      <alignment vertical="center"/>
    </xf>
    <xf numFmtId="168" fontId="5" fillId="16" borderId="355" xfId="0" applyNumberFormat="1" applyFont="1" applyFill="1" applyBorder="1" applyAlignment="1">
      <alignment vertical="center"/>
    </xf>
    <xf numFmtId="171" fontId="0" fillId="61" borderId="341" xfId="2" applyNumberFormat="1" applyFont="1" applyFill="1" applyBorder="1" applyAlignment="1" applyProtection="1">
      <alignment vertical="center"/>
    </xf>
    <xf numFmtId="171" fontId="0" fillId="61" borderId="348" xfId="2" applyNumberFormat="1" applyFont="1" applyFill="1" applyBorder="1" applyAlignment="1" applyProtection="1">
      <alignment vertical="center"/>
    </xf>
    <xf numFmtId="171" fontId="0" fillId="61" borderId="336" xfId="2" applyNumberFormat="1" applyFont="1" applyFill="1" applyBorder="1" applyAlignment="1" applyProtection="1">
      <alignment vertical="center"/>
    </xf>
    <xf numFmtId="171" fontId="0" fillId="66" borderId="354" xfId="2" applyNumberFormat="1" applyFont="1" applyFill="1" applyBorder="1" applyAlignment="1" applyProtection="1">
      <alignment vertical="center"/>
    </xf>
    <xf numFmtId="171" fontId="0" fillId="61" borderId="355" xfId="2" applyNumberFormat="1" applyFont="1" applyFill="1" applyBorder="1" applyAlignment="1" applyProtection="1">
      <alignment vertical="center"/>
    </xf>
    <xf numFmtId="171" fontId="0" fillId="61" borderId="356" xfId="2" applyNumberFormat="1" applyFont="1" applyFill="1" applyBorder="1" applyAlignment="1" applyProtection="1">
      <alignment vertical="center"/>
    </xf>
    <xf numFmtId="168" fontId="5" fillId="16" borderId="355" xfId="2" applyNumberFormat="1" applyFont="1" applyFill="1" applyBorder="1" applyAlignment="1" applyProtection="1">
      <alignment vertical="center"/>
    </xf>
    <xf numFmtId="168" fontId="5" fillId="16" borderId="355" xfId="2" applyNumberFormat="1" applyFont="1" applyFill="1" applyBorder="1" applyAlignment="1" applyProtection="1">
      <alignment horizontal="right" vertical="center"/>
    </xf>
    <xf numFmtId="168" fontId="5" fillId="16" borderId="383" xfId="2" applyNumberFormat="1" applyFont="1" applyFill="1" applyBorder="1" applyAlignment="1" applyProtection="1">
      <alignment vertical="center"/>
    </xf>
    <xf numFmtId="168" fontId="0" fillId="0" borderId="358" xfId="0" applyNumberFormat="1" applyBorder="1" applyAlignment="1">
      <alignment vertical="center"/>
    </xf>
    <xf numFmtId="168" fontId="0" fillId="0" borderId="384" xfId="0" applyNumberFormat="1" applyBorder="1" applyAlignment="1">
      <alignment vertical="center"/>
    </xf>
    <xf numFmtId="168" fontId="5" fillId="16" borderId="358" xfId="0" applyNumberFormat="1" applyFont="1" applyFill="1" applyBorder="1" applyAlignment="1">
      <alignment vertical="center"/>
    </xf>
    <xf numFmtId="168" fontId="0" fillId="0" borderId="280" xfId="2" applyNumberFormat="1" applyFont="1" applyFill="1" applyBorder="1" applyAlignment="1" applyProtection="1">
      <alignment vertical="center"/>
    </xf>
    <xf numFmtId="168" fontId="5" fillId="18" borderId="355" xfId="2" applyNumberFormat="1" applyFont="1" applyFill="1" applyBorder="1" applyAlignment="1" applyProtection="1">
      <alignment vertical="center"/>
    </xf>
    <xf numFmtId="168" fontId="0" fillId="2" borderId="355" xfId="2" applyNumberFormat="1" applyFont="1" applyFill="1" applyBorder="1" applyAlignment="1" applyProtection="1">
      <alignment vertical="center"/>
    </xf>
    <xf numFmtId="168" fontId="0" fillId="11" borderId="355" xfId="2" applyNumberFormat="1" applyFont="1" applyFill="1" applyBorder="1" applyAlignment="1" applyProtection="1">
      <alignment vertical="center"/>
    </xf>
    <xf numFmtId="168" fontId="5" fillId="3" borderId="316" xfId="2" applyNumberFormat="1" applyFont="1" applyFill="1" applyBorder="1" applyAlignment="1" applyProtection="1">
      <alignment vertical="center"/>
    </xf>
    <xf numFmtId="168" fontId="5" fillId="2" borderId="355" xfId="2" applyNumberFormat="1" applyFont="1" applyFill="1" applyBorder="1" applyAlignment="1" applyProtection="1">
      <alignment vertical="center"/>
    </xf>
    <xf numFmtId="168" fontId="0" fillId="0" borderId="264" xfId="2" applyNumberFormat="1" applyFont="1" applyFill="1" applyBorder="1" applyAlignment="1" applyProtection="1">
      <alignment vertical="center"/>
    </xf>
    <xf numFmtId="168" fontId="0" fillId="0" borderId="386" xfId="2" applyNumberFormat="1" applyFont="1" applyFill="1" applyBorder="1" applyAlignment="1" applyProtection="1">
      <alignment vertical="center"/>
    </xf>
    <xf numFmtId="170" fontId="0" fillId="0" borderId="388" xfId="1" applyNumberFormat="1" applyFont="1" applyFill="1" applyBorder="1" applyAlignment="1" applyProtection="1">
      <alignment vertical="center"/>
    </xf>
    <xf numFmtId="168" fontId="5" fillId="18" borderId="382" xfId="2" applyNumberFormat="1" applyFont="1" applyFill="1" applyBorder="1" applyAlignment="1" applyProtection="1">
      <alignment vertical="center"/>
    </xf>
    <xf numFmtId="168" fontId="5" fillId="16" borderId="388" xfId="2" applyNumberFormat="1" applyFont="1" applyFill="1" applyBorder="1" applyAlignment="1" applyProtection="1">
      <alignment vertical="center"/>
    </xf>
    <xf numFmtId="168" fontId="5" fillId="16" borderId="388" xfId="2" applyNumberFormat="1" applyFont="1" applyFill="1" applyBorder="1" applyAlignment="1" applyProtection="1">
      <alignment horizontal="right" vertical="center"/>
    </xf>
    <xf numFmtId="168" fontId="5" fillId="16" borderId="389" xfId="2" applyNumberFormat="1" applyFont="1" applyFill="1" applyBorder="1" applyAlignment="1" applyProtection="1">
      <alignment horizontal="right" vertical="center"/>
    </xf>
    <xf numFmtId="168" fontId="0" fillId="0" borderId="388" xfId="2" applyNumberFormat="1" applyFont="1" applyFill="1" applyBorder="1" applyAlignment="1" applyProtection="1">
      <alignment vertical="center"/>
    </xf>
    <xf numFmtId="168" fontId="5" fillId="12" borderId="0" xfId="2" applyNumberFormat="1" applyFont="1" applyFill="1" applyBorder="1" applyAlignment="1">
      <alignment horizontal="center" vertical="center" wrapText="1"/>
    </xf>
    <xf numFmtId="168" fontId="5" fillId="12" borderId="0" xfId="2" applyNumberFormat="1" applyFont="1" applyFill="1" applyBorder="1" applyAlignment="1">
      <alignment vertical="center"/>
    </xf>
    <xf numFmtId="168" fontId="5" fillId="0" borderId="355" xfId="2" applyNumberFormat="1" applyFont="1" applyFill="1" applyBorder="1" applyAlignment="1" applyProtection="1">
      <alignment vertical="center"/>
    </xf>
    <xf numFmtId="168" fontId="5" fillId="10" borderId="355" xfId="2" applyNumberFormat="1" applyFont="1" applyFill="1" applyBorder="1" applyAlignment="1" applyProtection="1">
      <alignment vertical="center"/>
    </xf>
    <xf numFmtId="168" fontId="5" fillId="12" borderId="201" xfId="2" applyNumberFormat="1" applyFont="1" applyFill="1" applyBorder="1" applyAlignment="1" applyProtection="1">
      <alignment horizontal="center" vertical="center"/>
    </xf>
    <xf numFmtId="0" fontId="5" fillId="3" borderId="393" xfId="0" applyFont="1" applyFill="1" applyBorder="1" applyAlignment="1">
      <alignment horizontal="center" vertical="center" wrapText="1"/>
    </xf>
    <xf numFmtId="0" fontId="9" fillId="4" borderId="394" xfId="0" applyFont="1" applyFill="1" applyBorder="1" applyAlignment="1">
      <alignment horizontal="center" vertical="center" wrapText="1"/>
    </xf>
    <xf numFmtId="0" fontId="9" fillId="5" borderId="394" xfId="0" applyFont="1" applyFill="1" applyBorder="1" applyAlignment="1">
      <alignment horizontal="center" vertical="center" wrapText="1"/>
    </xf>
    <xf numFmtId="0" fontId="9" fillId="6" borderId="394" xfId="0" applyFont="1" applyFill="1" applyBorder="1" applyAlignment="1">
      <alignment horizontal="center" vertical="center" wrapText="1"/>
    </xf>
    <xf numFmtId="0" fontId="5" fillId="3" borderId="394" xfId="0" applyFont="1" applyFill="1" applyBorder="1" applyAlignment="1">
      <alignment horizontal="center" vertical="center" wrapText="1"/>
    </xf>
    <xf numFmtId="0" fontId="5" fillId="2" borderId="394" xfId="0" applyFont="1" applyFill="1" applyBorder="1" applyAlignment="1">
      <alignment horizontal="center" vertical="center"/>
    </xf>
    <xf numFmtId="0" fontId="5" fillId="7" borderId="395" xfId="0" applyFont="1" applyFill="1" applyBorder="1" applyAlignment="1">
      <alignment horizontal="center" vertical="center" wrapText="1"/>
    </xf>
    <xf numFmtId="0" fontId="5" fillId="0" borderId="354" xfId="0" applyFont="1" applyBorder="1" applyAlignment="1">
      <alignment horizontal="left" vertical="center"/>
    </xf>
    <xf numFmtId="168" fontId="0" fillId="8" borderId="355" xfId="2" applyNumberFormat="1" applyFont="1" applyFill="1" applyBorder="1" applyAlignment="1" applyProtection="1">
      <alignment vertical="center"/>
    </xf>
    <xf numFmtId="168" fontId="5" fillId="8" borderId="355" xfId="2" applyNumberFormat="1" applyFont="1" applyFill="1" applyBorder="1" applyAlignment="1" applyProtection="1">
      <alignment vertical="center"/>
    </xf>
    <xf numFmtId="0" fontId="5" fillId="10" borderId="354" xfId="0" applyFont="1" applyFill="1" applyBorder="1" applyAlignment="1">
      <alignment horizontal="left" vertical="center"/>
    </xf>
    <xf numFmtId="168" fontId="0" fillId="10" borderId="355" xfId="2" applyNumberFormat="1" applyFont="1" applyFill="1" applyBorder="1" applyAlignment="1" applyProtection="1">
      <alignment vertical="center"/>
    </xf>
    <xf numFmtId="168" fontId="0" fillId="8" borderId="381" xfId="2" applyNumberFormat="1" applyFont="1" applyFill="1" applyBorder="1" applyAlignment="1" applyProtection="1">
      <alignment vertical="center"/>
    </xf>
    <xf numFmtId="9" fontId="5" fillId="0" borderId="27" xfId="4" applyFont="1" applyBorder="1" applyAlignment="1">
      <alignment horizontal="center" vertical="center"/>
    </xf>
    <xf numFmtId="42" fontId="0" fillId="2" borderId="355" xfId="3" applyFont="1" applyFill="1" applyBorder="1" applyAlignment="1" applyProtection="1">
      <alignment vertical="center"/>
    </xf>
    <xf numFmtId="171" fontId="0" fillId="67" borderId="366" xfId="2" applyNumberFormat="1" applyFont="1" applyFill="1" applyBorder="1" applyAlignment="1" applyProtection="1">
      <alignment vertical="center"/>
    </xf>
    <xf numFmtId="171" fontId="0" fillId="67" borderId="396" xfId="2" applyNumberFormat="1" applyFont="1" applyFill="1" applyBorder="1" applyAlignment="1" applyProtection="1">
      <alignment vertical="center"/>
    </xf>
    <xf numFmtId="171" fontId="0" fillId="67" borderId="370" xfId="2" applyNumberFormat="1" applyFont="1" applyFill="1" applyBorder="1" applyAlignment="1" applyProtection="1">
      <alignment vertical="center"/>
    </xf>
    <xf numFmtId="42" fontId="0" fillId="37" borderId="396" xfId="3" applyFont="1" applyFill="1" applyBorder="1" applyAlignment="1" applyProtection="1">
      <alignment vertical="center"/>
    </xf>
    <xf numFmtId="168" fontId="0" fillId="68" borderId="252" xfId="0" applyNumberFormat="1" applyFill="1" applyBorder="1" applyAlignment="1">
      <alignment vertical="center"/>
    </xf>
    <xf numFmtId="168" fontId="0" fillId="68" borderId="25" xfId="2" applyNumberFormat="1" applyFont="1" applyFill="1" applyBorder="1" applyAlignment="1" applyProtection="1">
      <alignment vertical="center"/>
    </xf>
    <xf numFmtId="170" fontId="0" fillId="68" borderId="20" xfId="1" applyNumberFormat="1" applyFont="1" applyFill="1" applyBorder="1" applyAlignment="1" applyProtection="1">
      <alignment vertical="center"/>
    </xf>
    <xf numFmtId="168" fontId="5" fillId="71" borderId="252" xfId="0" applyNumberFormat="1" applyFont="1" applyFill="1" applyBorder="1" applyAlignment="1">
      <alignment vertical="center"/>
    </xf>
    <xf numFmtId="168" fontId="5" fillId="72" borderId="278" xfId="2" applyNumberFormat="1" applyFont="1" applyFill="1" applyBorder="1" applyAlignment="1" applyProtection="1">
      <alignment vertical="center"/>
    </xf>
    <xf numFmtId="168" fontId="5" fillId="71" borderId="20" xfId="2" applyNumberFormat="1" applyFont="1" applyFill="1" applyBorder="1" applyAlignment="1" applyProtection="1">
      <alignment vertical="center"/>
    </xf>
    <xf numFmtId="168" fontId="5" fillId="71" borderId="20" xfId="2" applyNumberFormat="1" applyFont="1" applyFill="1" applyBorder="1" applyAlignment="1" applyProtection="1">
      <alignment horizontal="right" vertical="center"/>
    </xf>
    <xf numFmtId="168" fontId="5" fillId="71" borderId="24" xfId="2" applyNumberFormat="1" applyFont="1" applyFill="1" applyBorder="1" applyAlignment="1" applyProtection="1">
      <alignment horizontal="right" vertical="center"/>
    </xf>
    <xf numFmtId="173" fontId="0" fillId="67" borderId="366" xfId="2" applyNumberFormat="1" applyFont="1" applyFill="1" applyBorder="1" applyAlignment="1" applyProtection="1">
      <alignment horizontal="center" vertical="center"/>
      <protection locked="0"/>
    </xf>
    <xf numFmtId="173" fontId="0" fillId="67" borderId="396" xfId="2" applyNumberFormat="1" applyFont="1" applyFill="1" applyBorder="1" applyAlignment="1" applyProtection="1">
      <alignment horizontal="center" vertical="center"/>
      <protection locked="0"/>
    </xf>
    <xf numFmtId="173" fontId="0" fillId="67" borderId="370" xfId="2" applyNumberFormat="1" applyFont="1" applyFill="1" applyBorder="1" applyAlignment="1" applyProtection="1">
      <alignment horizontal="center" vertical="center"/>
      <protection locked="0"/>
    </xf>
    <xf numFmtId="42" fontId="0" fillId="0" borderId="0" xfId="3" applyFont="1" applyAlignment="1">
      <alignment vertical="center"/>
    </xf>
    <xf numFmtId="168" fontId="0" fillId="0" borderId="0" xfId="0" applyNumberFormat="1" applyAlignment="1">
      <alignment vertical="center"/>
    </xf>
    <xf numFmtId="0" fontId="30" fillId="2" borderId="252" xfId="0" applyFont="1" applyFill="1" applyBorder="1" applyAlignment="1" applyProtection="1">
      <alignment horizontal="left" vertical="center"/>
      <protection locked="0"/>
    </xf>
    <xf numFmtId="42" fontId="2" fillId="0" borderId="0" xfId="0" applyNumberFormat="1" applyFont="1" applyAlignment="1">
      <alignment vertical="center"/>
    </xf>
    <xf numFmtId="42" fontId="0" fillId="0" borderId="397" xfId="3" applyFont="1" applyBorder="1" applyAlignment="1">
      <alignment vertical="center"/>
    </xf>
    <xf numFmtId="168" fontId="0" fillId="1" borderId="400" xfId="2" applyNumberFormat="1" applyFont="1" applyFill="1" applyBorder="1" applyAlignment="1" applyProtection="1">
      <alignment vertical="center"/>
    </xf>
    <xf numFmtId="171" fontId="0" fillId="0" borderId="401" xfId="2" applyNumberFormat="1" applyFont="1" applyFill="1" applyBorder="1" applyAlignment="1" applyProtection="1">
      <alignment vertical="center"/>
    </xf>
    <xf numFmtId="171" fontId="0" fillId="0" borderId="402" xfId="2" applyNumberFormat="1" applyFont="1" applyFill="1" applyBorder="1" applyAlignment="1" applyProtection="1">
      <alignment vertical="center"/>
    </xf>
    <xf numFmtId="171" fontId="0" fillId="74" borderId="355" xfId="2" applyNumberFormat="1" applyFont="1" applyFill="1" applyBorder="1" applyAlignment="1" applyProtection="1">
      <alignment vertical="center"/>
    </xf>
    <xf numFmtId="171" fontId="0" fillId="74" borderId="356" xfId="2" applyNumberFormat="1" applyFont="1" applyFill="1" applyBorder="1" applyAlignment="1" applyProtection="1">
      <alignment vertical="center"/>
    </xf>
    <xf numFmtId="171" fontId="0" fillId="75" borderId="355" xfId="2" applyNumberFormat="1" applyFont="1" applyFill="1" applyBorder="1" applyAlignment="1" applyProtection="1">
      <alignment vertical="center"/>
    </xf>
    <xf numFmtId="171" fontId="0" fillId="75" borderId="356" xfId="2" applyNumberFormat="1" applyFont="1" applyFill="1" applyBorder="1" applyAlignment="1" applyProtection="1">
      <alignment vertical="center"/>
    </xf>
    <xf numFmtId="171" fontId="0" fillId="61" borderId="394" xfId="2" applyNumberFormat="1" applyFont="1" applyFill="1" applyBorder="1" applyAlignment="1" applyProtection="1">
      <alignment vertical="center"/>
    </xf>
    <xf numFmtId="171" fontId="0" fillId="1" borderId="230" xfId="2" applyNumberFormat="1" applyFont="1" applyFill="1" applyBorder="1" applyAlignment="1" applyProtection="1">
      <alignment vertical="center"/>
    </xf>
    <xf numFmtId="171" fontId="0" fillId="0" borderId="291" xfId="2" applyNumberFormat="1" applyFont="1" applyFill="1" applyBorder="1" applyAlignment="1" applyProtection="1">
      <alignment vertical="center"/>
    </xf>
    <xf numFmtId="171" fontId="0" fillId="0" borderId="231" xfId="2" applyNumberFormat="1" applyFont="1" applyFill="1" applyBorder="1" applyAlignment="1" applyProtection="1">
      <alignment vertical="center"/>
    </xf>
    <xf numFmtId="171" fontId="0" fillId="0" borderId="79" xfId="2" applyNumberFormat="1" applyFont="1" applyFill="1" applyBorder="1" applyAlignment="1" applyProtection="1">
      <alignment vertical="center"/>
    </xf>
    <xf numFmtId="173" fontId="0" fillId="2" borderId="77" xfId="2" applyNumberFormat="1" applyFont="1" applyFill="1" applyBorder="1" applyAlignment="1" applyProtection="1">
      <alignment horizontal="center" vertical="center"/>
      <protection locked="0"/>
    </xf>
    <xf numFmtId="168" fontId="0" fillId="33" borderId="77" xfId="7" applyNumberFormat="1" applyFont="1" applyFill="1" applyBorder="1" applyAlignment="1">
      <alignment vertical="center"/>
    </xf>
    <xf numFmtId="168" fontId="0" fillId="35" borderId="78" xfId="7" applyNumberFormat="1" applyFont="1" applyFill="1" applyBorder="1" applyAlignment="1">
      <alignment vertical="center"/>
    </xf>
    <xf numFmtId="168" fontId="0" fillId="35" borderId="79" xfId="7" applyNumberFormat="1" applyFont="1" applyFill="1" applyBorder="1" applyAlignment="1">
      <alignment vertical="center"/>
    </xf>
    <xf numFmtId="168" fontId="0" fillId="76" borderId="77" xfId="7" applyNumberFormat="1" applyFont="1" applyFill="1" applyBorder="1" applyAlignment="1">
      <alignment vertical="center"/>
    </xf>
    <xf numFmtId="0" fontId="0" fillId="2" borderId="81" xfId="0" applyFill="1" applyBorder="1" applyAlignment="1" applyProtection="1">
      <alignment horizontal="left" vertical="center"/>
      <protection locked="0"/>
    </xf>
    <xf numFmtId="168" fontId="7" fillId="2" borderId="82" xfId="7" applyNumberFormat="1" applyFill="1" applyBorder="1" applyAlignment="1" applyProtection="1">
      <alignment vertical="center"/>
      <protection locked="0"/>
    </xf>
    <xf numFmtId="168" fontId="7" fillId="2" borderId="406" xfId="7" applyNumberFormat="1" applyFill="1" applyBorder="1" applyAlignment="1" applyProtection="1">
      <alignment vertical="center"/>
      <protection locked="0"/>
    </xf>
    <xf numFmtId="168" fontId="7" fillId="49" borderId="406" xfId="7" applyNumberFormat="1" applyFill="1" applyBorder="1" applyAlignment="1" applyProtection="1">
      <alignment vertical="center"/>
      <protection locked="0"/>
    </xf>
    <xf numFmtId="0" fontId="0" fillId="2" borderId="407" xfId="0" applyFill="1" applyBorder="1" applyAlignment="1" applyProtection="1">
      <alignment horizontal="left" vertical="center"/>
      <protection locked="0"/>
    </xf>
    <xf numFmtId="0" fontId="0" fillId="2" borderId="376" xfId="0" applyFill="1" applyBorder="1" applyAlignment="1" applyProtection="1">
      <alignment horizontal="left" vertical="center"/>
      <protection locked="0"/>
    </xf>
    <xf numFmtId="0" fontId="0" fillId="49" borderId="376" xfId="0" applyFill="1" applyBorder="1" applyAlignment="1" applyProtection="1">
      <alignment horizontal="left" vertical="center"/>
      <protection locked="0"/>
    </xf>
    <xf numFmtId="0" fontId="0" fillId="2" borderId="408" xfId="0" applyFill="1" applyBorder="1" applyAlignment="1" applyProtection="1">
      <alignment horizontal="left" vertical="center"/>
      <protection locked="0"/>
    </xf>
    <xf numFmtId="0" fontId="0" fillId="2" borderId="273" xfId="0" applyFill="1" applyBorder="1" applyAlignment="1" applyProtection="1">
      <alignment horizontal="left" vertical="center"/>
      <protection locked="0"/>
    </xf>
    <xf numFmtId="0" fontId="0" fillId="2" borderId="215" xfId="0" applyFill="1" applyBorder="1" applyAlignment="1" applyProtection="1">
      <alignment horizontal="left" vertical="center"/>
      <protection locked="0"/>
    </xf>
    <xf numFmtId="168" fontId="7" fillId="2" borderId="410" xfId="7" applyNumberFormat="1" applyFill="1" applyBorder="1" applyAlignment="1" applyProtection="1">
      <alignment vertical="center"/>
      <protection locked="0"/>
    </xf>
    <xf numFmtId="168" fontId="7" fillId="49" borderId="410" xfId="7" applyNumberFormat="1" applyFill="1" applyBorder="1" applyAlignment="1" applyProtection="1">
      <alignment vertical="center"/>
      <protection locked="0"/>
    </xf>
    <xf numFmtId="168" fontId="7" fillId="2" borderId="408" xfId="7" applyNumberFormat="1" applyFill="1" applyBorder="1" applyAlignment="1" applyProtection="1">
      <alignment vertical="center"/>
      <protection locked="0"/>
    </xf>
    <xf numFmtId="0" fontId="0" fillId="2" borderId="410" xfId="0" applyFill="1" applyBorder="1" applyAlignment="1" applyProtection="1">
      <alignment horizontal="left" vertical="center"/>
      <protection locked="0"/>
    </xf>
    <xf numFmtId="0" fontId="0" fillId="49" borderId="410" xfId="0" applyFill="1" applyBorder="1" applyAlignment="1" applyProtection="1">
      <alignment horizontal="left" vertical="center"/>
      <protection locked="0"/>
    </xf>
    <xf numFmtId="0" fontId="0" fillId="2" borderId="411" xfId="0" applyFill="1" applyBorder="1" applyAlignment="1" applyProtection="1">
      <alignment horizontal="left" vertical="center"/>
      <protection locked="0"/>
    </xf>
    <xf numFmtId="168" fontId="7" fillId="2" borderId="411" xfId="7" applyNumberFormat="1" applyFill="1" applyBorder="1" applyAlignment="1" applyProtection="1">
      <alignment vertical="center"/>
      <protection locked="0"/>
    </xf>
    <xf numFmtId="0" fontId="0" fillId="49" borderId="411" xfId="0" applyFill="1" applyBorder="1" applyAlignment="1" applyProtection="1">
      <alignment horizontal="left" vertical="center"/>
      <protection locked="0"/>
    </xf>
    <xf numFmtId="168" fontId="7" fillId="49" borderId="411" xfId="7" applyNumberFormat="1" applyFill="1" applyBorder="1" applyAlignment="1" applyProtection="1">
      <alignment vertical="center"/>
      <protection locked="0"/>
    </xf>
    <xf numFmtId="0" fontId="0" fillId="2" borderId="413" xfId="0" applyFill="1" applyBorder="1" applyAlignment="1" applyProtection="1">
      <alignment horizontal="left" vertical="center"/>
      <protection locked="0"/>
    </xf>
    <xf numFmtId="168" fontId="7" fillId="2" borderId="414" xfId="7" applyNumberFormat="1" applyFill="1" applyBorder="1" applyAlignment="1" applyProtection="1">
      <alignment vertical="center"/>
      <protection locked="0"/>
    </xf>
    <xf numFmtId="0" fontId="0" fillId="49" borderId="413" xfId="0" applyFill="1" applyBorder="1" applyAlignment="1" applyProtection="1">
      <alignment horizontal="left" vertical="center"/>
      <protection locked="0"/>
    </xf>
    <xf numFmtId="168" fontId="7" fillId="49" borderId="414" xfId="7" applyNumberFormat="1" applyFill="1" applyBorder="1" applyAlignment="1" applyProtection="1">
      <alignment vertical="center"/>
      <protection locked="0"/>
    </xf>
    <xf numFmtId="168" fontId="7" fillId="2" borderId="316" xfId="7" applyNumberFormat="1" applyFill="1" applyBorder="1" applyAlignment="1" applyProtection="1">
      <alignment vertical="center"/>
      <protection locked="0"/>
    </xf>
    <xf numFmtId="168" fontId="7" fillId="2" borderId="318" xfId="7" applyNumberFormat="1" applyFill="1" applyBorder="1" applyAlignment="1" applyProtection="1">
      <alignment vertical="center"/>
      <protection locked="0"/>
    </xf>
    <xf numFmtId="168" fontId="0" fillId="2" borderId="401" xfId="2" applyNumberFormat="1" applyFont="1" applyFill="1" applyBorder="1" applyAlignment="1" applyProtection="1">
      <alignment vertical="center"/>
    </xf>
    <xf numFmtId="168" fontId="0" fillId="11" borderId="401" xfId="2" applyNumberFormat="1" applyFont="1" applyFill="1" applyBorder="1" applyAlignment="1" applyProtection="1">
      <alignment vertical="center"/>
    </xf>
    <xf numFmtId="168" fontId="0" fillId="8" borderId="401" xfId="2" applyNumberFormat="1" applyFont="1" applyFill="1" applyBorder="1" applyAlignment="1" applyProtection="1">
      <alignment vertical="center"/>
    </xf>
    <xf numFmtId="168" fontId="13" fillId="19" borderId="415" xfId="2" applyNumberFormat="1" applyFont="1" applyFill="1" applyBorder="1" applyAlignment="1" applyProtection="1">
      <alignment vertical="center" wrapText="1"/>
    </xf>
    <xf numFmtId="168" fontId="0" fillId="0" borderId="414" xfId="0" applyNumberFormat="1" applyBorder="1" applyAlignment="1">
      <alignment vertical="center"/>
    </xf>
    <xf numFmtId="168" fontId="5" fillId="16" borderId="414" xfId="0" applyNumberFormat="1" applyFont="1" applyFill="1" applyBorder="1" applyAlignment="1">
      <alignment vertical="center"/>
    </xf>
    <xf numFmtId="171" fontId="0" fillId="0" borderId="420" xfId="2" applyNumberFormat="1" applyFont="1" applyFill="1" applyBorder="1" applyAlignment="1" applyProtection="1">
      <alignment vertical="center"/>
    </xf>
    <xf numFmtId="171" fontId="0" fillId="0" borderId="422" xfId="2" applyNumberFormat="1" applyFont="1" applyFill="1" applyBorder="1" applyAlignment="1" applyProtection="1">
      <alignment vertical="center"/>
    </xf>
    <xf numFmtId="171" fontId="0" fillId="0" borderId="423" xfId="2" applyNumberFormat="1" applyFont="1" applyFill="1" applyBorder="1" applyAlignment="1" applyProtection="1">
      <alignment vertical="center"/>
    </xf>
    <xf numFmtId="171" fontId="0" fillId="0" borderId="413" xfId="2" applyNumberFormat="1" applyFont="1" applyFill="1" applyBorder="1" applyAlignment="1" applyProtection="1">
      <alignment vertical="center"/>
    </xf>
    <xf numFmtId="171" fontId="0" fillId="0" borderId="411" xfId="2" applyNumberFormat="1" applyFont="1" applyFill="1" applyBorder="1" applyAlignment="1" applyProtection="1">
      <alignment vertical="center"/>
    </xf>
    <xf numFmtId="171" fontId="0" fillId="0" borderId="414" xfId="2" applyNumberFormat="1" applyFont="1" applyFill="1" applyBorder="1" applyAlignment="1" applyProtection="1">
      <alignment vertical="center"/>
    </xf>
    <xf numFmtId="171" fontId="0" fillId="2" borderId="413" xfId="2" applyNumberFormat="1" applyFont="1" applyFill="1" applyBorder="1" applyAlignment="1" applyProtection="1">
      <alignment vertical="center"/>
    </xf>
    <xf numFmtId="171" fontId="0" fillId="2" borderId="414" xfId="2" applyNumberFormat="1" applyFont="1" applyFill="1" applyBorder="1" applyAlignment="1" applyProtection="1">
      <alignment vertical="center"/>
    </xf>
    <xf numFmtId="168" fontId="0" fillId="2" borderId="414" xfId="2" applyNumberFormat="1" applyFont="1" applyFill="1" applyBorder="1" applyAlignment="1" applyProtection="1">
      <alignment vertical="center"/>
    </xf>
    <xf numFmtId="171" fontId="0" fillId="1" borderId="413" xfId="2" applyNumberFormat="1" applyFont="1" applyFill="1" applyBorder="1" applyAlignment="1" applyProtection="1">
      <alignment vertical="center"/>
    </xf>
    <xf numFmtId="168" fontId="0" fillId="59" borderId="411" xfId="2" applyNumberFormat="1" applyFont="1" applyFill="1" applyBorder="1" applyAlignment="1" applyProtection="1">
      <alignment vertical="center"/>
    </xf>
    <xf numFmtId="168" fontId="0" fillId="59" borderId="414" xfId="2" applyNumberFormat="1" applyFont="1" applyFill="1" applyBorder="1" applyAlignment="1" applyProtection="1">
      <alignment vertical="center"/>
    </xf>
    <xf numFmtId="171" fontId="0" fillId="59" borderId="413" xfId="2" applyNumberFormat="1" applyFont="1" applyFill="1" applyBorder="1" applyAlignment="1" applyProtection="1">
      <alignment vertical="center"/>
    </xf>
    <xf numFmtId="171" fontId="0" fillId="0" borderId="264" xfId="2" applyNumberFormat="1" applyFont="1" applyFill="1" applyBorder="1" applyAlignment="1" applyProtection="1">
      <alignment vertical="center"/>
    </xf>
    <xf numFmtId="171" fontId="0" fillId="0" borderId="225" xfId="2" applyNumberFormat="1" applyFont="1" applyFill="1" applyBorder="1" applyAlignment="1" applyProtection="1">
      <alignment vertical="center"/>
    </xf>
    <xf numFmtId="168" fontId="0" fillId="1" borderId="413" xfId="2" applyNumberFormat="1" applyFont="1" applyFill="1" applyBorder="1" applyAlignment="1" applyProtection="1">
      <alignment vertical="center"/>
    </xf>
    <xf numFmtId="168" fontId="0" fillId="35" borderId="413" xfId="7" applyNumberFormat="1" applyFont="1" applyFill="1" applyBorder="1" applyAlignment="1">
      <alignment vertical="center"/>
    </xf>
    <xf numFmtId="168" fontId="0" fillId="35" borderId="411" xfId="7" applyNumberFormat="1" applyFont="1" applyFill="1" applyBorder="1" applyAlignment="1">
      <alignment vertical="center"/>
    </xf>
    <xf numFmtId="168" fontId="0" fillId="46" borderId="413" xfId="7" applyNumberFormat="1" applyFont="1" applyFill="1" applyBorder="1" applyAlignment="1">
      <alignment vertical="center"/>
    </xf>
    <xf numFmtId="168" fontId="0" fillId="46" borderId="411" xfId="7" applyNumberFormat="1" applyFont="1" applyFill="1" applyBorder="1" applyAlignment="1">
      <alignment vertical="center"/>
    </xf>
    <xf numFmtId="183" fontId="0" fillId="0" borderId="413" xfId="9" applyNumberFormat="1" applyFont="1" applyBorder="1" applyAlignment="1">
      <alignment horizontal="center" vertical="center"/>
    </xf>
    <xf numFmtId="183" fontId="7" fillId="0" borderId="411" xfId="9" applyNumberFormat="1" applyBorder="1" applyAlignment="1">
      <alignment horizontal="center"/>
    </xf>
    <xf numFmtId="183" fontId="7" fillId="0" borderId="414" xfId="9" applyNumberFormat="1" applyBorder="1" applyAlignment="1">
      <alignment horizontal="center"/>
    </xf>
    <xf numFmtId="168" fontId="0" fillId="77" borderId="411" xfId="7" applyNumberFormat="1" applyFont="1" applyFill="1" applyBorder="1" applyAlignment="1">
      <alignment vertical="center"/>
    </xf>
    <xf numFmtId="168" fontId="0" fillId="77" borderId="414" xfId="7" applyNumberFormat="1" applyFont="1" applyFill="1" applyBorder="1" applyAlignment="1">
      <alignment vertical="center"/>
    </xf>
    <xf numFmtId="168" fontId="0" fillId="78" borderId="411" xfId="7" applyNumberFormat="1" applyFont="1" applyFill="1" applyBorder="1" applyAlignment="1">
      <alignment vertical="center"/>
    </xf>
    <xf numFmtId="168" fontId="0" fillId="78" borderId="424" xfId="7" applyNumberFormat="1" applyFont="1" applyFill="1" applyBorder="1" applyAlignment="1">
      <alignment vertical="center"/>
    </xf>
    <xf numFmtId="168" fontId="0" fillId="1" borderId="411" xfId="7" applyNumberFormat="1" applyFont="1" applyFill="1" applyBorder="1" applyAlignment="1">
      <alignment vertical="center"/>
    </xf>
    <xf numFmtId="168" fontId="0" fillId="1" borderId="424" xfId="7" applyNumberFormat="1" applyFont="1" applyFill="1" applyBorder="1" applyAlignment="1">
      <alignment vertical="center"/>
    </xf>
    <xf numFmtId="183" fontId="0" fillId="0" borderId="341" xfId="9" applyNumberFormat="1" applyFont="1" applyBorder="1" applyAlignment="1">
      <alignment horizontal="center" vertical="center"/>
    </xf>
    <xf numFmtId="183" fontId="7" fillId="0" borderId="394" xfId="9" applyNumberFormat="1" applyBorder="1" applyAlignment="1">
      <alignment horizontal="center"/>
    </xf>
    <xf numFmtId="183" fontId="7" fillId="0" borderId="395" xfId="9" applyNumberFormat="1" applyBorder="1" applyAlignment="1">
      <alignment horizontal="center"/>
    </xf>
    <xf numFmtId="183" fontId="7" fillId="1" borderId="411" xfId="9" applyNumberFormat="1" applyFill="1" applyBorder="1" applyAlignment="1">
      <alignment horizontal="center"/>
    </xf>
    <xf numFmtId="183" fontId="7" fillId="1" borderId="414" xfId="9" applyNumberFormat="1" applyFill="1" applyBorder="1" applyAlignment="1">
      <alignment horizontal="center"/>
    </xf>
    <xf numFmtId="183" fontId="0" fillId="1" borderId="413" xfId="9" applyNumberFormat="1" applyFont="1" applyFill="1" applyBorder="1" applyAlignment="1">
      <alignment horizontal="center" vertical="center"/>
    </xf>
    <xf numFmtId="183" fontId="7" fillId="1" borderId="316" xfId="9" applyNumberFormat="1" applyFill="1" applyBorder="1" applyAlignment="1">
      <alignment horizontal="center"/>
    </xf>
    <xf numFmtId="183" fontId="7" fillId="1" borderId="318" xfId="9" applyNumberFormat="1" applyFill="1" applyBorder="1" applyAlignment="1">
      <alignment horizontal="center"/>
    </xf>
    <xf numFmtId="168" fontId="0" fillId="78" borderId="269" xfId="7" applyNumberFormat="1" applyFont="1" applyFill="1" applyBorder="1" applyAlignment="1">
      <alignment vertical="center"/>
    </xf>
    <xf numFmtId="168" fontId="0" fillId="78" borderId="252" xfId="7" applyNumberFormat="1" applyFont="1" applyFill="1" applyBorder="1" applyAlignment="1">
      <alignment vertical="center"/>
    </xf>
    <xf numFmtId="168" fontId="0" fillId="78" borderId="253" xfId="7" applyNumberFormat="1" applyFont="1" applyFill="1" applyBorder="1" applyAlignment="1">
      <alignment vertical="center"/>
    </xf>
    <xf numFmtId="168" fontId="0" fillId="79" borderId="269" xfId="7" applyNumberFormat="1" applyFont="1" applyFill="1" applyBorder="1" applyAlignment="1">
      <alignment vertical="center"/>
    </xf>
    <xf numFmtId="168" fontId="0" fillId="79" borderId="252" xfId="7" applyNumberFormat="1" applyFont="1" applyFill="1" applyBorder="1" applyAlignment="1">
      <alignment vertical="center"/>
    </xf>
    <xf numFmtId="168" fontId="0" fillId="79" borderId="270" xfId="7" applyNumberFormat="1" applyFont="1" applyFill="1" applyBorder="1" applyAlignment="1">
      <alignment vertical="center"/>
    </xf>
    <xf numFmtId="178" fontId="2" fillId="0" borderId="268" xfId="7" applyNumberFormat="1" applyFont="1" applyBorder="1" applyAlignment="1">
      <alignment vertical="center"/>
    </xf>
    <xf numFmtId="178" fontId="7" fillId="0" borderId="268" xfId="7" applyNumberFormat="1" applyBorder="1" applyAlignment="1">
      <alignment horizontal="right" vertical="center"/>
    </xf>
    <xf numFmtId="168" fontId="0" fillId="76" borderId="252" xfId="7" applyNumberFormat="1" applyFont="1" applyFill="1" applyBorder="1" applyAlignment="1">
      <alignment vertical="center"/>
    </xf>
    <xf numFmtId="168" fontId="0" fillId="76" borderId="253" xfId="7" applyNumberFormat="1" applyFont="1" applyFill="1" applyBorder="1" applyAlignment="1">
      <alignment vertical="center"/>
    </xf>
    <xf numFmtId="168" fontId="0" fillId="80" borderId="252" xfId="7" applyNumberFormat="1" applyFont="1" applyFill="1" applyBorder="1" applyAlignment="1">
      <alignment vertical="center"/>
    </xf>
    <xf numFmtId="168" fontId="0" fillId="80" borderId="270" xfId="7" applyNumberFormat="1" applyFont="1" applyFill="1" applyBorder="1" applyAlignment="1">
      <alignment vertical="center"/>
    </xf>
    <xf numFmtId="168" fontId="0" fillId="59" borderId="252" xfId="7" applyNumberFormat="1" applyFont="1" applyFill="1" applyBorder="1" applyAlignment="1">
      <alignment vertical="center"/>
    </xf>
    <xf numFmtId="168" fontId="0" fillId="59" borderId="253" xfId="7" applyNumberFormat="1" applyFont="1" applyFill="1" applyBorder="1" applyAlignment="1">
      <alignment vertical="center"/>
    </xf>
    <xf numFmtId="168" fontId="0" fillId="78" borderId="413" xfId="7" applyNumberFormat="1" applyFont="1" applyFill="1" applyBorder="1" applyAlignment="1">
      <alignment vertical="center"/>
    </xf>
    <xf numFmtId="168" fontId="0" fillId="78" borderId="414" xfId="7" applyNumberFormat="1" applyFont="1" applyFill="1" applyBorder="1" applyAlignment="1">
      <alignment vertical="center"/>
    </xf>
    <xf numFmtId="168" fontId="0" fillId="79" borderId="413" xfId="7" applyNumberFormat="1" applyFont="1" applyFill="1" applyBorder="1" applyAlignment="1">
      <alignment vertical="center"/>
    </xf>
    <xf numFmtId="168" fontId="0" fillId="79" borderId="411" xfId="7" applyNumberFormat="1" applyFont="1" applyFill="1" applyBorder="1" applyAlignment="1">
      <alignment vertical="center"/>
    </xf>
    <xf numFmtId="168" fontId="0" fillId="79" borderId="414" xfId="7" applyNumberFormat="1" applyFont="1" applyFill="1" applyBorder="1" applyAlignment="1">
      <alignment vertical="center"/>
    </xf>
    <xf numFmtId="168" fontId="0" fillId="1" borderId="419" xfId="7" applyNumberFormat="1" applyFont="1" applyFill="1" applyBorder="1" applyAlignment="1">
      <alignment vertical="center"/>
    </xf>
    <xf numFmtId="183" fontId="7" fillId="1" borderId="264" xfId="9" applyNumberFormat="1" applyFill="1" applyBorder="1" applyAlignment="1">
      <alignment horizontal="center"/>
    </xf>
    <xf numFmtId="183" fontId="7" fillId="1" borderId="225" xfId="9" applyNumberFormat="1" applyFill="1" applyBorder="1" applyAlignment="1">
      <alignment horizontal="center"/>
    </xf>
    <xf numFmtId="168" fontId="0" fillId="33" borderId="413" xfId="7" applyNumberFormat="1" applyFont="1" applyFill="1" applyBorder="1" applyAlignment="1">
      <alignment vertical="center"/>
    </xf>
    <xf numFmtId="168" fontId="0" fillId="1" borderId="413" xfId="7" applyNumberFormat="1" applyFont="1" applyFill="1" applyBorder="1" applyAlignment="1">
      <alignment vertical="center"/>
    </xf>
    <xf numFmtId="171" fontId="0" fillId="1" borderId="224" xfId="2" applyNumberFormat="1" applyFont="1" applyFill="1" applyBorder="1" applyAlignment="1" applyProtection="1">
      <alignment vertical="center"/>
    </xf>
    <xf numFmtId="171" fontId="0" fillId="61" borderId="411" xfId="2" applyNumberFormat="1" applyFont="1" applyFill="1" applyBorder="1" applyAlignment="1" applyProtection="1">
      <alignment vertical="center"/>
    </xf>
    <xf numFmtId="171" fontId="0" fillId="64" borderId="411" xfId="2" applyNumberFormat="1" applyFont="1" applyFill="1" applyBorder="1" applyAlignment="1" applyProtection="1">
      <alignment vertical="center"/>
    </xf>
    <xf numFmtId="171" fontId="0" fillId="63" borderId="411" xfId="2" applyNumberFormat="1" applyFont="1" applyFill="1" applyBorder="1" applyAlignment="1" applyProtection="1">
      <alignment vertical="center"/>
    </xf>
    <xf numFmtId="171" fontId="0" fillId="65" borderId="411" xfId="2" applyNumberFormat="1" applyFont="1" applyFill="1" applyBorder="1" applyAlignment="1" applyProtection="1">
      <alignment vertical="center"/>
    </xf>
    <xf numFmtId="171" fontId="0" fillId="60" borderId="411" xfId="2" applyNumberFormat="1" applyFont="1" applyFill="1" applyBorder="1" applyAlignment="1" applyProtection="1">
      <alignment vertical="center"/>
    </xf>
    <xf numFmtId="171" fontId="0" fillId="66" borderId="413" xfId="2" applyNumberFormat="1" applyFont="1" applyFill="1" applyBorder="1" applyAlignment="1" applyProtection="1">
      <alignment vertical="center"/>
    </xf>
    <xf numFmtId="171" fontId="0" fillId="64" borderId="413" xfId="2" applyNumberFormat="1" applyFont="1" applyFill="1" applyBorder="1" applyAlignment="1" applyProtection="1">
      <alignment vertical="center"/>
    </xf>
    <xf numFmtId="171" fontId="0" fillId="65" borderId="413" xfId="2" applyNumberFormat="1" applyFont="1" applyFill="1" applyBorder="1" applyAlignment="1" applyProtection="1">
      <alignment vertical="center"/>
    </xf>
    <xf numFmtId="168" fontId="0" fillId="47" borderId="413" xfId="7" applyNumberFormat="1" applyFont="1" applyFill="1" applyBorder="1" applyAlignment="1">
      <alignment vertical="center"/>
    </xf>
    <xf numFmtId="168" fontId="0" fillId="78" borderId="270" xfId="7" applyNumberFormat="1" applyFont="1" applyFill="1" applyBorder="1" applyAlignment="1">
      <alignment vertical="center"/>
    </xf>
    <xf numFmtId="168" fontId="0" fillId="1" borderId="270" xfId="7" applyNumberFormat="1" applyFont="1" applyFill="1" applyBorder="1" applyAlignment="1">
      <alignment vertical="center"/>
    </xf>
    <xf numFmtId="168" fontId="0" fillId="1" borderId="414" xfId="7" applyNumberFormat="1" applyFont="1" applyFill="1" applyBorder="1" applyAlignment="1">
      <alignment vertical="center"/>
    </xf>
    <xf numFmtId="183" fontId="7" fillId="59" borderId="411" xfId="9" applyNumberFormat="1" applyFill="1" applyBorder="1" applyAlignment="1">
      <alignment horizontal="center"/>
    </xf>
    <xf numFmtId="173" fontId="0" fillId="2" borderId="420" xfId="2" applyNumberFormat="1" applyFont="1" applyFill="1" applyBorder="1" applyAlignment="1" applyProtection="1">
      <alignment horizontal="center" vertical="center"/>
      <protection locked="0"/>
    </xf>
    <xf numFmtId="173" fontId="0" fillId="2" borderId="422" xfId="2" applyNumberFormat="1" applyFont="1" applyFill="1" applyBorder="1" applyAlignment="1" applyProtection="1">
      <alignment horizontal="center" vertical="center"/>
      <protection locked="0"/>
    </xf>
    <xf numFmtId="173" fontId="0" fillId="2" borderId="423" xfId="2" applyNumberFormat="1" applyFont="1" applyFill="1" applyBorder="1" applyAlignment="1" applyProtection="1">
      <alignment horizontal="center" vertical="center"/>
      <protection locked="0"/>
    </xf>
    <xf numFmtId="173" fontId="0" fillId="2" borderId="411" xfId="2" applyNumberFormat="1" applyFont="1" applyFill="1" applyBorder="1" applyAlignment="1" applyProtection="1">
      <alignment horizontal="center" vertical="center"/>
      <protection locked="0"/>
    </xf>
    <xf numFmtId="173" fontId="0" fillId="2" borderId="414" xfId="2" applyNumberFormat="1" applyFont="1" applyFill="1" applyBorder="1" applyAlignment="1" applyProtection="1">
      <alignment horizontal="center" vertical="center"/>
      <protection locked="0"/>
    </xf>
    <xf numFmtId="181" fontId="7" fillId="2" borderId="411" xfId="7" applyNumberFormat="1" applyFill="1" applyBorder="1" applyProtection="1">
      <protection locked="0"/>
    </xf>
    <xf numFmtId="0" fontId="0" fillId="25" borderId="411" xfId="0" applyFill="1" applyBorder="1" applyAlignment="1">
      <alignment horizontal="center"/>
    </xf>
    <xf numFmtId="164" fontId="7" fillId="2" borderId="411" xfId="6" applyNumberFormat="1" applyFont="1" applyFill="1" applyBorder="1" applyProtection="1">
      <protection locked="0"/>
    </xf>
    <xf numFmtId="0" fontId="0" fillId="0" borderId="411" xfId="0" applyBorder="1" applyAlignment="1" applyProtection="1">
      <alignment horizontal="left" vertical="center"/>
      <protection locked="0"/>
    </xf>
    <xf numFmtId="168" fontId="7" fillId="2" borderId="272" xfId="7" applyNumberFormat="1" applyFill="1" applyBorder="1" applyAlignment="1" applyProtection="1">
      <alignment horizontal="right" vertical="center"/>
      <protection locked="0"/>
    </xf>
    <xf numFmtId="0" fontId="0" fillId="2" borderId="425" xfId="0" applyFill="1" applyBorder="1" applyAlignment="1" applyProtection="1">
      <alignment horizontal="left" vertical="center"/>
      <protection locked="0"/>
    </xf>
    <xf numFmtId="0" fontId="0" fillId="2" borderId="268" xfId="0" applyFill="1" applyBorder="1" applyAlignment="1" applyProtection="1">
      <alignment horizontal="left" vertical="center"/>
      <protection locked="0"/>
    </xf>
    <xf numFmtId="168" fontId="7" fillId="2" borderId="364" xfId="7" applyNumberFormat="1" applyFill="1" applyBorder="1" applyAlignment="1" applyProtection="1">
      <alignment horizontal="right" vertical="center"/>
      <protection locked="0"/>
    </xf>
    <xf numFmtId="168" fontId="7" fillId="49" borderId="364" xfId="7" applyNumberFormat="1" applyFill="1" applyBorder="1" applyAlignment="1" applyProtection="1">
      <alignment horizontal="right" vertical="center"/>
      <protection locked="0"/>
    </xf>
    <xf numFmtId="0" fontId="0" fillId="2" borderId="201" xfId="0" applyFill="1" applyBorder="1" applyAlignment="1" applyProtection="1">
      <alignment horizontal="left" vertical="center"/>
      <protection locked="0"/>
    </xf>
    <xf numFmtId="168" fontId="7" fillId="2" borderId="254" xfId="7" applyNumberFormat="1" applyFill="1" applyBorder="1" applyAlignment="1" applyProtection="1">
      <alignment horizontal="right" vertical="center"/>
      <protection locked="0"/>
    </xf>
    <xf numFmtId="0" fontId="0" fillId="2" borderId="431" xfId="0" applyFill="1" applyBorder="1" applyAlignment="1" applyProtection="1">
      <alignment horizontal="left" vertical="center"/>
      <protection locked="0"/>
    </xf>
    <xf numFmtId="42" fontId="0" fillId="0" borderId="0" xfId="0" applyNumberFormat="1"/>
    <xf numFmtId="168" fontId="7" fillId="2" borderId="432" xfId="7" applyNumberFormat="1" applyFill="1" applyBorder="1" applyAlignment="1" applyProtection="1">
      <alignment vertical="center"/>
      <protection locked="0"/>
    </xf>
    <xf numFmtId="168" fontId="7" fillId="2" borderId="431" xfId="7" applyNumberFormat="1" applyFill="1" applyBorder="1" applyAlignment="1" applyProtection="1">
      <alignment vertical="center"/>
      <protection locked="0"/>
    </xf>
    <xf numFmtId="168" fontId="7" fillId="2" borderId="434" xfId="7" applyNumberFormat="1" applyFill="1" applyBorder="1" applyAlignment="1" applyProtection="1">
      <alignment vertical="center"/>
      <protection locked="0"/>
    </xf>
    <xf numFmtId="0" fontId="0" fillId="2" borderId="429" xfId="0" applyFill="1" applyBorder="1" applyAlignment="1" applyProtection="1">
      <alignment horizontal="left" vertical="center"/>
      <protection locked="0"/>
    </xf>
    <xf numFmtId="168" fontId="7" fillId="2" borderId="429" xfId="7" applyNumberFormat="1" applyFill="1" applyBorder="1" applyAlignment="1" applyProtection="1">
      <alignment vertical="center"/>
      <protection locked="0"/>
    </xf>
    <xf numFmtId="168" fontId="7" fillId="2" borderId="436" xfId="7" applyNumberFormat="1" applyFill="1" applyBorder="1" applyAlignment="1" applyProtection="1">
      <alignment vertical="center"/>
      <protection locked="0"/>
    </xf>
    <xf numFmtId="0" fontId="0" fillId="2" borderId="272" xfId="0" applyFill="1" applyBorder="1" applyAlignment="1" applyProtection="1">
      <alignment horizontal="left" vertical="center"/>
      <protection locked="0"/>
    </xf>
    <xf numFmtId="0" fontId="0" fillId="2" borderId="433" xfId="0" applyFill="1" applyBorder="1" applyAlignment="1" applyProtection="1">
      <alignment horizontal="left" vertical="center"/>
      <protection locked="0"/>
    </xf>
    <xf numFmtId="171" fontId="0" fillId="2" borderId="410" xfId="7" applyNumberFormat="1" applyFont="1" applyFill="1" applyBorder="1" applyAlignment="1" applyProtection="1">
      <alignment vertical="center"/>
      <protection locked="0"/>
    </xf>
    <xf numFmtId="171" fontId="0" fillId="2" borderId="439" xfId="7" applyNumberFormat="1" applyFont="1" applyFill="1" applyBorder="1" applyAlignment="1" applyProtection="1">
      <alignment vertical="center"/>
      <protection locked="0"/>
    </xf>
    <xf numFmtId="171" fontId="0" fillId="2" borderId="431" xfId="7" applyNumberFormat="1" applyFont="1" applyFill="1" applyBorder="1" applyAlignment="1" applyProtection="1">
      <alignment vertical="center"/>
      <protection locked="0"/>
    </xf>
    <xf numFmtId="171" fontId="0" fillId="2" borderId="272" xfId="2" applyNumberFormat="1" applyFont="1" applyFill="1" applyBorder="1" applyAlignment="1" applyProtection="1">
      <alignment vertical="center"/>
      <protection locked="0"/>
    </xf>
    <xf numFmtId="171" fontId="0" fillId="2" borderId="410" xfId="2" applyNumberFormat="1" applyFont="1" applyFill="1" applyBorder="1" applyAlignment="1" applyProtection="1">
      <alignment vertical="center"/>
      <protection locked="0"/>
    </xf>
    <xf numFmtId="171" fontId="0" fillId="2" borderId="438" xfId="7" applyNumberFormat="1" applyFont="1" applyFill="1" applyBorder="1" applyAlignment="1" applyProtection="1">
      <alignment vertical="center"/>
      <protection locked="0"/>
    </xf>
    <xf numFmtId="0" fontId="0" fillId="2" borderId="421" xfId="0" applyFill="1" applyBorder="1" applyProtection="1">
      <protection locked="0"/>
    </xf>
    <xf numFmtId="0" fontId="0" fillId="53" borderId="435" xfId="0" applyFill="1" applyBorder="1" applyAlignment="1" applyProtection="1">
      <alignment horizontal="left" vertical="center"/>
      <protection locked="0"/>
    </xf>
    <xf numFmtId="0" fontId="0" fillId="53" borderId="435" xfId="0" applyFill="1" applyBorder="1" applyProtection="1">
      <protection locked="0"/>
    </xf>
    <xf numFmtId="0" fontId="31" fillId="2" borderId="72" xfId="0" applyFont="1" applyFill="1" applyBorder="1" applyAlignment="1" applyProtection="1">
      <alignment horizontal="left" vertical="center"/>
      <protection locked="0"/>
    </xf>
    <xf numFmtId="0" fontId="31" fillId="2" borderId="73" xfId="0" applyFont="1" applyFill="1" applyBorder="1" applyAlignment="1" applyProtection="1">
      <alignment horizontal="left" vertical="center"/>
      <protection locked="0"/>
    </xf>
    <xf numFmtId="0" fontId="31" fillId="2" borderId="433" xfId="0" applyFont="1" applyFill="1" applyBorder="1" applyAlignment="1" applyProtection="1">
      <alignment horizontal="left" vertical="center"/>
      <protection locked="0"/>
    </xf>
    <xf numFmtId="0" fontId="0" fillId="2" borderId="210" xfId="0" applyFill="1" applyBorder="1" applyAlignment="1" applyProtection="1">
      <alignment horizontal="left" vertical="center"/>
      <protection locked="0"/>
    </xf>
    <xf numFmtId="0" fontId="0" fillId="2" borderId="353" xfId="0" applyFill="1" applyBorder="1" applyAlignment="1" applyProtection="1">
      <alignment horizontal="left" vertical="center"/>
      <protection locked="0"/>
    </xf>
    <xf numFmtId="0" fontId="0" fillId="2" borderId="353" xfId="0" applyFill="1" applyBorder="1" applyProtection="1">
      <protection locked="0"/>
    </xf>
    <xf numFmtId="171" fontId="0" fillId="2" borderId="353" xfId="11" applyNumberFormat="1" applyFont="1" applyFill="1" applyBorder="1" applyAlignment="1" applyProtection="1">
      <alignment vertical="center"/>
      <protection locked="0"/>
    </xf>
    <xf numFmtId="171" fontId="0" fillId="2" borderId="216" xfId="7" applyNumberFormat="1" applyFont="1" applyFill="1" applyBorder="1" applyAlignment="1" applyProtection="1">
      <alignment vertical="center"/>
      <protection locked="0"/>
    </xf>
    <xf numFmtId="171" fontId="0" fillId="2" borderId="331" xfId="7" applyNumberFormat="1" applyFont="1" applyFill="1" applyBorder="1" applyAlignment="1" applyProtection="1">
      <alignment vertical="center"/>
      <protection locked="0"/>
    </xf>
    <xf numFmtId="0" fontId="31" fillId="2" borderId="437" xfId="0" applyFont="1" applyFill="1" applyBorder="1" applyAlignment="1" applyProtection="1">
      <alignment horizontal="left" vertical="center"/>
      <protection locked="0"/>
    </xf>
    <xf numFmtId="0" fontId="0" fillId="2" borderId="230" xfId="0" applyFill="1" applyBorder="1" applyAlignment="1" applyProtection="1">
      <alignment horizontal="left" vertical="center"/>
      <protection locked="0"/>
    </xf>
    <xf numFmtId="0" fontId="0" fillId="2" borderId="199" xfId="0" applyFill="1" applyBorder="1" applyAlignment="1" applyProtection="1">
      <alignment horizontal="left" vertical="center"/>
      <protection locked="0"/>
    </xf>
    <xf numFmtId="0" fontId="0" fillId="2" borderId="200" xfId="0" applyFill="1" applyBorder="1" applyAlignment="1" applyProtection="1">
      <alignment horizontal="left" vertical="center"/>
      <protection locked="0"/>
    </xf>
    <xf numFmtId="0" fontId="0" fillId="0" borderId="45" xfId="0" applyBorder="1" applyAlignment="1">
      <alignment horizontal="left" vertical="center"/>
    </xf>
    <xf numFmtId="0" fontId="0" fillId="0" borderId="58" xfId="0" applyBorder="1" applyAlignment="1">
      <alignment horizontal="left" vertical="center"/>
    </xf>
    <xf numFmtId="0" fontId="0" fillId="0" borderId="253" xfId="0" applyBorder="1" applyAlignment="1">
      <alignment horizontal="left" vertical="center"/>
    </xf>
    <xf numFmtId="0" fontId="5" fillId="0" borderId="58" xfId="0" applyFont="1" applyBorder="1" applyAlignment="1">
      <alignment horizontal="left" vertical="center"/>
    </xf>
    <xf numFmtId="0" fontId="0" fillId="0" borderId="58" xfId="0" applyBorder="1" applyAlignment="1">
      <alignment horizontal="right" vertical="center"/>
    </xf>
    <xf numFmtId="0" fontId="0" fillId="0" borderId="52" xfId="0" applyBorder="1" applyAlignment="1">
      <alignment horizontal="right" vertical="center"/>
    </xf>
    <xf numFmtId="0" fontId="0" fillId="0" borderId="421" xfId="0" applyBorder="1" applyAlignment="1">
      <alignment horizontal="left" vertical="center"/>
    </xf>
    <xf numFmtId="0" fontId="0" fillId="0" borderId="424" xfId="0" applyBorder="1" applyAlignment="1">
      <alignment horizontal="left" vertical="center"/>
    </xf>
    <xf numFmtId="0" fontId="5" fillId="0" borderId="424" xfId="0" applyFont="1" applyBorder="1" applyAlignment="1">
      <alignment horizontal="left" vertical="center"/>
    </xf>
    <xf numFmtId="0" fontId="0" fillId="0" borderId="424" xfId="0" applyBorder="1" applyAlignment="1">
      <alignment horizontal="right" vertical="center"/>
    </xf>
    <xf numFmtId="0" fontId="0" fillId="0" borderId="317" xfId="0" applyBorder="1" applyAlignment="1">
      <alignment horizontal="left" vertical="center"/>
    </xf>
    <xf numFmtId="0" fontId="0" fillId="0" borderId="52" xfId="0" applyBorder="1" applyAlignment="1">
      <alignment horizontal="left" vertical="center"/>
    </xf>
    <xf numFmtId="0" fontId="0" fillId="61" borderId="45" xfId="0" applyFill="1" applyBorder="1" applyAlignment="1">
      <alignment horizontal="left" vertical="center"/>
    </xf>
    <xf numFmtId="0" fontId="0" fillId="61" borderId="71" xfId="0" applyFill="1" applyBorder="1" applyAlignment="1">
      <alignment horizontal="left" vertical="center"/>
    </xf>
    <xf numFmtId="0" fontId="0" fillId="61" borderId="358" xfId="0" applyFill="1" applyBorder="1" applyAlignment="1">
      <alignment horizontal="left" vertical="center"/>
    </xf>
    <xf numFmtId="0" fontId="0" fillId="63" borderId="71" xfId="0" applyFill="1" applyBorder="1" applyAlignment="1">
      <alignment horizontal="left" vertical="center"/>
    </xf>
    <xf numFmtId="0" fontId="0" fillId="63" borderId="358" xfId="0" applyFill="1" applyBorder="1" applyAlignment="1">
      <alignment horizontal="left" vertical="center"/>
    </xf>
    <xf numFmtId="0" fontId="0" fillId="60" borderId="71" xfId="0" applyFill="1" applyBorder="1" applyAlignment="1">
      <alignment horizontal="left" vertical="center"/>
    </xf>
    <xf numFmtId="0" fontId="0" fillId="0" borderId="71" xfId="0" applyBorder="1" applyAlignment="1">
      <alignment horizontal="left" vertical="center"/>
    </xf>
    <xf numFmtId="0" fontId="5" fillId="0" borderId="71" xfId="0" applyFont="1" applyBorder="1" applyAlignment="1">
      <alignment horizontal="left" vertical="center"/>
    </xf>
    <xf numFmtId="0" fontId="0" fillId="0" borderId="71" xfId="0" applyBorder="1" applyAlignment="1">
      <alignment horizontal="right" vertical="center"/>
    </xf>
    <xf numFmtId="0" fontId="0" fillId="25" borderId="45" xfId="0" applyFill="1" applyBorder="1" applyAlignment="1">
      <alignment horizontal="left" vertical="center"/>
    </xf>
    <xf numFmtId="0" fontId="0" fillId="25" borderId="52" xfId="0" applyFill="1" applyBorder="1" applyAlignment="1">
      <alignment horizontal="left" vertical="center"/>
    </xf>
    <xf numFmtId="0" fontId="0" fillId="37" borderId="368" xfId="0" applyFill="1" applyBorder="1" applyAlignment="1">
      <alignment horizontal="left" vertical="center"/>
    </xf>
    <xf numFmtId="0" fontId="0" fillId="0" borderId="349" xfId="0" applyBorder="1" applyAlignment="1">
      <alignment horizontal="left" vertical="center"/>
    </xf>
    <xf numFmtId="0" fontId="0" fillId="0" borderId="317" xfId="0" applyBorder="1" applyAlignment="1">
      <alignment horizontal="right" vertical="center"/>
    </xf>
    <xf numFmtId="0" fontId="0" fillId="0" borderId="331" xfId="0" applyBorder="1" applyAlignment="1">
      <alignment horizontal="left" vertical="center"/>
    </xf>
    <xf numFmtId="0" fontId="13" fillId="0" borderId="81" xfId="0" applyFont="1" applyBorder="1" applyAlignment="1">
      <alignment horizontal="center" vertical="center" wrapText="1"/>
    </xf>
    <xf numFmtId="0" fontId="0" fillId="0" borderId="82" xfId="0" applyBorder="1" applyAlignment="1">
      <alignment horizontal="left" vertical="center"/>
    </xf>
    <xf numFmtId="0" fontId="0" fillId="0" borderId="236" xfId="0" applyBorder="1" applyAlignment="1">
      <alignment horizontal="left" vertical="center"/>
    </xf>
    <xf numFmtId="0" fontId="0" fillId="0" borderId="194" xfId="0" applyBorder="1" applyAlignment="1">
      <alignment horizontal="left" vertical="center"/>
    </xf>
    <xf numFmtId="0" fontId="31" fillId="2" borderId="253" xfId="0" applyFont="1" applyFill="1" applyBorder="1" applyAlignment="1" applyProtection="1">
      <alignment horizontal="center" vertical="center"/>
      <protection locked="0"/>
    </xf>
    <xf numFmtId="0" fontId="31" fillId="2" borderId="30" xfId="0" applyFont="1" applyFill="1" applyBorder="1" applyAlignment="1" applyProtection="1">
      <alignment horizontal="left" vertical="center"/>
      <protection locked="0"/>
    </xf>
    <xf numFmtId="0" fontId="31" fillId="2" borderId="51" xfId="0" applyFont="1" applyFill="1" applyBorder="1" applyAlignment="1" applyProtection="1">
      <alignment horizontal="left" vertical="center"/>
      <protection locked="0"/>
    </xf>
    <xf numFmtId="0" fontId="31" fillId="2" borderId="365" xfId="0" applyFont="1" applyFill="1" applyBorder="1" applyAlignment="1" applyProtection="1">
      <alignment horizontal="left" vertical="center"/>
      <protection locked="0"/>
    </xf>
    <xf numFmtId="0" fontId="31" fillId="2" borderId="44" xfId="0" applyFont="1" applyFill="1" applyBorder="1" applyAlignment="1" applyProtection="1">
      <alignment horizontal="left" vertical="center"/>
      <protection locked="0"/>
    </xf>
    <xf numFmtId="0" fontId="31" fillId="2" borderId="242" xfId="0" applyFont="1" applyFill="1" applyBorder="1" applyAlignment="1" applyProtection="1">
      <alignment horizontal="left" vertical="center"/>
      <protection locked="0"/>
    </xf>
    <xf numFmtId="0" fontId="31" fillId="2" borderId="440" xfId="0" applyFont="1" applyFill="1" applyBorder="1" applyAlignment="1" applyProtection="1">
      <alignment horizontal="left" vertical="center"/>
      <protection locked="0"/>
    </xf>
    <xf numFmtId="0" fontId="31" fillId="2" borderId="269" xfId="0" applyFont="1" applyFill="1" applyBorder="1" applyAlignment="1" applyProtection="1">
      <alignment horizontal="left" vertical="center"/>
      <protection locked="0"/>
    </xf>
    <xf numFmtId="0" fontId="31" fillId="2" borderId="317" xfId="0" applyFont="1" applyFill="1" applyBorder="1" applyAlignment="1" applyProtection="1">
      <alignment horizontal="left" vertical="center"/>
      <protection locked="0"/>
    </xf>
    <xf numFmtId="0" fontId="31" fillId="2" borderId="253" xfId="0" applyFont="1" applyFill="1" applyBorder="1" applyAlignment="1" applyProtection="1">
      <alignment horizontal="left" vertical="center"/>
      <protection locked="0"/>
    </xf>
    <xf numFmtId="0" fontId="31" fillId="2" borderId="259" xfId="0" applyFont="1" applyFill="1" applyBorder="1" applyAlignment="1" applyProtection="1">
      <alignment horizontal="left" vertical="center"/>
      <protection locked="0"/>
    </xf>
    <xf numFmtId="0" fontId="31" fillId="2" borderId="378" xfId="0" applyFont="1" applyFill="1" applyBorder="1" applyAlignment="1" applyProtection="1">
      <alignment horizontal="left" vertical="center"/>
      <protection locked="0"/>
    </xf>
    <xf numFmtId="0" fontId="31" fillId="2" borderId="437" xfId="0" applyFont="1" applyFill="1" applyBorder="1" applyAlignment="1" applyProtection="1">
      <alignment horizontal="center" vertical="center"/>
      <protection locked="0"/>
    </xf>
    <xf numFmtId="0" fontId="31" fillId="2" borderId="266" xfId="0" applyFont="1" applyFill="1" applyBorder="1" applyAlignment="1" applyProtection="1">
      <alignment horizontal="left" vertical="center"/>
      <protection locked="0"/>
    </xf>
    <xf numFmtId="168" fontId="31" fillId="2" borderId="186" xfId="2" applyNumberFormat="1" applyFont="1" applyFill="1" applyBorder="1" applyAlignment="1" applyProtection="1">
      <alignment vertical="center"/>
      <protection locked="0"/>
    </xf>
    <xf numFmtId="168" fontId="31" fillId="2" borderId="92" xfId="2" applyNumberFormat="1" applyFont="1" applyFill="1" applyBorder="1" applyAlignment="1" applyProtection="1">
      <alignment vertical="center"/>
      <protection locked="0"/>
    </xf>
    <xf numFmtId="168" fontId="31" fillId="2" borderId="73" xfId="2" applyNumberFormat="1" applyFont="1" applyFill="1" applyBorder="1" applyAlignment="1" applyProtection="1">
      <alignment vertical="center"/>
      <protection locked="0"/>
    </xf>
    <xf numFmtId="177" fontId="7" fillId="2" borderId="365" xfId="1" applyNumberFormat="1" applyFont="1" applyFill="1" applyBorder="1" applyAlignment="1" applyProtection="1">
      <alignment horizontal="right" vertical="center"/>
      <protection locked="0"/>
    </xf>
    <xf numFmtId="168" fontId="7" fillId="2" borderId="411" xfId="2" applyNumberFormat="1" applyFont="1" applyFill="1" applyBorder="1" applyAlignment="1" applyProtection="1">
      <alignment vertical="center"/>
      <protection locked="0"/>
    </xf>
    <xf numFmtId="177" fontId="7" fillId="2" borderId="411" xfId="1" applyNumberFormat="1" applyFont="1" applyFill="1" applyBorder="1" applyAlignment="1" applyProtection="1">
      <alignment horizontal="right" vertical="center"/>
      <protection locked="0"/>
    </xf>
    <xf numFmtId="168" fontId="31" fillId="2" borderId="97" xfId="2" applyNumberFormat="1" applyFont="1" applyFill="1" applyBorder="1" applyAlignment="1" applyProtection="1">
      <alignment vertical="center"/>
      <protection locked="0"/>
    </xf>
    <xf numFmtId="168" fontId="31" fillId="2" borderId="365" xfId="2" applyNumberFormat="1" applyFont="1" applyFill="1" applyBorder="1" applyAlignment="1" applyProtection="1">
      <alignment vertical="center"/>
      <protection locked="0"/>
    </xf>
    <xf numFmtId="168" fontId="7" fillId="2" borderId="365" xfId="7" applyNumberFormat="1" applyFill="1" applyBorder="1" applyAlignment="1" applyProtection="1">
      <alignment vertical="center"/>
      <protection locked="0"/>
    </xf>
    <xf numFmtId="168" fontId="31" fillId="2" borderId="102" xfId="2" applyNumberFormat="1" applyFont="1" applyFill="1" applyBorder="1" applyAlignment="1" applyProtection="1">
      <alignment vertical="center"/>
      <protection locked="0"/>
    </xf>
    <xf numFmtId="168" fontId="7" fillId="2" borderId="365" xfId="2" applyNumberFormat="1" applyFont="1" applyFill="1" applyBorder="1" applyAlignment="1" applyProtection="1">
      <alignment vertical="center"/>
      <protection locked="0"/>
    </xf>
    <xf numFmtId="168" fontId="31" fillId="2" borderId="252" xfId="7" applyNumberFormat="1" applyFont="1" applyFill="1" applyBorder="1" applyAlignment="1" applyProtection="1">
      <alignment vertical="center"/>
      <protection locked="0"/>
    </xf>
    <xf numFmtId="168" fontId="31" fillId="2" borderId="108" xfId="2" applyNumberFormat="1" applyFont="1" applyFill="1" applyBorder="1" applyAlignment="1" applyProtection="1">
      <alignment vertical="center"/>
      <protection locked="0"/>
    </xf>
    <xf numFmtId="164" fontId="31" fillId="2" borderId="108" xfId="2" applyNumberFormat="1" applyFont="1" applyFill="1" applyBorder="1" applyAlignment="1" applyProtection="1">
      <alignment vertical="center"/>
      <protection locked="0"/>
    </xf>
    <xf numFmtId="168" fontId="31" fillId="2" borderId="114" xfId="2" applyNumberFormat="1" applyFont="1" applyFill="1" applyBorder="1" applyAlignment="1" applyProtection="1">
      <alignment vertical="center"/>
      <protection locked="0"/>
    </xf>
    <xf numFmtId="168" fontId="31" fillId="2" borderId="355" xfId="2" applyNumberFormat="1" applyFont="1" applyFill="1" applyBorder="1" applyAlignment="1" applyProtection="1">
      <alignment vertical="center"/>
      <protection locked="0"/>
    </xf>
    <xf numFmtId="168" fontId="31" fillId="2" borderId="411" xfId="2" applyNumberFormat="1" applyFont="1" applyFill="1" applyBorder="1" applyAlignment="1" applyProtection="1">
      <alignment vertical="center"/>
      <protection locked="0"/>
    </xf>
    <xf numFmtId="164" fontId="31" fillId="2" borderId="114" xfId="2" applyNumberFormat="1" applyFont="1" applyFill="1" applyBorder="1" applyAlignment="1" applyProtection="1">
      <alignment vertical="center"/>
      <protection locked="0"/>
    </xf>
    <xf numFmtId="168" fontId="31" fillId="2" borderId="122" xfId="2" applyNumberFormat="1" applyFont="1" applyFill="1" applyBorder="1" applyAlignment="1" applyProtection="1">
      <alignment vertical="center"/>
      <protection locked="0"/>
    </xf>
    <xf numFmtId="164" fontId="31" fillId="2" borderId="122" xfId="2" applyNumberFormat="1" applyFont="1" applyFill="1" applyBorder="1" applyAlignment="1" applyProtection="1">
      <alignment vertical="center"/>
      <protection locked="0"/>
    </xf>
    <xf numFmtId="168" fontId="31" fillId="2" borderId="130" xfId="2" applyNumberFormat="1" applyFont="1" applyFill="1" applyBorder="1" applyAlignment="1" applyProtection="1">
      <alignment vertical="center"/>
      <protection locked="0"/>
    </xf>
    <xf numFmtId="168" fontId="31" fillId="2" borderId="146" xfId="2" applyNumberFormat="1" applyFont="1" applyFill="1" applyBorder="1" applyAlignment="1" applyProtection="1">
      <alignment vertical="center"/>
      <protection locked="0"/>
    </xf>
    <xf numFmtId="168" fontId="31" fillId="2" borderId="154" xfId="2" applyNumberFormat="1" applyFont="1" applyFill="1" applyBorder="1" applyAlignment="1" applyProtection="1">
      <alignment vertical="center"/>
      <protection locked="0"/>
    </xf>
    <xf numFmtId="168" fontId="31" fillId="2" borderId="162" xfId="2" applyNumberFormat="1" applyFont="1" applyFill="1" applyBorder="1" applyAlignment="1" applyProtection="1">
      <alignment vertical="center"/>
      <protection locked="0"/>
    </xf>
    <xf numFmtId="168" fontId="31" fillId="2" borderId="355" xfId="7" applyNumberFormat="1" applyFont="1" applyFill="1" applyBorder="1" applyAlignment="1" applyProtection="1">
      <alignment vertical="center"/>
      <protection locked="0"/>
    </xf>
    <xf numFmtId="177" fontId="7" fillId="2" borderId="355" xfId="1" applyNumberFormat="1" applyFont="1" applyFill="1" applyBorder="1" applyAlignment="1" applyProtection="1">
      <alignment horizontal="right" vertical="center"/>
      <protection locked="0"/>
    </xf>
    <xf numFmtId="168" fontId="31" fillId="2" borderId="170" xfId="2" applyNumberFormat="1" applyFont="1" applyFill="1" applyBorder="1" applyAlignment="1" applyProtection="1">
      <alignment vertical="center"/>
      <protection locked="0"/>
    </xf>
    <xf numFmtId="177" fontId="7" fillId="2" borderId="170" xfId="1" applyNumberFormat="1" applyFont="1" applyFill="1" applyBorder="1" applyAlignment="1" applyProtection="1">
      <alignment horizontal="right" vertical="center"/>
      <protection locked="0"/>
    </xf>
    <xf numFmtId="168" fontId="31" fillId="2" borderId="178" xfId="2" applyNumberFormat="1" applyFont="1" applyFill="1" applyBorder="1" applyAlignment="1" applyProtection="1">
      <alignment vertical="center"/>
      <protection locked="0"/>
    </xf>
    <xf numFmtId="168" fontId="31" fillId="36" borderId="191" xfId="2" applyNumberFormat="1" applyFont="1" applyFill="1" applyBorder="1" applyAlignment="1" applyProtection="1">
      <alignment vertical="center"/>
      <protection locked="0"/>
    </xf>
    <xf numFmtId="168" fontId="31" fillId="41" borderId="365" xfId="2" applyNumberFormat="1" applyFont="1" applyFill="1" applyBorder="1" applyAlignment="1" applyProtection="1">
      <alignment vertical="center"/>
      <protection locked="0"/>
    </xf>
    <xf numFmtId="0" fontId="13" fillId="0" borderId="272" xfId="0" applyFont="1" applyBorder="1" applyAlignment="1">
      <alignment horizontal="center" vertical="center" wrapText="1"/>
    </xf>
    <xf numFmtId="0" fontId="5" fillId="0" borderId="1" xfId="0" applyFont="1" applyBorder="1" applyAlignment="1">
      <alignment horizontal="right" vertical="center"/>
    </xf>
    <xf numFmtId="0" fontId="5" fillId="7" borderId="52" xfId="0" applyFont="1" applyFill="1" applyBorder="1" applyAlignment="1">
      <alignment horizontal="center" vertical="center" wrapText="1"/>
    </xf>
    <xf numFmtId="1" fontId="0" fillId="0" borderId="0" xfId="4" applyNumberFormat="1" applyFont="1" applyProtection="1"/>
    <xf numFmtId="9" fontId="0" fillId="0" borderId="0" xfId="4" applyFont="1" applyFill="1" applyProtection="1"/>
    <xf numFmtId="171" fontId="0" fillId="0" borderId="0" xfId="2" applyNumberFormat="1" applyFont="1" applyFill="1" applyBorder="1" applyAlignment="1" applyProtection="1">
      <alignment vertical="center"/>
    </xf>
    <xf numFmtId="168" fontId="0" fillId="1" borderId="269" xfId="2" applyNumberFormat="1" applyFont="1" applyFill="1" applyBorder="1" applyAlignment="1" applyProtection="1">
      <alignment horizontal="center" vertical="center"/>
    </xf>
    <xf numFmtId="168" fontId="0" fillId="1" borderId="252" xfId="2" applyNumberFormat="1" applyFont="1" applyFill="1" applyBorder="1" applyAlignment="1" applyProtection="1">
      <alignment horizontal="center" vertical="center"/>
    </xf>
    <xf numFmtId="168" fontId="0" fillId="1" borderId="270" xfId="2" applyNumberFormat="1" applyFont="1" applyFill="1" applyBorder="1" applyAlignment="1" applyProtection="1">
      <alignment horizontal="center" vertical="center"/>
    </xf>
    <xf numFmtId="168" fontId="0" fillId="24" borderId="59" xfId="2" applyNumberFormat="1" applyFont="1" applyFill="1" applyBorder="1" applyAlignment="1" applyProtection="1">
      <alignment horizontal="center" vertical="center"/>
    </xf>
    <xf numFmtId="171" fontId="0" fillId="1" borderId="269" xfId="2" applyNumberFormat="1" applyFont="1" applyFill="1" applyBorder="1" applyAlignment="1" applyProtection="1">
      <alignment horizontal="center" vertical="center"/>
    </xf>
    <xf numFmtId="171" fontId="0" fillId="1" borderId="51" xfId="2" applyNumberFormat="1" applyFont="1" applyFill="1" applyBorder="1" applyAlignment="1" applyProtection="1">
      <alignment horizontal="center" vertical="center"/>
    </xf>
    <xf numFmtId="168" fontId="0" fillId="1" borderId="57" xfId="2" applyNumberFormat="1" applyFont="1" applyFill="1" applyBorder="1" applyAlignment="1" applyProtection="1">
      <alignment horizontal="center" vertical="center"/>
    </xf>
    <xf numFmtId="168" fontId="0" fillId="1" borderId="36" xfId="2" applyNumberFormat="1" applyFont="1" applyFill="1" applyBorder="1" applyAlignment="1" applyProtection="1">
      <alignment horizontal="center" vertical="center"/>
    </xf>
    <xf numFmtId="168" fontId="0" fillId="1" borderId="39" xfId="2" applyNumberFormat="1" applyFont="1" applyFill="1" applyBorder="1" applyAlignment="1" applyProtection="1">
      <alignment horizontal="center" vertical="center"/>
    </xf>
    <xf numFmtId="171" fontId="0" fillId="1" borderId="57" xfId="2" applyNumberFormat="1" applyFont="1" applyFill="1" applyBorder="1" applyAlignment="1" applyProtection="1">
      <alignment horizontal="center" vertical="center"/>
    </xf>
    <xf numFmtId="171" fontId="0" fillId="1" borderId="62" xfId="2" applyNumberFormat="1" applyFont="1" applyFill="1" applyBorder="1" applyAlignment="1" applyProtection="1">
      <alignment horizontal="center" vertical="center"/>
    </xf>
    <xf numFmtId="171" fontId="0" fillId="1" borderId="44" xfId="2" applyNumberFormat="1" applyFont="1" applyFill="1" applyBorder="1" applyAlignment="1" applyProtection="1">
      <alignment horizontal="center" vertical="center"/>
    </xf>
    <xf numFmtId="171" fontId="0" fillId="1" borderId="354" xfId="2" applyNumberFormat="1" applyFont="1" applyFill="1" applyBorder="1" applyAlignment="1" applyProtection="1">
      <alignment horizontal="center" vertical="center"/>
    </xf>
    <xf numFmtId="171" fontId="0" fillId="1" borderId="355" xfId="2" applyNumberFormat="1" applyFont="1" applyFill="1" applyBorder="1" applyAlignment="1" applyProtection="1">
      <alignment horizontal="center" vertical="center"/>
    </xf>
    <xf numFmtId="171" fontId="0" fillId="1" borderId="356" xfId="2" applyNumberFormat="1" applyFont="1" applyFill="1" applyBorder="1" applyAlignment="1" applyProtection="1">
      <alignment horizontal="center" vertical="center"/>
    </xf>
    <xf numFmtId="171" fontId="0" fillId="1" borderId="307" xfId="2" applyNumberFormat="1" applyFont="1" applyFill="1" applyBorder="1" applyAlignment="1" applyProtection="1">
      <alignment horizontal="center" vertical="center"/>
    </xf>
    <xf numFmtId="168" fontId="0" fillId="1" borderId="73" xfId="2" applyNumberFormat="1" applyFont="1" applyFill="1" applyBorder="1" applyAlignment="1" applyProtection="1">
      <alignment horizontal="center" vertical="center"/>
    </xf>
    <xf numFmtId="168" fontId="0" fillId="1" borderId="71" xfId="2" applyNumberFormat="1" applyFont="1" applyFill="1" applyBorder="1" applyAlignment="1" applyProtection="1">
      <alignment horizontal="center" vertical="center"/>
    </xf>
    <xf numFmtId="168" fontId="0" fillId="24" borderId="323" xfId="2" applyNumberFormat="1" applyFont="1" applyFill="1" applyBorder="1" applyAlignment="1" applyProtection="1">
      <alignment horizontal="center" vertical="center"/>
    </xf>
    <xf numFmtId="168" fontId="0" fillId="1" borderId="62" xfId="2" applyNumberFormat="1" applyFont="1" applyFill="1" applyBorder="1" applyAlignment="1" applyProtection="1">
      <alignment horizontal="center" vertical="center"/>
    </xf>
    <xf numFmtId="168" fontId="0" fillId="1" borderId="44" xfId="2" applyNumberFormat="1" applyFont="1" applyFill="1" applyBorder="1" applyAlignment="1" applyProtection="1">
      <alignment horizontal="center" vertical="center"/>
    </xf>
    <xf numFmtId="168" fontId="0" fillId="1" borderId="46" xfId="2" applyNumberFormat="1" applyFont="1" applyFill="1" applyBorder="1" applyAlignment="1" applyProtection="1">
      <alignment horizontal="center" vertical="center"/>
    </xf>
    <xf numFmtId="168" fontId="0" fillId="1" borderId="47" xfId="2" applyNumberFormat="1" applyFont="1" applyFill="1" applyBorder="1" applyAlignment="1" applyProtection="1">
      <alignment horizontal="center" vertical="center"/>
    </xf>
    <xf numFmtId="168" fontId="0" fillId="1" borderId="51" xfId="2" applyNumberFormat="1" applyFont="1" applyFill="1" applyBorder="1" applyAlignment="1" applyProtection="1">
      <alignment horizontal="center" vertical="center"/>
    </xf>
    <xf numFmtId="168" fontId="0" fillId="1" borderId="30" xfId="2" applyNumberFormat="1" applyFont="1" applyFill="1" applyBorder="1" applyAlignment="1" applyProtection="1">
      <alignment horizontal="center" vertical="center"/>
    </xf>
    <xf numFmtId="168" fontId="0" fillId="1" borderId="31" xfId="2" applyNumberFormat="1" applyFont="1" applyFill="1" applyBorder="1" applyAlignment="1" applyProtection="1">
      <alignment horizontal="center" vertical="center"/>
    </xf>
    <xf numFmtId="168" fontId="0" fillId="1" borderId="74" xfId="2" applyNumberFormat="1" applyFont="1" applyFill="1" applyBorder="1" applyAlignment="1" applyProtection="1">
      <alignment horizontal="center" vertical="center"/>
    </xf>
    <xf numFmtId="168" fontId="0" fillId="24" borderId="75" xfId="2" applyNumberFormat="1" applyFont="1" applyFill="1" applyBorder="1" applyAlignment="1" applyProtection="1">
      <alignment horizontal="center" vertical="center"/>
    </xf>
    <xf numFmtId="168" fontId="0" fillId="1" borderId="341" xfId="2" applyNumberFormat="1" applyFont="1" applyFill="1" applyBorder="1" applyAlignment="1" applyProtection="1">
      <alignment horizontal="center" vertical="center"/>
    </xf>
    <xf numFmtId="168" fontId="0" fillId="1" borderId="72" xfId="2" applyNumberFormat="1" applyFont="1" applyFill="1" applyBorder="1" applyAlignment="1" applyProtection="1">
      <alignment horizontal="center" vertical="center"/>
    </xf>
    <xf numFmtId="168" fontId="0" fillId="1" borderId="307" xfId="2" applyNumberFormat="1" applyFont="1" applyFill="1" applyBorder="1" applyAlignment="1" applyProtection="1">
      <alignment horizontal="center" vertical="center"/>
    </xf>
    <xf numFmtId="0" fontId="13" fillId="0" borderId="16" xfId="0" applyFont="1" applyBorder="1" applyAlignment="1">
      <alignment horizontal="center" vertical="center" wrapText="1"/>
    </xf>
    <xf numFmtId="0" fontId="31" fillId="0" borderId="0" xfId="0" applyFont="1" applyAlignment="1">
      <alignment vertical="center"/>
    </xf>
    <xf numFmtId="0" fontId="5" fillId="22" borderId="85" xfId="0" applyFont="1" applyFill="1" applyBorder="1" applyAlignment="1">
      <alignment horizontal="center" vertical="center" wrapText="1"/>
    </xf>
    <xf numFmtId="0" fontId="14" fillId="22" borderId="88" xfId="0" applyFont="1" applyFill="1" applyBorder="1" applyAlignment="1">
      <alignment horizontal="center" vertical="center"/>
    </xf>
    <xf numFmtId="0" fontId="5" fillId="27" borderId="84" xfId="0" applyFont="1" applyFill="1" applyBorder="1" applyAlignment="1">
      <alignment horizontal="center" vertical="center"/>
    </xf>
    <xf numFmtId="0" fontId="14" fillId="28" borderId="83" xfId="0" applyFont="1" applyFill="1" applyBorder="1" applyAlignment="1">
      <alignment horizontal="left" vertical="center"/>
    </xf>
    <xf numFmtId="168" fontId="5" fillId="29" borderId="73" xfId="2" applyNumberFormat="1" applyFont="1" applyFill="1" applyBorder="1" applyAlignment="1" applyProtection="1">
      <alignment vertical="center"/>
    </xf>
    <xf numFmtId="168" fontId="14" fillId="30" borderId="73" xfId="2" applyNumberFormat="1" applyFont="1" applyFill="1" applyBorder="1" applyAlignment="1" applyProtection="1">
      <alignment vertical="center"/>
    </xf>
    <xf numFmtId="168" fontId="14" fillId="28" borderId="71" xfId="2" applyNumberFormat="1" applyFont="1" applyFill="1" applyBorder="1" applyAlignment="1" applyProtection="1">
      <alignment horizontal="center" vertical="center"/>
    </xf>
    <xf numFmtId="0" fontId="5" fillId="31" borderId="23" xfId="0" applyFont="1" applyFill="1" applyBorder="1" applyAlignment="1">
      <alignment horizontal="center" vertical="center" wrapText="1"/>
    </xf>
    <xf numFmtId="0" fontId="14" fillId="31" borderId="83" xfId="0" applyFont="1" applyFill="1" applyBorder="1" applyAlignment="1">
      <alignment horizontal="left" vertical="center"/>
    </xf>
    <xf numFmtId="168" fontId="5" fillId="31" borderId="73" xfId="2" applyNumberFormat="1" applyFont="1" applyFill="1" applyBorder="1" applyAlignment="1" applyProtection="1">
      <alignment horizontal="center" vertical="center"/>
    </xf>
    <xf numFmtId="168" fontId="5" fillId="32" borderId="73" xfId="2" applyNumberFormat="1" applyFont="1" applyFill="1" applyBorder="1" applyAlignment="1" applyProtection="1">
      <alignment vertical="center"/>
    </xf>
    <xf numFmtId="168" fontId="14" fillId="31" borderId="73" xfId="2" applyNumberFormat="1" applyFont="1" applyFill="1" applyBorder="1" applyAlignment="1" applyProtection="1">
      <alignment horizontal="center" vertical="center"/>
    </xf>
    <xf numFmtId="168" fontId="14" fillId="31" borderId="71" xfId="2" applyNumberFormat="1" applyFont="1" applyFill="1" applyBorder="1" applyAlignment="1" applyProtection="1">
      <alignment horizontal="center" vertical="center"/>
    </xf>
    <xf numFmtId="1" fontId="0" fillId="0" borderId="23" xfId="0" applyNumberFormat="1" applyBorder="1" applyAlignment="1">
      <alignment horizontal="center" vertical="center" wrapText="1"/>
    </xf>
    <xf numFmtId="175" fontId="15" fillId="0" borderId="83" xfId="0" applyNumberFormat="1" applyFont="1" applyBorder="1" applyAlignment="1">
      <alignment horizontal="left"/>
    </xf>
    <xf numFmtId="168" fontId="31" fillId="9" borderId="73" xfId="2" applyNumberFormat="1" applyFont="1" applyFill="1" applyBorder="1" applyAlignment="1" applyProtection="1">
      <alignment vertical="center"/>
    </xf>
    <xf numFmtId="168" fontId="15" fillId="33" borderId="73" xfId="2" applyNumberFormat="1" applyFont="1" applyFill="1" applyBorder="1" applyAlignment="1" applyProtection="1">
      <alignment vertical="center"/>
    </xf>
    <xf numFmtId="168" fontId="14" fillId="34" borderId="71" xfId="2" applyNumberFormat="1" applyFont="1" applyFill="1" applyBorder="1" applyAlignment="1" applyProtection="1">
      <alignment vertical="center"/>
    </xf>
    <xf numFmtId="168" fontId="15" fillId="35" borderId="23" xfId="2" applyNumberFormat="1" applyFont="1" applyFill="1" applyBorder="1" applyAlignment="1" applyProtection="1">
      <alignment vertical="center"/>
    </xf>
    <xf numFmtId="168" fontId="14" fillId="34" borderId="93" xfId="2" applyNumberFormat="1" applyFont="1" applyFill="1" applyBorder="1" applyAlignment="1" applyProtection="1">
      <alignment vertical="center"/>
    </xf>
    <xf numFmtId="168" fontId="15" fillId="35" borderId="84" xfId="2" applyNumberFormat="1" applyFont="1" applyFill="1" applyBorder="1" applyAlignment="1" applyProtection="1">
      <alignment vertical="center"/>
    </xf>
    <xf numFmtId="168" fontId="14" fillId="34" borderId="83" xfId="2" applyNumberFormat="1" applyFont="1" applyFill="1" applyBorder="1" applyAlignment="1" applyProtection="1">
      <alignment vertical="center"/>
    </xf>
    <xf numFmtId="168" fontId="14" fillId="32" borderId="73" xfId="2" applyNumberFormat="1" applyFont="1" applyFill="1" applyBorder="1" applyAlignment="1" applyProtection="1">
      <alignment vertical="center"/>
    </xf>
    <xf numFmtId="168" fontId="14" fillId="31" borderId="84" xfId="2" applyNumberFormat="1" applyFont="1" applyFill="1" applyBorder="1" applyAlignment="1" applyProtection="1">
      <alignment vertical="center"/>
    </xf>
    <xf numFmtId="168" fontId="14" fillId="31" borderId="94" xfId="2" applyNumberFormat="1" applyFont="1" applyFill="1" applyBorder="1" applyAlignment="1" applyProtection="1">
      <alignment horizontal="center" vertical="center"/>
    </xf>
    <xf numFmtId="1" fontId="0" fillId="0" borderId="95" xfId="0" applyNumberFormat="1" applyBorder="1" applyAlignment="1">
      <alignment horizontal="center" vertical="center" wrapText="1"/>
    </xf>
    <xf numFmtId="0" fontId="5" fillId="31" borderId="95" xfId="0" applyFont="1" applyFill="1" applyBorder="1" applyAlignment="1">
      <alignment horizontal="center" vertical="center" wrapText="1"/>
    </xf>
    <xf numFmtId="168" fontId="14" fillId="31" borderId="95" xfId="2" applyNumberFormat="1" applyFont="1" applyFill="1" applyBorder="1" applyAlignment="1" applyProtection="1">
      <alignment horizontal="center" vertical="center"/>
    </xf>
    <xf numFmtId="175" fontId="15" fillId="0" borderId="87" xfId="0" applyNumberFormat="1" applyFont="1" applyBorder="1" applyAlignment="1">
      <alignment horizontal="left"/>
    </xf>
    <xf numFmtId="168" fontId="15" fillId="35" borderId="96" xfId="2" applyNumberFormat="1" applyFont="1" applyFill="1" applyBorder="1" applyAlignment="1" applyProtection="1">
      <alignment vertical="center"/>
    </xf>
    <xf numFmtId="175" fontId="15" fillId="0" borderId="97" xfId="0" applyNumberFormat="1" applyFont="1" applyBorder="1" applyAlignment="1">
      <alignment horizontal="left"/>
    </xf>
    <xf numFmtId="168" fontId="15" fillId="35" borderId="97" xfId="2" applyNumberFormat="1" applyFont="1" applyFill="1" applyBorder="1" applyAlignment="1" applyProtection="1">
      <alignment vertical="center"/>
    </xf>
    <xf numFmtId="168" fontId="14" fillId="34" borderId="86" xfId="2" applyNumberFormat="1" applyFont="1" applyFill="1" applyBorder="1" applyAlignment="1" applyProtection="1">
      <alignment vertical="center"/>
    </xf>
    <xf numFmtId="175" fontId="15" fillId="0" borderId="73" xfId="0" applyNumberFormat="1" applyFont="1" applyBorder="1" applyAlignment="1">
      <alignment horizontal="left"/>
    </xf>
    <xf numFmtId="168" fontId="15" fillId="35" borderId="73" xfId="2" applyNumberFormat="1" applyFont="1" applyFill="1" applyBorder="1" applyAlignment="1" applyProtection="1">
      <alignment vertical="center"/>
    </xf>
    <xf numFmtId="0" fontId="5" fillId="27" borderId="86" xfId="0" applyFont="1" applyFill="1" applyBorder="1" applyAlignment="1">
      <alignment horizontal="center" vertical="center"/>
    </xf>
    <xf numFmtId="0" fontId="14" fillId="28" borderId="97" xfId="0" applyFont="1" applyFill="1" applyBorder="1" applyAlignment="1">
      <alignment horizontal="left" vertical="center"/>
    </xf>
    <xf numFmtId="168" fontId="5" fillId="28" borderId="97" xfId="2" applyNumberFormat="1" applyFont="1" applyFill="1" applyBorder="1" applyAlignment="1" applyProtection="1">
      <alignment horizontal="center" vertical="center"/>
    </xf>
    <xf numFmtId="168" fontId="14" fillId="30" borderId="97" xfId="2" applyNumberFormat="1" applyFont="1" applyFill="1" applyBorder="1" applyAlignment="1" applyProtection="1">
      <alignment vertical="center"/>
    </xf>
    <xf numFmtId="168" fontId="14" fillId="28" borderId="97" xfId="2" applyNumberFormat="1" applyFont="1" applyFill="1" applyBorder="1" applyAlignment="1" applyProtection="1">
      <alignment horizontal="center" vertical="center"/>
    </xf>
    <xf numFmtId="168" fontId="14" fillId="28" borderId="94" xfId="2" applyNumberFormat="1" applyFont="1" applyFill="1" applyBorder="1" applyAlignment="1" applyProtection="1">
      <alignment horizontal="center" vertical="center"/>
    </xf>
    <xf numFmtId="0" fontId="5" fillId="31" borderId="94" xfId="0" applyFont="1" applyFill="1" applyBorder="1" applyAlignment="1">
      <alignment horizontal="center" vertical="center" wrapText="1"/>
    </xf>
    <xf numFmtId="0" fontId="14" fillId="31" borderId="97" xfId="0" applyFont="1" applyFill="1" applyBorder="1" applyAlignment="1">
      <alignment horizontal="left" vertical="center"/>
    </xf>
    <xf numFmtId="168" fontId="5" fillId="31" borderId="97" xfId="2" applyNumberFormat="1" applyFont="1" applyFill="1" applyBorder="1" applyAlignment="1" applyProtection="1">
      <alignment horizontal="center" vertical="center"/>
    </xf>
    <xf numFmtId="168" fontId="14" fillId="32" borderId="97" xfId="2" applyNumberFormat="1" applyFont="1" applyFill="1" applyBorder="1" applyAlignment="1" applyProtection="1">
      <alignment vertical="center"/>
    </xf>
    <xf numFmtId="168" fontId="14" fillId="31" borderId="97" xfId="2" applyNumberFormat="1" applyFont="1" applyFill="1" applyBorder="1" applyAlignment="1" applyProtection="1">
      <alignment vertical="center"/>
    </xf>
    <xf numFmtId="168" fontId="14" fillId="31" borderId="86" xfId="2" applyNumberFormat="1" applyFont="1" applyFill="1" applyBorder="1" applyAlignment="1" applyProtection="1">
      <alignment vertical="center"/>
    </xf>
    <xf numFmtId="168" fontId="14" fillId="31" borderId="97" xfId="2" applyNumberFormat="1" applyFont="1" applyFill="1" applyBorder="1" applyAlignment="1" applyProtection="1">
      <alignment horizontal="center" vertical="center"/>
    </xf>
    <xf numFmtId="175" fontId="15" fillId="25" borderId="97" xfId="0" applyNumberFormat="1" applyFont="1" applyFill="1" applyBorder="1" applyAlignment="1">
      <alignment horizontal="left"/>
    </xf>
    <xf numFmtId="168" fontId="0" fillId="60" borderId="97" xfId="2" applyNumberFormat="1" applyFont="1" applyFill="1" applyBorder="1" applyAlignment="1" applyProtection="1">
      <alignment vertical="center"/>
    </xf>
    <xf numFmtId="168" fontId="14" fillId="34" borderId="98" xfId="2" applyNumberFormat="1" applyFont="1" applyFill="1" applyBorder="1" applyAlignment="1" applyProtection="1">
      <alignment vertical="center"/>
    </xf>
    <xf numFmtId="1" fontId="0" fillId="0" borderId="0" xfId="0" applyNumberFormat="1" applyAlignment="1">
      <alignment horizontal="center" vertical="center" wrapText="1"/>
    </xf>
    <xf numFmtId="0" fontId="5" fillId="38" borderId="71" xfId="0" applyFont="1" applyFill="1" applyBorder="1" applyAlignment="1">
      <alignment horizontal="center" vertical="center" wrapText="1"/>
    </xf>
    <xf numFmtId="0" fontId="5" fillId="19" borderId="73" xfId="0" applyFont="1" applyFill="1" applyBorder="1" applyAlignment="1">
      <alignment vertical="center"/>
    </xf>
    <xf numFmtId="178" fontId="5" fillId="19" borderId="73" xfId="2" applyNumberFormat="1" applyFont="1" applyFill="1" applyBorder="1" applyAlignment="1" applyProtection="1">
      <alignment vertical="center"/>
    </xf>
    <xf numFmtId="178" fontId="5" fillId="39" borderId="73" xfId="2" applyNumberFormat="1" applyFont="1" applyFill="1" applyBorder="1" applyAlignment="1" applyProtection="1">
      <alignment vertical="center"/>
    </xf>
    <xf numFmtId="178" fontId="5" fillId="19" borderId="100" xfId="2" applyNumberFormat="1" applyFont="1" applyFill="1" applyBorder="1" applyAlignment="1" applyProtection="1">
      <alignment vertical="center"/>
    </xf>
    <xf numFmtId="0" fontId="5" fillId="22" borderId="97" xfId="0" applyFont="1" applyFill="1" applyBorder="1" applyAlignment="1">
      <alignment horizontal="center" vertical="center" wrapText="1"/>
    </xf>
    <xf numFmtId="0" fontId="14" fillId="22" borderId="97" xfId="0" applyFont="1" applyFill="1" applyBorder="1" applyAlignment="1">
      <alignment horizontal="center" vertical="center"/>
    </xf>
    <xf numFmtId="0" fontId="5" fillId="27" borderId="101" xfId="0" applyFont="1" applyFill="1" applyBorder="1" applyAlignment="1">
      <alignment horizontal="center" vertical="center"/>
    </xf>
    <xf numFmtId="0" fontId="14" fillId="28" borderId="102" xfId="0" applyFont="1" applyFill="1" applyBorder="1" applyAlignment="1">
      <alignment horizontal="left" vertical="center"/>
    </xf>
    <xf numFmtId="168" fontId="5" fillId="29" borderId="102" xfId="2" applyNumberFormat="1" applyFont="1" applyFill="1" applyBorder="1" applyAlignment="1" applyProtection="1">
      <alignment vertical="center"/>
    </xf>
    <xf numFmtId="168" fontId="14" fillId="30" borderId="102" xfId="2" applyNumberFormat="1" applyFont="1" applyFill="1" applyBorder="1" applyAlignment="1" applyProtection="1">
      <alignment vertical="center"/>
    </xf>
    <xf numFmtId="168" fontId="14" fillId="28" borderId="103" xfId="2" applyNumberFormat="1" applyFont="1" applyFill="1" applyBorder="1" applyAlignment="1" applyProtection="1">
      <alignment horizontal="center" vertical="center"/>
    </xf>
    <xf numFmtId="0" fontId="14" fillId="31" borderId="102" xfId="0" applyFont="1" applyFill="1" applyBorder="1" applyAlignment="1">
      <alignment horizontal="left" vertical="center"/>
    </xf>
    <xf numFmtId="168" fontId="5" fillId="31" borderId="102" xfId="2" applyNumberFormat="1" applyFont="1" applyFill="1" applyBorder="1" applyAlignment="1" applyProtection="1">
      <alignment horizontal="center" vertical="center"/>
    </xf>
    <xf numFmtId="168" fontId="5" fillId="32" borderId="102" xfId="2" applyNumberFormat="1" applyFont="1" applyFill="1" applyBorder="1" applyAlignment="1" applyProtection="1">
      <alignment vertical="center"/>
    </xf>
    <xf numFmtId="168" fontId="14" fillId="31" borderId="102" xfId="2" applyNumberFormat="1" applyFont="1" applyFill="1" applyBorder="1" applyAlignment="1" applyProtection="1">
      <alignment horizontal="center" vertical="center"/>
    </xf>
    <xf numFmtId="168" fontId="14" fillId="31" borderId="103" xfId="2" applyNumberFormat="1" applyFont="1" applyFill="1" applyBorder="1" applyAlignment="1" applyProtection="1">
      <alignment horizontal="center" vertical="center"/>
    </xf>
    <xf numFmtId="175" fontId="15" fillId="0" borderId="102" xfId="0" applyNumberFormat="1" applyFont="1" applyBorder="1" applyAlignment="1">
      <alignment horizontal="left"/>
    </xf>
    <xf numFmtId="168" fontId="31" fillId="9" borderId="102" xfId="2" applyNumberFormat="1" applyFont="1" applyFill="1" applyBorder="1" applyAlignment="1" applyProtection="1">
      <alignment vertical="center"/>
    </xf>
    <xf numFmtId="168" fontId="15" fillId="33" borderId="102" xfId="2" applyNumberFormat="1" applyFont="1" applyFill="1" applyBorder="1" applyAlignment="1" applyProtection="1">
      <alignment vertical="center"/>
    </xf>
    <xf numFmtId="168" fontId="14" fillId="34" borderId="103" xfId="2" applyNumberFormat="1" applyFont="1" applyFill="1" applyBorder="1" applyAlignment="1" applyProtection="1">
      <alignment vertical="center"/>
    </xf>
    <xf numFmtId="168" fontId="15" fillId="35" borderId="102" xfId="2" applyNumberFormat="1" applyFont="1" applyFill="1" applyBorder="1" applyAlignment="1" applyProtection="1">
      <alignment vertical="center"/>
    </xf>
    <xf numFmtId="168" fontId="14" fillId="34" borderId="94" xfId="2" applyNumberFormat="1" applyFont="1" applyFill="1" applyBorder="1" applyAlignment="1" applyProtection="1">
      <alignment vertical="center"/>
    </xf>
    <xf numFmtId="168" fontId="14" fillId="34" borderId="101" xfId="2" applyNumberFormat="1" applyFont="1" applyFill="1" applyBorder="1" applyAlignment="1" applyProtection="1">
      <alignment vertical="center"/>
    </xf>
    <xf numFmtId="168" fontId="14" fillId="32" borderId="102" xfId="2" applyNumberFormat="1" applyFont="1" applyFill="1" applyBorder="1" applyAlignment="1" applyProtection="1">
      <alignment vertical="center"/>
    </xf>
    <xf numFmtId="168" fontId="14" fillId="31" borderId="102" xfId="2" applyNumberFormat="1" applyFont="1" applyFill="1" applyBorder="1" applyAlignment="1" applyProtection="1">
      <alignment vertical="center"/>
    </xf>
    <xf numFmtId="168" fontId="5" fillId="28" borderId="102" xfId="2" applyNumberFormat="1" applyFont="1" applyFill="1" applyBorder="1" applyAlignment="1" applyProtection="1">
      <alignment horizontal="center" vertical="center"/>
    </xf>
    <xf numFmtId="168" fontId="14" fillId="28" borderId="102" xfId="2" applyNumberFormat="1" applyFont="1" applyFill="1" applyBorder="1" applyAlignment="1" applyProtection="1">
      <alignment horizontal="center" vertical="center"/>
    </xf>
    <xf numFmtId="168" fontId="14" fillId="31" borderId="101" xfId="2" applyNumberFormat="1" applyFont="1" applyFill="1" applyBorder="1" applyAlignment="1" applyProtection="1">
      <alignment vertical="center"/>
    </xf>
    <xf numFmtId="175" fontId="15" fillId="25" borderId="102" xfId="0" applyNumberFormat="1" applyFont="1" applyFill="1" applyBorder="1" applyAlignment="1">
      <alignment horizontal="left"/>
    </xf>
    <xf numFmtId="168" fontId="14" fillId="34" borderId="104" xfId="2" applyNumberFormat="1" applyFont="1" applyFill="1" applyBorder="1" applyAlignment="1" applyProtection="1">
      <alignment vertical="center"/>
    </xf>
    <xf numFmtId="0" fontId="5" fillId="38" borderId="105" xfId="0" applyFont="1" applyFill="1" applyBorder="1" applyAlignment="1">
      <alignment horizontal="center" vertical="center" wrapText="1"/>
    </xf>
    <xf numFmtId="0" fontId="5" fillId="19" borderId="102" xfId="0" applyFont="1" applyFill="1" applyBorder="1" applyAlignment="1">
      <alignment vertical="center"/>
    </xf>
    <xf numFmtId="178" fontId="5" fillId="19" borderId="102" xfId="2" applyNumberFormat="1" applyFont="1" applyFill="1" applyBorder="1" applyAlignment="1" applyProtection="1">
      <alignment vertical="center"/>
    </xf>
    <xf numFmtId="178" fontId="5" fillId="39" borderId="102" xfId="2" applyNumberFormat="1" applyFont="1" applyFill="1" applyBorder="1" applyAlignment="1" applyProtection="1">
      <alignment vertical="center"/>
    </xf>
    <xf numFmtId="178" fontId="5" fillId="19" borderId="103" xfId="2" applyNumberFormat="1" applyFont="1" applyFill="1" applyBorder="1" applyAlignment="1" applyProtection="1">
      <alignment vertical="center"/>
    </xf>
    <xf numFmtId="0" fontId="5" fillId="22" borderId="102" xfId="0" applyFont="1" applyFill="1" applyBorder="1" applyAlignment="1">
      <alignment horizontal="center" vertical="center" wrapText="1"/>
    </xf>
    <xf numFmtId="0" fontId="14" fillId="22" borderId="102" xfId="0" applyFont="1" applyFill="1" applyBorder="1" applyAlignment="1">
      <alignment horizontal="center" vertical="center"/>
    </xf>
    <xf numFmtId="0" fontId="5" fillId="27" borderId="107" xfId="0" applyFont="1" applyFill="1" applyBorder="1" applyAlignment="1">
      <alignment horizontal="center" vertical="center"/>
    </xf>
    <xf numFmtId="0" fontId="14" fillId="28" borderId="108" xfId="0" applyFont="1" applyFill="1" applyBorder="1" applyAlignment="1">
      <alignment horizontal="left" vertical="center"/>
    </xf>
    <xf numFmtId="168" fontId="5" fillId="29" borderId="108" xfId="2" applyNumberFormat="1" applyFont="1" applyFill="1" applyBorder="1" applyAlignment="1" applyProtection="1">
      <alignment vertical="center"/>
    </xf>
    <xf numFmtId="168" fontId="14" fillId="30" borderId="108" xfId="2" applyNumberFormat="1" applyFont="1" applyFill="1" applyBorder="1" applyAlignment="1" applyProtection="1">
      <alignment vertical="center"/>
    </xf>
    <xf numFmtId="168" fontId="14" fillId="28" borderId="109" xfId="2" applyNumberFormat="1" applyFont="1" applyFill="1" applyBorder="1" applyAlignment="1" applyProtection="1">
      <alignment horizontal="center" vertical="center"/>
    </xf>
    <xf numFmtId="0" fontId="14" fillId="31" borderId="108" xfId="0" applyFont="1" applyFill="1" applyBorder="1" applyAlignment="1">
      <alignment horizontal="left" vertical="center"/>
    </xf>
    <xf numFmtId="168" fontId="5" fillId="31" borderId="108" xfId="2" applyNumberFormat="1" applyFont="1" applyFill="1" applyBorder="1" applyAlignment="1" applyProtection="1">
      <alignment horizontal="center" vertical="center"/>
    </xf>
    <xf numFmtId="168" fontId="5" fillId="32" borderId="108" xfId="2" applyNumberFormat="1" applyFont="1" applyFill="1" applyBorder="1" applyAlignment="1" applyProtection="1">
      <alignment vertical="center"/>
    </xf>
    <xf numFmtId="168" fontId="14" fillId="31" borderId="108" xfId="2" applyNumberFormat="1" applyFont="1" applyFill="1" applyBorder="1" applyAlignment="1" applyProtection="1">
      <alignment horizontal="center" vertical="center"/>
    </xf>
    <xf numFmtId="168" fontId="14" fillId="31" borderId="109" xfId="2" applyNumberFormat="1" applyFont="1" applyFill="1" applyBorder="1" applyAlignment="1" applyProtection="1">
      <alignment horizontal="center" vertical="center"/>
    </xf>
    <xf numFmtId="175" fontId="15" fillId="0" borderId="108" xfId="0" applyNumberFormat="1" applyFont="1" applyBorder="1" applyAlignment="1">
      <alignment horizontal="left"/>
    </xf>
    <xf numFmtId="168" fontId="31" fillId="9" borderId="108" xfId="2" applyNumberFormat="1" applyFont="1" applyFill="1" applyBorder="1" applyAlignment="1" applyProtection="1">
      <alignment vertical="center"/>
    </xf>
    <xf numFmtId="168" fontId="15" fillId="33" borderId="108" xfId="2" applyNumberFormat="1" applyFont="1" applyFill="1" applyBorder="1" applyAlignment="1" applyProtection="1">
      <alignment vertical="center"/>
    </xf>
    <xf numFmtId="168" fontId="14" fillId="34" borderId="109" xfId="2" applyNumberFormat="1" applyFont="1" applyFill="1" applyBorder="1" applyAlignment="1" applyProtection="1">
      <alignment vertical="center"/>
    </xf>
    <xf numFmtId="168" fontId="15" fillId="35" borderId="108" xfId="2" applyNumberFormat="1" applyFont="1" applyFill="1" applyBorder="1" applyAlignment="1" applyProtection="1">
      <alignment vertical="center"/>
    </xf>
    <xf numFmtId="168" fontId="14" fillId="34" borderId="107" xfId="2" applyNumberFormat="1" applyFont="1" applyFill="1" applyBorder="1" applyAlignment="1" applyProtection="1">
      <alignment vertical="center"/>
    </xf>
    <xf numFmtId="168" fontId="14" fillId="32" borderId="108" xfId="2" applyNumberFormat="1" applyFont="1" applyFill="1" applyBorder="1" applyAlignment="1" applyProtection="1">
      <alignment vertical="center"/>
    </xf>
    <xf numFmtId="168" fontId="14" fillId="31" borderId="108" xfId="2" applyNumberFormat="1" applyFont="1" applyFill="1" applyBorder="1" applyAlignment="1" applyProtection="1">
      <alignment vertical="center"/>
    </xf>
    <xf numFmtId="168" fontId="5" fillId="28" borderId="108" xfId="2" applyNumberFormat="1" applyFont="1" applyFill="1" applyBorder="1" applyAlignment="1" applyProtection="1">
      <alignment horizontal="center" vertical="center"/>
    </xf>
    <xf numFmtId="168" fontId="14" fillId="28" borderId="108" xfId="2" applyNumberFormat="1" applyFont="1" applyFill="1" applyBorder="1" applyAlignment="1" applyProtection="1">
      <alignment horizontal="center" vertical="center"/>
    </xf>
    <xf numFmtId="168" fontId="14" fillId="31" borderId="107" xfId="2" applyNumberFormat="1" applyFont="1" applyFill="1" applyBorder="1" applyAlignment="1" applyProtection="1">
      <alignment vertical="center"/>
    </xf>
    <xf numFmtId="175" fontId="15" fillId="25" borderId="108" xfId="0" applyNumberFormat="1" applyFont="1" applyFill="1" applyBorder="1" applyAlignment="1">
      <alignment horizontal="left"/>
    </xf>
    <xf numFmtId="168" fontId="0" fillId="60" borderId="108" xfId="2" applyNumberFormat="1" applyFont="1" applyFill="1" applyBorder="1" applyAlignment="1" applyProtection="1">
      <alignment vertical="center"/>
    </xf>
    <xf numFmtId="168" fontId="14" fillId="34" borderId="110" xfId="2" applyNumberFormat="1" applyFont="1" applyFill="1" applyBorder="1" applyAlignment="1" applyProtection="1">
      <alignment vertical="center"/>
    </xf>
    <xf numFmtId="0" fontId="5" fillId="38" borderId="111" xfId="0" applyFont="1" applyFill="1" applyBorder="1" applyAlignment="1">
      <alignment horizontal="center" vertical="center" wrapText="1"/>
    </xf>
    <xf numFmtId="0" fontId="5" fillId="19" borderId="108" xfId="0" applyFont="1" applyFill="1" applyBorder="1" applyAlignment="1">
      <alignment vertical="center"/>
    </xf>
    <xf numFmtId="178" fontId="5" fillId="19" borderId="108" xfId="2" applyNumberFormat="1" applyFont="1" applyFill="1" applyBorder="1" applyAlignment="1" applyProtection="1">
      <alignment vertical="center"/>
    </xf>
    <xf numFmtId="178" fontId="5" fillId="39" borderId="108" xfId="2" applyNumberFormat="1" applyFont="1" applyFill="1" applyBorder="1" applyAlignment="1" applyProtection="1">
      <alignment vertical="center"/>
    </xf>
    <xf numFmtId="178" fontId="5" fillId="19" borderId="109" xfId="2" applyNumberFormat="1" applyFont="1" applyFill="1" applyBorder="1" applyAlignment="1" applyProtection="1">
      <alignment vertical="center"/>
    </xf>
    <xf numFmtId="0" fontId="5" fillId="22" borderId="73" xfId="0" applyFont="1" applyFill="1" applyBorder="1" applyAlignment="1">
      <alignment horizontal="center" vertical="center" wrapText="1"/>
    </xf>
    <xf numFmtId="0" fontId="14" fillId="22" borderId="73" xfId="0" applyFont="1" applyFill="1" applyBorder="1" applyAlignment="1">
      <alignment horizontal="center" vertical="center"/>
    </xf>
    <xf numFmtId="0" fontId="5" fillId="27" borderId="113" xfId="0" applyFont="1" applyFill="1" applyBorder="1" applyAlignment="1">
      <alignment horizontal="center" vertical="center"/>
    </xf>
    <xf numFmtId="0" fontId="14" fillId="28" borderId="114" xfId="0" applyFont="1" applyFill="1" applyBorder="1" applyAlignment="1">
      <alignment horizontal="left" vertical="center"/>
    </xf>
    <xf numFmtId="168" fontId="5" fillId="29" borderId="114" xfId="2" applyNumberFormat="1" applyFont="1" applyFill="1" applyBorder="1" applyAlignment="1" applyProtection="1">
      <alignment vertical="center"/>
    </xf>
    <xf numFmtId="168" fontId="14" fillId="30" borderId="114" xfId="2" applyNumberFormat="1" applyFont="1" applyFill="1" applyBorder="1" applyAlignment="1" applyProtection="1">
      <alignment vertical="center"/>
    </xf>
    <xf numFmtId="168" fontId="14" fillId="28" borderId="115" xfId="2" applyNumberFormat="1" applyFont="1" applyFill="1" applyBorder="1" applyAlignment="1" applyProtection="1">
      <alignment horizontal="center" vertical="center"/>
    </xf>
    <xf numFmtId="0" fontId="14" fillId="31" borderId="114" xfId="0" applyFont="1" applyFill="1" applyBorder="1" applyAlignment="1">
      <alignment horizontal="left" vertical="center"/>
    </xf>
    <xf numFmtId="168" fontId="5" fillId="31" borderId="114" xfId="2" applyNumberFormat="1" applyFont="1" applyFill="1" applyBorder="1" applyAlignment="1" applyProtection="1">
      <alignment horizontal="center" vertical="center"/>
    </xf>
    <xf numFmtId="168" fontId="5" fillId="32" borderId="114" xfId="2" applyNumberFormat="1" applyFont="1" applyFill="1" applyBorder="1" applyAlignment="1" applyProtection="1">
      <alignment vertical="center"/>
    </xf>
    <xf numFmtId="168" fontId="14" fillId="31" borderId="114" xfId="2" applyNumberFormat="1" applyFont="1" applyFill="1" applyBorder="1" applyAlignment="1" applyProtection="1">
      <alignment horizontal="center" vertical="center"/>
    </xf>
    <xf numFmtId="168" fontId="14" fillId="31" borderId="115" xfId="2" applyNumberFormat="1" applyFont="1" applyFill="1" applyBorder="1" applyAlignment="1" applyProtection="1">
      <alignment horizontal="center" vertical="center"/>
    </xf>
    <xf numFmtId="175" fontId="15" fillId="0" borderId="114" xfId="0" applyNumberFormat="1" applyFont="1" applyBorder="1" applyAlignment="1">
      <alignment horizontal="left"/>
    </xf>
    <xf numFmtId="168" fontId="31" fillId="9" borderId="114" xfId="2" applyNumberFormat="1" applyFont="1" applyFill="1" applyBorder="1" applyAlignment="1" applyProtection="1">
      <alignment vertical="center"/>
    </xf>
    <xf numFmtId="168" fontId="15" fillId="33" borderId="114" xfId="2" applyNumberFormat="1" applyFont="1" applyFill="1" applyBorder="1" applyAlignment="1" applyProtection="1">
      <alignment vertical="center"/>
    </xf>
    <xf numFmtId="168" fontId="14" fillId="34" borderId="115" xfId="2" applyNumberFormat="1" applyFont="1" applyFill="1" applyBorder="1" applyAlignment="1" applyProtection="1">
      <alignment vertical="center"/>
    </xf>
    <xf numFmtId="168" fontId="15" fillId="35" borderId="114" xfId="2" applyNumberFormat="1" applyFont="1" applyFill="1" applyBorder="1" applyAlignment="1" applyProtection="1">
      <alignment vertical="center"/>
    </xf>
    <xf numFmtId="168" fontId="14" fillId="34" borderId="113" xfId="2" applyNumberFormat="1" applyFont="1" applyFill="1" applyBorder="1" applyAlignment="1" applyProtection="1">
      <alignment vertical="center"/>
    </xf>
    <xf numFmtId="168" fontId="14" fillId="32" borderId="114" xfId="2" applyNumberFormat="1" applyFont="1" applyFill="1" applyBorder="1" applyAlignment="1" applyProtection="1">
      <alignment vertical="center"/>
    </xf>
    <xf numFmtId="168" fontId="14" fillId="31" borderId="114" xfId="2" applyNumberFormat="1" applyFont="1" applyFill="1" applyBorder="1" applyAlignment="1" applyProtection="1">
      <alignment vertical="center"/>
    </xf>
    <xf numFmtId="168" fontId="5" fillId="28" borderId="114" xfId="2" applyNumberFormat="1" applyFont="1" applyFill="1" applyBorder="1" applyAlignment="1" applyProtection="1">
      <alignment horizontal="center" vertical="center"/>
    </xf>
    <xf numFmtId="168" fontId="14" fillId="28" borderId="114" xfId="2" applyNumberFormat="1" applyFont="1" applyFill="1" applyBorder="1" applyAlignment="1" applyProtection="1">
      <alignment horizontal="center" vertical="center"/>
    </xf>
    <xf numFmtId="168" fontId="14" fillId="31" borderId="113" xfId="2" applyNumberFormat="1" applyFont="1" applyFill="1" applyBorder="1" applyAlignment="1" applyProtection="1">
      <alignment vertical="center"/>
    </xf>
    <xf numFmtId="175" fontId="15" fillId="25" borderId="114" xfId="0" applyNumberFormat="1" applyFont="1" applyFill="1" applyBorder="1" applyAlignment="1">
      <alignment horizontal="left"/>
    </xf>
    <xf numFmtId="168" fontId="14" fillId="34" borderId="116" xfId="2" applyNumberFormat="1" applyFont="1" applyFill="1" applyBorder="1" applyAlignment="1" applyProtection="1">
      <alignment vertical="center"/>
    </xf>
    <xf numFmtId="0" fontId="5" fillId="38" borderId="117" xfId="0" applyFont="1" applyFill="1" applyBorder="1" applyAlignment="1">
      <alignment horizontal="center" vertical="center" wrapText="1"/>
    </xf>
    <xf numFmtId="0" fontId="5" fillId="19" borderId="114" xfId="0" applyFont="1" applyFill="1" applyBorder="1" applyAlignment="1">
      <alignment vertical="center"/>
    </xf>
    <xf numFmtId="178" fontId="5" fillId="19" borderId="114" xfId="2" applyNumberFormat="1" applyFont="1" applyFill="1" applyBorder="1" applyAlignment="1" applyProtection="1">
      <alignment vertical="center"/>
    </xf>
    <xf numFmtId="178" fontId="5" fillId="39" borderId="114" xfId="2" applyNumberFormat="1" applyFont="1" applyFill="1" applyBorder="1" applyAlignment="1" applyProtection="1">
      <alignment vertical="center"/>
    </xf>
    <xf numFmtId="178" fontId="5" fillId="19" borderId="115" xfId="2" applyNumberFormat="1" applyFont="1" applyFill="1" applyBorder="1" applyAlignment="1" applyProtection="1">
      <alignment vertical="center"/>
    </xf>
    <xf numFmtId="0" fontId="5" fillId="27" borderId="121" xfId="0" applyFont="1" applyFill="1" applyBorder="1" applyAlignment="1">
      <alignment horizontal="center" vertical="center"/>
    </xf>
    <xf numFmtId="0" fontId="14" fillId="28" borderId="122" xfId="0" applyFont="1" applyFill="1" applyBorder="1" applyAlignment="1">
      <alignment horizontal="left" vertical="center"/>
    </xf>
    <xf numFmtId="168" fontId="5" fillId="29" borderId="122" xfId="2" applyNumberFormat="1" applyFont="1" applyFill="1" applyBorder="1" applyAlignment="1" applyProtection="1">
      <alignment vertical="center"/>
    </xf>
    <xf numFmtId="168" fontId="14" fillId="30" borderId="122" xfId="2" applyNumberFormat="1" applyFont="1" applyFill="1" applyBorder="1" applyAlignment="1" applyProtection="1">
      <alignment vertical="center"/>
    </xf>
    <xf numFmtId="168" fontId="14" fillId="28" borderId="123" xfId="2" applyNumberFormat="1" applyFont="1" applyFill="1" applyBorder="1" applyAlignment="1" applyProtection="1">
      <alignment horizontal="center" vertical="center"/>
    </xf>
    <xf numFmtId="0" fontId="14" fillId="31" borderId="122" xfId="0" applyFont="1" applyFill="1" applyBorder="1" applyAlignment="1">
      <alignment horizontal="left" vertical="center"/>
    </xf>
    <xf numFmtId="168" fontId="5" fillId="31" borderId="122" xfId="2" applyNumberFormat="1" applyFont="1" applyFill="1" applyBorder="1" applyAlignment="1" applyProtection="1">
      <alignment horizontal="center" vertical="center"/>
    </xf>
    <xf numFmtId="168" fontId="5" fillId="32" borderId="122" xfId="2" applyNumberFormat="1" applyFont="1" applyFill="1" applyBorder="1" applyAlignment="1" applyProtection="1">
      <alignment vertical="center"/>
    </xf>
    <xf numFmtId="168" fontId="14" fillId="31" borderId="122" xfId="2" applyNumberFormat="1" applyFont="1" applyFill="1" applyBorder="1" applyAlignment="1" applyProtection="1">
      <alignment horizontal="center" vertical="center"/>
    </xf>
    <xf numFmtId="168" fontId="14" fillId="31" borderId="123" xfId="2" applyNumberFormat="1" applyFont="1" applyFill="1" applyBorder="1" applyAlignment="1" applyProtection="1">
      <alignment horizontal="center" vertical="center"/>
    </xf>
    <xf numFmtId="175" fontId="15" fillId="0" borderId="122" xfId="0" applyNumberFormat="1" applyFont="1" applyBorder="1" applyAlignment="1">
      <alignment horizontal="left"/>
    </xf>
    <xf numFmtId="168" fontId="31" fillId="9" borderId="122" xfId="2" applyNumberFormat="1" applyFont="1" applyFill="1" applyBorder="1" applyAlignment="1" applyProtection="1">
      <alignment vertical="center"/>
    </xf>
    <xf numFmtId="168" fontId="15" fillId="33" borderId="122" xfId="2" applyNumberFormat="1" applyFont="1" applyFill="1" applyBorder="1" applyAlignment="1" applyProtection="1">
      <alignment vertical="center"/>
    </xf>
    <xf numFmtId="168" fontId="14" fillId="34" borderId="123" xfId="2" applyNumberFormat="1" applyFont="1" applyFill="1" applyBorder="1" applyAlignment="1" applyProtection="1">
      <alignment vertical="center"/>
    </xf>
    <xf numFmtId="168" fontId="15" fillId="35" borderId="122" xfId="2" applyNumberFormat="1" applyFont="1" applyFill="1" applyBorder="1" applyAlignment="1" applyProtection="1">
      <alignment vertical="center"/>
    </xf>
    <xf numFmtId="168" fontId="14" fillId="34" borderId="121" xfId="2" applyNumberFormat="1" applyFont="1" applyFill="1" applyBorder="1" applyAlignment="1" applyProtection="1">
      <alignment vertical="center"/>
    </xf>
    <xf numFmtId="168" fontId="14" fillId="32" borderId="122" xfId="2" applyNumberFormat="1" applyFont="1" applyFill="1" applyBorder="1" applyAlignment="1" applyProtection="1">
      <alignment vertical="center"/>
    </xf>
    <xf numFmtId="168" fontId="14" fillId="31" borderId="122" xfId="2" applyNumberFormat="1" applyFont="1" applyFill="1" applyBorder="1" applyAlignment="1" applyProtection="1">
      <alignment vertical="center"/>
    </xf>
    <xf numFmtId="168" fontId="5" fillId="28" borderId="122" xfId="2" applyNumberFormat="1" applyFont="1" applyFill="1" applyBorder="1" applyAlignment="1" applyProtection="1">
      <alignment horizontal="center" vertical="center"/>
    </xf>
    <xf numFmtId="168" fontId="14" fillId="28" borderId="122" xfId="2" applyNumberFormat="1" applyFont="1" applyFill="1" applyBorder="1" applyAlignment="1" applyProtection="1">
      <alignment horizontal="center" vertical="center"/>
    </xf>
    <xf numFmtId="168" fontId="14" fillId="31" borderId="121" xfId="2" applyNumberFormat="1" applyFont="1" applyFill="1" applyBorder="1" applyAlignment="1" applyProtection="1">
      <alignment vertical="center"/>
    </xf>
    <xf numFmtId="175" fontId="15" fillId="25" borderId="122" xfId="0" applyNumberFormat="1" applyFont="1" applyFill="1" applyBorder="1" applyAlignment="1">
      <alignment horizontal="left"/>
    </xf>
    <xf numFmtId="168" fontId="14" fillId="34" borderId="124" xfId="2" applyNumberFormat="1" applyFont="1" applyFill="1" applyBorder="1" applyAlignment="1" applyProtection="1">
      <alignment vertical="center"/>
    </xf>
    <xf numFmtId="0" fontId="5" fillId="38" borderId="125" xfId="0" applyFont="1" applyFill="1" applyBorder="1" applyAlignment="1">
      <alignment horizontal="center" vertical="center" wrapText="1"/>
    </xf>
    <xf numFmtId="0" fontId="5" fillId="19" borderId="122" xfId="0" applyFont="1" applyFill="1" applyBorder="1" applyAlignment="1">
      <alignment vertical="center"/>
    </xf>
    <xf numFmtId="178" fontId="5" fillId="19" borderId="122" xfId="2" applyNumberFormat="1" applyFont="1" applyFill="1" applyBorder="1" applyAlignment="1" applyProtection="1">
      <alignment vertical="center"/>
    </xf>
    <xf numFmtId="178" fontId="5" fillId="39" borderId="122" xfId="2" applyNumberFormat="1" applyFont="1" applyFill="1" applyBorder="1" applyAlignment="1" applyProtection="1">
      <alignment vertical="center"/>
    </xf>
    <xf numFmtId="178" fontId="5" fillId="19" borderId="123" xfId="2" applyNumberFormat="1" applyFont="1" applyFill="1" applyBorder="1" applyAlignment="1" applyProtection="1">
      <alignment vertical="center"/>
    </xf>
    <xf numFmtId="0" fontId="5" fillId="27" borderId="129" xfId="0" applyFont="1" applyFill="1" applyBorder="1" applyAlignment="1">
      <alignment horizontal="center" vertical="center"/>
    </xf>
    <xf numFmtId="0" fontId="14" fillId="28" borderId="130" xfId="0" applyFont="1" applyFill="1" applyBorder="1" applyAlignment="1">
      <alignment horizontal="left" vertical="center"/>
    </xf>
    <xf numFmtId="168" fontId="5" fillId="29" borderId="130" xfId="2" applyNumberFormat="1" applyFont="1" applyFill="1" applyBorder="1" applyAlignment="1" applyProtection="1">
      <alignment vertical="center"/>
    </xf>
    <xf numFmtId="168" fontId="14" fillId="30" borderId="130" xfId="2" applyNumberFormat="1" applyFont="1" applyFill="1" applyBorder="1" applyAlignment="1" applyProtection="1">
      <alignment vertical="center"/>
    </xf>
    <xf numFmtId="168" fontId="14" fillId="28" borderId="131" xfId="2" applyNumberFormat="1" applyFont="1" applyFill="1" applyBorder="1" applyAlignment="1" applyProtection="1">
      <alignment horizontal="center" vertical="center"/>
    </xf>
    <xf numFmtId="0" fontId="14" fillId="31" borderId="130" xfId="0" applyFont="1" applyFill="1" applyBorder="1" applyAlignment="1">
      <alignment horizontal="left" vertical="center"/>
    </xf>
    <xf numFmtId="168" fontId="5" fillId="31" borderId="130" xfId="2" applyNumberFormat="1" applyFont="1" applyFill="1" applyBorder="1" applyAlignment="1" applyProtection="1">
      <alignment horizontal="center" vertical="center"/>
    </xf>
    <xf numFmtId="168" fontId="5" fillId="32" borderId="130" xfId="2" applyNumberFormat="1" applyFont="1" applyFill="1" applyBorder="1" applyAlignment="1" applyProtection="1">
      <alignment vertical="center"/>
    </xf>
    <xf numFmtId="168" fontId="14" fillId="31" borderId="130" xfId="2" applyNumberFormat="1" applyFont="1" applyFill="1" applyBorder="1" applyAlignment="1" applyProtection="1">
      <alignment horizontal="center" vertical="center"/>
    </xf>
    <xf numFmtId="168" fontId="14" fillId="31" borderId="131" xfId="2" applyNumberFormat="1" applyFont="1" applyFill="1" applyBorder="1" applyAlignment="1" applyProtection="1">
      <alignment horizontal="center" vertical="center"/>
    </xf>
    <xf numFmtId="168" fontId="31" fillId="9" borderId="130" xfId="2" applyNumberFormat="1" applyFont="1" applyFill="1" applyBorder="1" applyAlignment="1" applyProtection="1">
      <alignment vertical="center"/>
    </xf>
    <xf numFmtId="168" fontId="15" fillId="33" borderId="130" xfId="2" applyNumberFormat="1" applyFont="1" applyFill="1" applyBorder="1" applyAlignment="1" applyProtection="1">
      <alignment vertical="center"/>
    </xf>
    <xf numFmtId="168" fontId="14" fillId="34" borderId="131" xfId="2" applyNumberFormat="1" applyFont="1" applyFill="1" applyBorder="1" applyAlignment="1" applyProtection="1">
      <alignment vertical="center"/>
    </xf>
    <xf numFmtId="168" fontId="15" fillId="35" borderId="130" xfId="2" applyNumberFormat="1" applyFont="1" applyFill="1" applyBorder="1" applyAlignment="1" applyProtection="1">
      <alignment vertical="center"/>
    </xf>
    <xf numFmtId="168" fontId="14" fillId="34" borderId="129" xfId="2" applyNumberFormat="1" applyFont="1" applyFill="1" applyBorder="1" applyAlignment="1" applyProtection="1">
      <alignment vertical="center"/>
    </xf>
    <xf numFmtId="168" fontId="14" fillId="32" borderId="130" xfId="2" applyNumberFormat="1" applyFont="1" applyFill="1" applyBorder="1" applyAlignment="1" applyProtection="1">
      <alignment vertical="center"/>
    </xf>
    <xf numFmtId="168" fontId="14" fillId="31" borderId="130" xfId="2" applyNumberFormat="1" applyFont="1" applyFill="1" applyBorder="1" applyAlignment="1" applyProtection="1">
      <alignment vertical="center"/>
    </xf>
    <xf numFmtId="168" fontId="31" fillId="36" borderId="130" xfId="2" applyNumberFormat="1" applyFont="1" applyFill="1" applyBorder="1" applyAlignment="1" applyProtection="1">
      <alignment vertical="center"/>
    </xf>
    <xf numFmtId="168" fontId="15" fillId="36" borderId="130" xfId="2" applyNumberFormat="1" applyFont="1" applyFill="1" applyBorder="1" applyAlignment="1" applyProtection="1">
      <alignment vertical="center"/>
    </xf>
    <xf numFmtId="176" fontId="15" fillId="36" borderId="130" xfId="1" applyNumberFormat="1" applyFont="1" applyFill="1" applyBorder="1" applyAlignment="1" applyProtection="1">
      <alignment vertical="center"/>
    </xf>
    <xf numFmtId="168" fontId="5" fillId="28" borderId="130" xfId="2" applyNumberFormat="1" applyFont="1" applyFill="1" applyBorder="1" applyAlignment="1" applyProtection="1">
      <alignment horizontal="center" vertical="center"/>
    </xf>
    <xf numFmtId="168" fontId="14" fillId="28" borderId="130" xfId="2" applyNumberFormat="1" applyFont="1" applyFill="1" applyBorder="1" applyAlignment="1" applyProtection="1">
      <alignment horizontal="center" vertical="center"/>
    </xf>
    <xf numFmtId="168" fontId="14" fillId="31" borderId="129" xfId="2" applyNumberFormat="1" applyFont="1" applyFill="1" applyBorder="1" applyAlignment="1" applyProtection="1">
      <alignment vertical="center"/>
    </xf>
    <xf numFmtId="175" fontId="15" fillId="25" borderId="130" xfId="0" applyNumberFormat="1" applyFont="1" applyFill="1" applyBorder="1" applyAlignment="1">
      <alignment horizontal="left"/>
    </xf>
    <xf numFmtId="168" fontId="14" fillId="34" borderId="132" xfId="2" applyNumberFormat="1" applyFont="1" applyFill="1" applyBorder="1" applyAlignment="1" applyProtection="1">
      <alignment vertical="center"/>
    </xf>
    <xf numFmtId="0" fontId="5" fillId="38" borderId="133" xfId="0" applyFont="1" applyFill="1" applyBorder="1" applyAlignment="1">
      <alignment horizontal="center" vertical="center" wrapText="1"/>
    </xf>
    <xf numFmtId="0" fontId="5" fillId="19" borderId="130" xfId="0" applyFont="1" applyFill="1" applyBorder="1" applyAlignment="1">
      <alignment vertical="center"/>
    </xf>
    <xf numFmtId="178" fontId="5" fillId="19" borderId="130" xfId="2" applyNumberFormat="1" applyFont="1" applyFill="1" applyBorder="1" applyAlignment="1" applyProtection="1">
      <alignment vertical="center"/>
    </xf>
    <xf numFmtId="178" fontId="5" fillId="39" borderId="130" xfId="2" applyNumberFormat="1" applyFont="1" applyFill="1" applyBorder="1" applyAlignment="1" applyProtection="1">
      <alignment vertical="center"/>
    </xf>
    <xf numFmtId="178" fontId="5" fillId="19" borderId="131" xfId="2" applyNumberFormat="1" applyFont="1" applyFill="1" applyBorder="1" applyAlignment="1" applyProtection="1">
      <alignment vertical="center"/>
    </xf>
    <xf numFmtId="0" fontId="5" fillId="27" borderId="137" xfId="0" applyFont="1" applyFill="1" applyBorder="1" applyAlignment="1">
      <alignment horizontal="center" vertical="center"/>
    </xf>
    <xf numFmtId="0" fontId="14" fillId="28" borderId="138" xfId="0" applyFont="1" applyFill="1" applyBorder="1" applyAlignment="1">
      <alignment horizontal="left" vertical="center"/>
    </xf>
    <xf numFmtId="168" fontId="5" fillId="29" borderId="138" xfId="2" applyNumberFormat="1" applyFont="1" applyFill="1" applyBorder="1" applyAlignment="1" applyProtection="1">
      <alignment vertical="center"/>
    </xf>
    <xf numFmtId="168" fontId="14" fillId="30" borderId="138" xfId="2" applyNumberFormat="1" applyFont="1" applyFill="1" applyBorder="1" applyAlignment="1" applyProtection="1">
      <alignment vertical="center"/>
    </xf>
    <xf numFmtId="168" fontId="14" fillId="28" borderId="139" xfId="2" applyNumberFormat="1" applyFont="1" applyFill="1" applyBorder="1" applyAlignment="1" applyProtection="1">
      <alignment horizontal="center" vertical="center"/>
    </xf>
    <xf numFmtId="0" fontId="14" fillId="31" borderId="138" xfId="0" applyFont="1" applyFill="1" applyBorder="1" applyAlignment="1">
      <alignment horizontal="left" vertical="center"/>
    </xf>
    <xf numFmtId="168" fontId="5" fillId="31" borderId="138" xfId="2" applyNumberFormat="1" applyFont="1" applyFill="1" applyBorder="1" applyAlignment="1" applyProtection="1">
      <alignment horizontal="center" vertical="center"/>
    </xf>
    <xf numFmtId="168" fontId="5" fillId="32" borderId="138" xfId="2" applyNumberFormat="1" applyFont="1" applyFill="1" applyBorder="1" applyAlignment="1" applyProtection="1">
      <alignment vertical="center"/>
    </xf>
    <xf numFmtId="168" fontId="14" fillId="31" borderId="138" xfId="2" applyNumberFormat="1" applyFont="1" applyFill="1" applyBorder="1" applyAlignment="1" applyProtection="1">
      <alignment horizontal="center" vertical="center"/>
    </xf>
    <xf numFmtId="168" fontId="14" fillId="31" borderId="139" xfId="2" applyNumberFormat="1" applyFont="1" applyFill="1" applyBorder="1" applyAlignment="1" applyProtection="1">
      <alignment horizontal="center" vertical="center"/>
    </xf>
    <xf numFmtId="175" fontId="15" fillId="0" borderId="138" xfId="0" applyNumberFormat="1" applyFont="1" applyBorder="1" applyAlignment="1">
      <alignment horizontal="left"/>
    </xf>
    <xf numFmtId="168" fontId="31" fillId="9" borderId="138" xfId="2" applyNumberFormat="1" applyFont="1" applyFill="1" applyBorder="1" applyAlignment="1" applyProtection="1">
      <alignment vertical="center"/>
    </xf>
    <xf numFmtId="168" fontId="15" fillId="33" borderId="138" xfId="2" applyNumberFormat="1" applyFont="1" applyFill="1" applyBorder="1" applyAlignment="1" applyProtection="1">
      <alignment vertical="center"/>
    </xf>
    <xf numFmtId="168" fontId="14" fillId="34" borderId="139" xfId="2" applyNumberFormat="1" applyFont="1" applyFill="1" applyBorder="1" applyAlignment="1" applyProtection="1">
      <alignment vertical="center"/>
    </xf>
    <xf numFmtId="168" fontId="15" fillId="35" borderId="138" xfId="2" applyNumberFormat="1" applyFont="1" applyFill="1" applyBorder="1" applyAlignment="1" applyProtection="1">
      <alignment vertical="center"/>
    </xf>
    <xf numFmtId="168" fontId="14" fillId="34" borderId="137" xfId="2" applyNumberFormat="1" applyFont="1" applyFill="1" applyBorder="1" applyAlignment="1" applyProtection="1">
      <alignment vertical="center"/>
    </xf>
    <xf numFmtId="168" fontId="14" fillId="32" borderId="138" xfId="2" applyNumberFormat="1" applyFont="1" applyFill="1" applyBorder="1" applyAlignment="1" applyProtection="1">
      <alignment vertical="center"/>
    </xf>
    <xf numFmtId="168" fontId="14" fillId="31" borderId="138" xfId="2" applyNumberFormat="1" applyFont="1" applyFill="1" applyBorder="1" applyAlignment="1" applyProtection="1">
      <alignment vertical="center"/>
    </xf>
    <xf numFmtId="168" fontId="5" fillId="28" borderId="138" xfId="2" applyNumberFormat="1" applyFont="1" applyFill="1" applyBorder="1" applyAlignment="1" applyProtection="1">
      <alignment horizontal="center" vertical="center"/>
    </xf>
    <xf numFmtId="168" fontId="14" fillId="28" borderId="138" xfId="2" applyNumberFormat="1" applyFont="1" applyFill="1" applyBorder="1" applyAlignment="1" applyProtection="1">
      <alignment horizontal="center" vertical="center"/>
    </xf>
    <xf numFmtId="168" fontId="14" fillId="31" borderId="137" xfId="2" applyNumberFormat="1" applyFont="1" applyFill="1" applyBorder="1" applyAlignment="1" applyProtection="1">
      <alignment vertical="center"/>
    </xf>
    <xf numFmtId="175" fontId="15" fillId="25" borderId="138" xfId="0" applyNumberFormat="1" applyFont="1" applyFill="1" applyBorder="1" applyAlignment="1">
      <alignment horizontal="left"/>
    </xf>
    <xf numFmtId="168" fontId="14" fillId="34" borderId="140" xfId="2" applyNumberFormat="1" applyFont="1" applyFill="1" applyBorder="1" applyAlignment="1" applyProtection="1">
      <alignment vertical="center"/>
    </xf>
    <xf numFmtId="0" fontId="5" fillId="38" borderId="141" xfId="0" applyFont="1" applyFill="1" applyBorder="1" applyAlignment="1">
      <alignment horizontal="center" vertical="center" wrapText="1"/>
    </xf>
    <xf numFmtId="0" fontId="5" fillId="19" borderId="138" xfId="0" applyFont="1" applyFill="1" applyBorder="1" applyAlignment="1">
      <alignment vertical="center"/>
    </xf>
    <xf numFmtId="178" fontId="5" fillId="19" borderId="138" xfId="2" applyNumberFormat="1" applyFont="1" applyFill="1" applyBorder="1" applyAlignment="1" applyProtection="1">
      <alignment vertical="center"/>
    </xf>
    <xf numFmtId="178" fontId="5" fillId="39" borderId="138" xfId="2" applyNumberFormat="1" applyFont="1" applyFill="1" applyBorder="1" applyAlignment="1" applyProtection="1">
      <alignment vertical="center"/>
    </xf>
    <xf numFmtId="178" fontId="5" fillId="19" borderId="139" xfId="2" applyNumberFormat="1" applyFont="1" applyFill="1" applyBorder="1" applyAlignment="1" applyProtection="1">
      <alignment vertical="center"/>
    </xf>
    <xf numFmtId="0" fontId="5" fillId="27" borderId="145" xfId="0" applyFont="1" applyFill="1" applyBorder="1" applyAlignment="1">
      <alignment horizontal="center" vertical="center"/>
    </xf>
    <xf numFmtId="0" fontId="14" fillId="28" borderId="146" xfId="0" applyFont="1" applyFill="1" applyBorder="1" applyAlignment="1">
      <alignment horizontal="left" vertical="center"/>
    </xf>
    <xf numFmtId="168" fontId="5" fillId="29" borderId="146" xfId="2" applyNumberFormat="1" applyFont="1" applyFill="1" applyBorder="1" applyAlignment="1" applyProtection="1">
      <alignment vertical="center"/>
    </xf>
    <xf numFmtId="168" fontId="14" fillId="30" borderId="146" xfId="2" applyNumberFormat="1" applyFont="1" applyFill="1" applyBorder="1" applyAlignment="1" applyProtection="1">
      <alignment vertical="center"/>
    </xf>
    <xf numFmtId="168" fontId="14" fillId="28" borderId="147" xfId="2" applyNumberFormat="1" applyFont="1" applyFill="1" applyBorder="1" applyAlignment="1" applyProtection="1">
      <alignment horizontal="center" vertical="center"/>
    </xf>
    <xf numFmtId="0" fontId="14" fillId="31" borderId="146" xfId="0" applyFont="1" applyFill="1" applyBorder="1" applyAlignment="1">
      <alignment horizontal="left" vertical="center"/>
    </xf>
    <xf numFmtId="168" fontId="5" fillId="31" borderId="146" xfId="2" applyNumberFormat="1" applyFont="1" applyFill="1" applyBorder="1" applyAlignment="1" applyProtection="1">
      <alignment horizontal="center" vertical="center"/>
    </xf>
    <xf numFmtId="168" fontId="5" fillId="32" borderId="146" xfId="2" applyNumberFormat="1" applyFont="1" applyFill="1" applyBorder="1" applyAlignment="1" applyProtection="1">
      <alignment vertical="center"/>
    </xf>
    <xf numFmtId="168" fontId="14" fillId="31" borderId="146" xfId="2" applyNumberFormat="1" applyFont="1" applyFill="1" applyBorder="1" applyAlignment="1" applyProtection="1">
      <alignment horizontal="center" vertical="center"/>
    </xf>
    <xf numFmtId="168" fontId="14" fillId="31" borderId="147" xfId="2" applyNumberFormat="1" applyFont="1" applyFill="1" applyBorder="1" applyAlignment="1" applyProtection="1">
      <alignment horizontal="center" vertical="center"/>
    </xf>
    <xf numFmtId="175" fontId="15" fillId="0" borderId="146" xfId="0" applyNumberFormat="1" applyFont="1" applyBorder="1" applyAlignment="1">
      <alignment horizontal="left"/>
    </xf>
    <xf numFmtId="168" fontId="31" fillId="9" borderId="146" xfId="2" applyNumberFormat="1" applyFont="1" applyFill="1" applyBorder="1" applyAlignment="1" applyProtection="1">
      <alignment vertical="center"/>
    </xf>
    <xf numFmtId="168" fontId="15" fillId="33" borderId="146" xfId="2" applyNumberFormat="1" applyFont="1" applyFill="1" applyBorder="1" applyAlignment="1" applyProtection="1">
      <alignment vertical="center"/>
    </xf>
    <xf numFmtId="168" fontId="14" fillId="34" borderId="147" xfId="2" applyNumberFormat="1" applyFont="1" applyFill="1" applyBorder="1" applyAlignment="1" applyProtection="1">
      <alignment vertical="center"/>
    </xf>
    <xf numFmtId="168" fontId="15" fillId="35" borderId="146" xfId="2" applyNumberFormat="1" applyFont="1" applyFill="1" applyBorder="1" applyAlignment="1" applyProtection="1">
      <alignment vertical="center"/>
    </xf>
    <xf numFmtId="168" fontId="14" fillId="34" borderId="145" xfId="2" applyNumberFormat="1" applyFont="1" applyFill="1" applyBorder="1" applyAlignment="1" applyProtection="1">
      <alignment vertical="center"/>
    </xf>
    <xf numFmtId="168" fontId="14" fillId="32" borderId="146" xfId="2" applyNumberFormat="1" applyFont="1" applyFill="1" applyBorder="1" applyAlignment="1" applyProtection="1">
      <alignment vertical="center"/>
    </xf>
    <xf numFmtId="168" fontId="14" fillId="31" borderId="146" xfId="2" applyNumberFormat="1" applyFont="1" applyFill="1" applyBorder="1" applyAlignment="1" applyProtection="1">
      <alignment vertical="center"/>
    </xf>
    <xf numFmtId="168" fontId="5" fillId="28" borderId="146" xfId="2" applyNumberFormat="1" applyFont="1" applyFill="1" applyBorder="1" applyAlignment="1" applyProtection="1">
      <alignment horizontal="center" vertical="center"/>
    </xf>
    <xf numFmtId="168" fontId="14" fillId="28" borderId="146" xfId="2" applyNumberFormat="1" applyFont="1" applyFill="1" applyBorder="1" applyAlignment="1" applyProtection="1">
      <alignment horizontal="center" vertical="center"/>
    </xf>
    <xf numFmtId="168" fontId="14" fillId="31" borderId="145" xfId="2" applyNumberFormat="1" applyFont="1" applyFill="1" applyBorder="1" applyAlignment="1" applyProtection="1">
      <alignment vertical="center"/>
    </xf>
    <xf numFmtId="175" fontId="15" fillId="25" borderId="146" xfId="0" applyNumberFormat="1" applyFont="1" applyFill="1" applyBorder="1" applyAlignment="1">
      <alignment horizontal="left"/>
    </xf>
    <xf numFmtId="168" fontId="14" fillId="34" borderId="148" xfId="2" applyNumberFormat="1" applyFont="1" applyFill="1" applyBorder="1" applyAlignment="1" applyProtection="1">
      <alignment vertical="center"/>
    </xf>
    <xf numFmtId="0" fontId="5" fillId="38" borderId="149" xfId="0" applyFont="1" applyFill="1" applyBorder="1" applyAlignment="1">
      <alignment horizontal="center" vertical="center" wrapText="1"/>
    </xf>
    <xf numFmtId="0" fontId="5" fillId="19" borderId="146" xfId="0" applyFont="1" applyFill="1" applyBorder="1" applyAlignment="1">
      <alignment vertical="center"/>
    </xf>
    <xf numFmtId="178" fontId="5" fillId="19" borderId="146" xfId="2" applyNumberFormat="1" applyFont="1" applyFill="1" applyBorder="1" applyAlignment="1" applyProtection="1">
      <alignment vertical="center"/>
    </xf>
    <xf numFmtId="178" fontId="5" fillId="39" borderId="146" xfId="2" applyNumberFormat="1" applyFont="1" applyFill="1" applyBorder="1" applyAlignment="1" applyProtection="1">
      <alignment vertical="center"/>
    </xf>
    <xf numFmtId="178" fontId="5" fillId="19" borderId="147" xfId="2" applyNumberFormat="1" applyFont="1" applyFill="1" applyBorder="1" applyAlignment="1" applyProtection="1">
      <alignment vertical="center"/>
    </xf>
    <xf numFmtId="0" fontId="5" fillId="27" borderId="153" xfId="0" applyFont="1" applyFill="1" applyBorder="1" applyAlignment="1">
      <alignment horizontal="center" vertical="center"/>
    </xf>
    <xf numFmtId="0" fontId="14" fillId="28" borderId="154" xfId="0" applyFont="1" applyFill="1" applyBorder="1" applyAlignment="1">
      <alignment horizontal="left" vertical="center"/>
    </xf>
    <xf numFmtId="168" fontId="5" fillId="29" borderId="154" xfId="2" applyNumberFormat="1" applyFont="1" applyFill="1" applyBorder="1" applyAlignment="1" applyProtection="1">
      <alignment vertical="center"/>
    </xf>
    <xf numFmtId="168" fontId="14" fillId="30" borderId="154" xfId="2" applyNumberFormat="1" applyFont="1" applyFill="1" applyBorder="1" applyAlignment="1" applyProtection="1">
      <alignment vertical="center"/>
    </xf>
    <xf numFmtId="168" fontId="14" fillId="28" borderId="155" xfId="2" applyNumberFormat="1" applyFont="1" applyFill="1" applyBorder="1" applyAlignment="1" applyProtection="1">
      <alignment horizontal="center" vertical="center"/>
    </xf>
    <xf numFmtId="0" fontId="14" fillId="31" borderId="154" xfId="0" applyFont="1" applyFill="1" applyBorder="1" applyAlignment="1">
      <alignment horizontal="left" vertical="center"/>
    </xf>
    <xf numFmtId="168" fontId="5" fillId="31" borderId="154" xfId="2" applyNumberFormat="1" applyFont="1" applyFill="1" applyBorder="1" applyAlignment="1" applyProtection="1">
      <alignment horizontal="center" vertical="center"/>
    </xf>
    <xf numFmtId="168" fontId="5" fillId="32" borderId="154" xfId="2" applyNumberFormat="1" applyFont="1" applyFill="1" applyBorder="1" applyAlignment="1" applyProtection="1">
      <alignment vertical="center"/>
    </xf>
    <xf numFmtId="168" fontId="14" fillId="31" borderId="154" xfId="2" applyNumberFormat="1" applyFont="1" applyFill="1" applyBorder="1" applyAlignment="1" applyProtection="1">
      <alignment horizontal="center" vertical="center"/>
    </xf>
    <xf numFmtId="168" fontId="14" fillId="31" borderId="155" xfId="2" applyNumberFormat="1" applyFont="1" applyFill="1" applyBorder="1" applyAlignment="1" applyProtection="1">
      <alignment horizontal="center" vertical="center"/>
    </xf>
    <xf numFmtId="175" fontId="15" fillId="0" borderId="154" xfId="0" applyNumberFormat="1" applyFont="1" applyBorder="1" applyAlignment="1">
      <alignment horizontal="left"/>
    </xf>
    <xf numFmtId="168" fontId="31" fillId="9" borderId="154" xfId="2" applyNumberFormat="1" applyFont="1" applyFill="1" applyBorder="1" applyAlignment="1" applyProtection="1">
      <alignment vertical="center"/>
    </xf>
    <xf numFmtId="168" fontId="15" fillId="33" borderId="154" xfId="2" applyNumberFormat="1" applyFont="1" applyFill="1" applyBorder="1" applyAlignment="1" applyProtection="1">
      <alignment vertical="center"/>
    </xf>
    <xf numFmtId="168" fontId="14" fillId="34" borderId="155" xfId="2" applyNumberFormat="1" applyFont="1" applyFill="1" applyBorder="1" applyAlignment="1" applyProtection="1">
      <alignment vertical="center"/>
    </xf>
    <xf numFmtId="168" fontId="15" fillId="35" borderId="154" xfId="2" applyNumberFormat="1" applyFont="1" applyFill="1" applyBorder="1" applyAlignment="1" applyProtection="1">
      <alignment vertical="center"/>
    </xf>
    <xf numFmtId="168" fontId="14" fillId="34" borderId="153" xfId="2" applyNumberFormat="1" applyFont="1" applyFill="1" applyBorder="1" applyAlignment="1" applyProtection="1">
      <alignment vertical="center"/>
    </xf>
    <xf numFmtId="168" fontId="14" fillId="32" borderId="154" xfId="2" applyNumberFormat="1" applyFont="1" applyFill="1" applyBorder="1" applyAlignment="1" applyProtection="1">
      <alignment vertical="center"/>
    </xf>
    <xf numFmtId="168" fontId="14" fillId="31" borderId="154" xfId="2" applyNumberFormat="1" applyFont="1" applyFill="1" applyBorder="1" applyAlignment="1" applyProtection="1">
      <alignment vertical="center"/>
    </xf>
    <xf numFmtId="168" fontId="5" fillId="28" borderId="154" xfId="2" applyNumberFormat="1" applyFont="1" applyFill="1" applyBorder="1" applyAlignment="1" applyProtection="1">
      <alignment horizontal="center" vertical="center"/>
    </xf>
    <xf numFmtId="168" fontId="14" fillId="28" borderId="154" xfId="2" applyNumberFormat="1" applyFont="1" applyFill="1" applyBorder="1" applyAlignment="1" applyProtection="1">
      <alignment horizontal="center" vertical="center"/>
    </xf>
    <xf numFmtId="168" fontId="14" fillId="31" borderId="153" xfId="2" applyNumberFormat="1" applyFont="1" applyFill="1" applyBorder="1" applyAlignment="1" applyProtection="1">
      <alignment vertical="center"/>
    </xf>
    <xf numFmtId="175" fontId="15" fillId="25" borderId="154" xfId="0" applyNumberFormat="1" applyFont="1" applyFill="1" applyBorder="1" applyAlignment="1">
      <alignment horizontal="left"/>
    </xf>
    <xf numFmtId="168" fontId="14" fillId="34" borderId="156" xfId="2" applyNumberFormat="1" applyFont="1" applyFill="1" applyBorder="1" applyAlignment="1" applyProtection="1">
      <alignment vertical="center"/>
    </xf>
    <xf numFmtId="0" fontId="5" fillId="38" borderId="157" xfId="0" applyFont="1" applyFill="1" applyBorder="1" applyAlignment="1">
      <alignment horizontal="center" vertical="center" wrapText="1"/>
    </xf>
    <xf numFmtId="0" fontId="5" fillId="19" borderId="154" xfId="0" applyFont="1" applyFill="1" applyBorder="1" applyAlignment="1">
      <alignment vertical="center"/>
    </xf>
    <xf numFmtId="178" fontId="5" fillId="19" borderId="154" xfId="2" applyNumberFormat="1" applyFont="1" applyFill="1" applyBorder="1" applyAlignment="1" applyProtection="1">
      <alignment vertical="center"/>
    </xf>
    <xf numFmtId="178" fontId="5" fillId="39" borderId="154" xfId="2" applyNumberFormat="1" applyFont="1" applyFill="1" applyBorder="1" applyAlignment="1" applyProtection="1">
      <alignment vertical="center"/>
    </xf>
    <xf numFmtId="178" fontId="5" fillId="19" borderId="155" xfId="2" applyNumberFormat="1" applyFont="1" applyFill="1" applyBorder="1" applyAlignment="1" applyProtection="1">
      <alignment vertical="center"/>
    </xf>
    <xf numFmtId="0" fontId="5" fillId="27" borderId="161" xfId="0" applyFont="1" applyFill="1" applyBorder="1" applyAlignment="1">
      <alignment horizontal="center" vertical="center"/>
    </xf>
    <xf numFmtId="0" fontId="14" fillId="28" borderId="162" xfId="0" applyFont="1" applyFill="1" applyBorder="1" applyAlignment="1">
      <alignment horizontal="left" vertical="center"/>
    </xf>
    <xf numFmtId="168" fontId="5" fillId="29" borderId="162" xfId="2" applyNumberFormat="1" applyFont="1" applyFill="1" applyBorder="1" applyAlignment="1" applyProtection="1">
      <alignment vertical="center"/>
    </xf>
    <xf numFmtId="168" fontId="14" fillId="30" borderId="162" xfId="2" applyNumberFormat="1" applyFont="1" applyFill="1" applyBorder="1" applyAlignment="1" applyProtection="1">
      <alignment vertical="center"/>
    </xf>
    <xf numFmtId="168" fontId="14" fillId="28" borderId="163" xfId="2" applyNumberFormat="1" applyFont="1" applyFill="1" applyBorder="1" applyAlignment="1" applyProtection="1">
      <alignment horizontal="center" vertical="center"/>
    </xf>
    <xf numFmtId="0" fontId="14" fillId="31" borderId="162" xfId="0" applyFont="1" applyFill="1" applyBorder="1" applyAlignment="1">
      <alignment horizontal="left" vertical="center"/>
    </xf>
    <xf numFmtId="168" fontId="5" fillId="31" borderId="162" xfId="2" applyNumberFormat="1" applyFont="1" applyFill="1" applyBorder="1" applyAlignment="1" applyProtection="1">
      <alignment horizontal="center" vertical="center"/>
    </xf>
    <xf numFmtId="168" fontId="5" fillId="32" borderId="162" xfId="2" applyNumberFormat="1" applyFont="1" applyFill="1" applyBorder="1" applyAlignment="1" applyProtection="1">
      <alignment vertical="center"/>
    </xf>
    <xf numFmtId="168" fontId="14" fillId="31" borderId="162" xfId="2" applyNumberFormat="1" applyFont="1" applyFill="1" applyBorder="1" applyAlignment="1" applyProtection="1">
      <alignment horizontal="center" vertical="center"/>
    </xf>
    <xf numFmtId="168" fontId="14" fillId="31" borderId="163" xfId="2" applyNumberFormat="1" applyFont="1" applyFill="1" applyBorder="1" applyAlignment="1" applyProtection="1">
      <alignment horizontal="center" vertical="center"/>
    </xf>
    <xf numFmtId="168" fontId="31" fillId="9" borderId="162" xfId="2" applyNumberFormat="1" applyFont="1" applyFill="1" applyBorder="1" applyAlignment="1" applyProtection="1">
      <alignment vertical="center"/>
    </xf>
    <xf numFmtId="168" fontId="15" fillId="33" borderId="162" xfId="2" applyNumberFormat="1" applyFont="1" applyFill="1" applyBorder="1" applyAlignment="1" applyProtection="1">
      <alignment vertical="center"/>
    </xf>
    <xf numFmtId="168" fontId="14" fillId="34" borderId="163" xfId="2" applyNumberFormat="1" applyFont="1" applyFill="1" applyBorder="1" applyAlignment="1" applyProtection="1">
      <alignment vertical="center"/>
    </xf>
    <xf numFmtId="168" fontId="15" fillId="35" borderId="162" xfId="2" applyNumberFormat="1" applyFont="1" applyFill="1" applyBorder="1" applyAlignment="1" applyProtection="1">
      <alignment vertical="center"/>
    </xf>
    <xf numFmtId="168" fontId="14" fillId="34" borderId="161" xfId="2" applyNumberFormat="1" applyFont="1" applyFill="1" applyBorder="1" applyAlignment="1" applyProtection="1">
      <alignment vertical="center"/>
    </xf>
    <xf numFmtId="168" fontId="14" fillId="32" borderId="162" xfId="2" applyNumberFormat="1" applyFont="1" applyFill="1" applyBorder="1" applyAlignment="1" applyProtection="1">
      <alignment vertical="center"/>
    </xf>
    <xf numFmtId="168" fontId="14" fillId="31" borderId="162" xfId="2" applyNumberFormat="1" applyFont="1" applyFill="1" applyBorder="1" applyAlignment="1" applyProtection="1">
      <alignment vertical="center"/>
    </xf>
    <xf numFmtId="168" fontId="5" fillId="28" borderId="162" xfId="2" applyNumberFormat="1" applyFont="1" applyFill="1" applyBorder="1" applyAlignment="1" applyProtection="1">
      <alignment horizontal="center" vertical="center"/>
    </xf>
    <xf numFmtId="168" fontId="14" fillId="28" borderId="162" xfId="2" applyNumberFormat="1" applyFont="1" applyFill="1" applyBorder="1" applyAlignment="1" applyProtection="1">
      <alignment horizontal="center" vertical="center"/>
    </xf>
    <xf numFmtId="168" fontId="14" fillId="31" borderId="161" xfId="2" applyNumberFormat="1" applyFont="1" applyFill="1" applyBorder="1" applyAlignment="1" applyProtection="1">
      <alignment vertical="center"/>
    </xf>
    <xf numFmtId="168" fontId="14" fillId="34" borderId="164" xfId="2" applyNumberFormat="1" applyFont="1" applyFill="1" applyBorder="1" applyAlignment="1" applyProtection="1">
      <alignment vertical="center"/>
    </xf>
    <xf numFmtId="0" fontId="5" fillId="38" borderId="165" xfId="0" applyFont="1" applyFill="1" applyBorder="1" applyAlignment="1">
      <alignment horizontal="center" vertical="center" wrapText="1"/>
    </xf>
    <xf numFmtId="0" fontId="5" fillId="19" borderId="162" xfId="0" applyFont="1" applyFill="1" applyBorder="1" applyAlignment="1">
      <alignment vertical="center"/>
    </xf>
    <xf numFmtId="178" fontId="5" fillId="19" borderId="162" xfId="2" applyNumberFormat="1" applyFont="1" applyFill="1" applyBorder="1" applyAlignment="1" applyProtection="1">
      <alignment vertical="center"/>
    </xf>
    <xf numFmtId="178" fontId="5" fillId="39" borderId="162" xfId="2" applyNumberFormat="1" applyFont="1" applyFill="1" applyBorder="1" applyAlignment="1" applyProtection="1">
      <alignment vertical="center"/>
    </xf>
    <xf numFmtId="178" fontId="5" fillId="19" borderId="163" xfId="2" applyNumberFormat="1" applyFont="1" applyFill="1" applyBorder="1" applyAlignment="1" applyProtection="1">
      <alignment vertical="center"/>
    </xf>
    <xf numFmtId="0" fontId="5" fillId="27" borderId="169" xfId="0" applyFont="1" applyFill="1" applyBorder="1" applyAlignment="1">
      <alignment horizontal="center" vertical="center"/>
    </xf>
    <xf numFmtId="0" fontId="14" fillId="28" borderId="170" xfId="0" applyFont="1" applyFill="1" applyBorder="1" applyAlignment="1">
      <alignment horizontal="left" vertical="center"/>
    </xf>
    <xf numFmtId="168" fontId="5" fillId="29" borderId="170" xfId="2" applyNumberFormat="1" applyFont="1" applyFill="1" applyBorder="1" applyAlignment="1" applyProtection="1">
      <alignment vertical="center"/>
    </xf>
    <xf numFmtId="168" fontId="14" fillId="30" borderId="170" xfId="2" applyNumberFormat="1" applyFont="1" applyFill="1" applyBorder="1" applyAlignment="1" applyProtection="1">
      <alignment vertical="center"/>
    </xf>
    <xf numFmtId="168" fontId="14" fillId="28" borderId="171" xfId="2" applyNumberFormat="1" applyFont="1" applyFill="1" applyBorder="1" applyAlignment="1" applyProtection="1">
      <alignment horizontal="center" vertical="center"/>
    </xf>
    <xf numFmtId="0" fontId="14" fillId="31" borderId="170" xfId="0" applyFont="1" applyFill="1" applyBorder="1" applyAlignment="1">
      <alignment horizontal="left" vertical="center"/>
    </xf>
    <xf numFmtId="168" fontId="5" fillId="31" borderId="170" xfId="2" applyNumberFormat="1" applyFont="1" applyFill="1" applyBorder="1" applyAlignment="1" applyProtection="1">
      <alignment horizontal="center" vertical="center"/>
    </xf>
    <xf numFmtId="168" fontId="5" fillId="32" borderId="170" xfId="2" applyNumberFormat="1" applyFont="1" applyFill="1" applyBorder="1" applyAlignment="1" applyProtection="1">
      <alignment vertical="center"/>
    </xf>
    <xf numFmtId="168" fontId="14" fillId="31" borderId="170" xfId="2" applyNumberFormat="1" applyFont="1" applyFill="1" applyBorder="1" applyAlignment="1" applyProtection="1">
      <alignment horizontal="center" vertical="center"/>
    </xf>
    <xf numFmtId="168" fontId="14" fillId="31" borderId="171" xfId="2" applyNumberFormat="1" applyFont="1" applyFill="1" applyBorder="1" applyAlignment="1" applyProtection="1">
      <alignment horizontal="center" vertical="center"/>
    </xf>
    <xf numFmtId="175" fontId="15" fillId="0" borderId="170" xfId="0" applyNumberFormat="1" applyFont="1" applyBorder="1" applyAlignment="1">
      <alignment horizontal="left"/>
    </xf>
    <xf numFmtId="168" fontId="31" fillId="9" borderId="170" xfId="2" applyNumberFormat="1" applyFont="1" applyFill="1" applyBorder="1" applyAlignment="1" applyProtection="1">
      <alignment vertical="center"/>
    </xf>
    <xf numFmtId="168" fontId="15" fillId="33" borderId="170" xfId="2" applyNumberFormat="1" applyFont="1" applyFill="1" applyBorder="1" applyAlignment="1" applyProtection="1">
      <alignment vertical="center"/>
    </xf>
    <xf numFmtId="168" fontId="14" fillId="34" borderId="171" xfId="2" applyNumberFormat="1" applyFont="1" applyFill="1" applyBorder="1" applyAlignment="1" applyProtection="1">
      <alignment vertical="center"/>
    </xf>
    <xf numFmtId="168" fontId="15" fillId="35" borderId="170" xfId="2" applyNumberFormat="1" applyFont="1" applyFill="1" applyBorder="1" applyAlignment="1" applyProtection="1">
      <alignment vertical="center"/>
    </xf>
    <xf numFmtId="168" fontId="14" fillId="34" borderId="169" xfId="2" applyNumberFormat="1" applyFont="1" applyFill="1" applyBorder="1" applyAlignment="1" applyProtection="1">
      <alignment vertical="center"/>
    </xf>
    <xf numFmtId="168" fontId="14" fillId="32" borderId="170" xfId="2" applyNumberFormat="1" applyFont="1" applyFill="1" applyBorder="1" applyAlignment="1" applyProtection="1">
      <alignment vertical="center"/>
    </xf>
    <xf numFmtId="168" fontId="14" fillId="31" borderId="170" xfId="2" applyNumberFormat="1" applyFont="1" applyFill="1" applyBorder="1" applyAlignment="1" applyProtection="1">
      <alignment vertical="center"/>
    </xf>
    <xf numFmtId="175" fontId="15" fillId="25" borderId="170" xfId="0" applyNumberFormat="1" applyFont="1" applyFill="1" applyBorder="1" applyAlignment="1">
      <alignment horizontal="left"/>
    </xf>
    <xf numFmtId="168" fontId="5" fillId="28" borderId="170" xfId="2" applyNumberFormat="1" applyFont="1" applyFill="1" applyBorder="1" applyAlignment="1" applyProtection="1">
      <alignment horizontal="center" vertical="center"/>
    </xf>
    <xf numFmtId="168" fontId="14" fillId="28" borderId="170" xfId="2" applyNumberFormat="1" applyFont="1" applyFill="1" applyBorder="1" applyAlignment="1" applyProtection="1">
      <alignment horizontal="center" vertical="center"/>
    </xf>
    <xf numFmtId="168" fontId="14" fillId="31" borderId="169" xfId="2" applyNumberFormat="1" applyFont="1" applyFill="1" applyBorder="1" applyAlignment="1" applyProtection="1">
      <alignment vertical="center"/>
    </xf>
    <xf numFmtId="168" fontId="14" fillId="34" borderId="172" xfId="2" applyNumberFormat="1" applyFont="1" applyFill="1" applyBorder="1" applyAlignment="1" applyProtection="1">
      <alignment vertical="center"/>
    </xf>
    <xf numFmtId="0" fontId="5" fillId="38" borderId="173" xfId="0" applyFont="1" applyFill="1" applyBorder="1" applyAlignment="1">
      <alignment horizontal="center" vertical="center" wrapText="1"/>
    </xf>
    <xf numFmtId="0" fontId="5" fillId="19" borderId="170" xfId="0" applyFont="1" applyFill="1" applyBorder="1" applyAlignment="1">
      <alignment vertical="center"/>
    </xf>
    <xf numFmtId="178" fontId="5" fillId="19" borderId="170" xfId="2" applyNumberFormat="1" applyFont="1" applyFill="1" applyBorder="1" applyAlignment="1" applyProtection="1">
      <alignment vertical="center"/>
    </xf>
    <xf numFmtId="178" fontId="5" fillId="39" borderId="170" xfId="2" applyNumberFormat="1" applyFont="1" applyFill="1" applyBorder="1" applyAlignment="1" applyProtection="1">
      <alignment vertical="center"/>
    </xf>
    <xf numFmtId="178" fontId="5" fillId="19" borderId="171" xfId="2" applyNumberFormat="1" applyFont="1" applyFill="1" applyBorder="1" applyAlignment="1" applyProtection="1">
      <alignment vertical="center"/>
    </xf>
    <xf numFmtId="0" fontId="5" fillId="27" borderId="177" xfId="0" applyFont="1" applyFill="1" applyBorder="1" applyAlignment="1">
      <alignment horizontal="center" vertical="center"/>
    </xf>
    <xf numFmtId="0" fontId="14" fillId="28" borderId="178" xfId="0" applyFont="1" applyFill="1" applyBorder="1" applyAlignment="1">
      <alignment horizontal="left" vertical="center"/>
    </xf>
    <xf numFmtId="168" fontId="5" fillId="29" borderId="178" xfId="2" applyNumberFormat="1" applyFont="1" applyFill="1" applyBorder="1" applyAlignment="1" applyProtection="1">
      <alignment vertical="center"/>
    </xf>
    <xf numFmtId="168" fontId="14" fillId="30" borderId="178" xfId="2" applyNumberFormat="1" applyFont="1" applyFill="1" applyBorder="1" applyAlignment="1" applyProtection="1">
      <alignment vertical="center"/>
    </xf>
    <xf numFmtId="168" fontId="14" fillId="28" borderId="179" xfId="2" applyNumberFormat="1" applyFont="1" applyFill="1" applyBorder="1" applyAlignment="1" applyProtection="1">
      <alignment horizontal="center" vertical="center"/>
    </xf>
    <xf numFmtId="0" fontId="14" fillId="31" borderId="178" xfId="0" applyFont="1" applyFill="1" applyBorder="1" applyAlignment="1">
      <alignment horizontal="left" vertical="center"/>
    </xf>
    <xf numFmtId="168" fontId="5" fillId="31" borderId="178" xfId="2" applyNumberFormat="1" applyFont="1" applyFill="1" applyBorder="1" applyAlignment="1" applyProtection="1">
      <alignment horizontal="center" vertical="center"/>
    </xf>
    <xf numFmtId="168" fontId="5" fillId="32" borderId="178" xfId="2" applyNumberFormat="1" applyFont="1" applyFill="1" applyBorder="1" applyAlignment="1" applyProtection="1">
      <alignment vertical="center"/>
    </xf>
    <xf numFmtId="168" fontId="14" fillId="31" borderId="178" xfId="2" applyNumberFormat="1" applyFont="1" applyFill="1" applyBorder="1" applyAlignment="1" applyProtection="1">
      <alignment horizontal="center" vertical="center"/>
    </xf>
    <xf numFmtId="168" fontId="14" fillId="31" borderId="179" xfId="2" applyNumberFormat="1" applyFont="1" applyFill="1" applyBorder="1" applyAlignment="1" applyProtection="1">
      <alignment horizontal="center" vertical="center"/>
    </xf>
    <xf numFmtId="175" fontId="15" fillId="0" borderId="178" xfId="0" applyNumberFormat="1" applyFont="1" applyBorder="1" applyAlignment="1">
      <alignment horizontal="left"/>
    </xf>
    <xf numFmtId="168" fontId="31" fillId="9" borderId="178" xfId="2" applyNumberFormat="1" applyFont="1" applyFill="1" applyBorder="1" applyAlignment="1" applyProtection="1">
      <alignment vertical="center"/>
    </xf>
    <xf numFmtId="168" fontId="15" fillId="33" borderId="178" xfId="2" applyNumberFormat="1" applyFont="1" applyFill="1" applyBorder="1" applyAlignment="1" applyProtection="1">
      <alignment vertical="center"/>
    </xf>
    <xf numFmtId="168" fontId="14" fillId="34" borderId="179" xfId="2" applyNumberFormat="1" applyFont="1" applyFill="1" applyBorder="1" applyAlignment="1" applyProtection="1">
      <alignment vertical="center"/>
    </xf>
    <xf numFmtId="168" fontId="15" fillId="35" borderId="178" xfId="2" applyNumberFormat="1" applyFont="1" applyFill="1" applyBorder="1" applyAlignment="1" applyProtection="1">
      <alignment vertical="center"/>
    </xf>
    <xf numFmtId="168" fontId="14" fillId="34" borderId="177" xfId="2" applyNumberFormat="1" applyFont="1" applyFill="1" applyBorder="1" applyAlignment="1" applyProtection="1">
      <alignment vertical="center"/>
    </xf>
    <xf numFmtId="168" fontId="14" fillId="32" borderId="178" xfId="2" applyNumberFormat="1" applyFont="1" applyFill="1" applyBorder="1" applyAlignment="1" applyProtection="1">
      <alignment vertical="center"/>
    </xf>
    <xf numFmtId="168" fontId="14" fillId="31" borderId="178" xfId="2" applyNumberFormat="1" applyFont="1" applyFill="1" applyBorder="1" applyAlignment="1" applyProtection="1">
      <alignment vertical="center"/>
    </xf>
    <xf numFmtId="168" fontId="5" fillId="28" borderId="178" xfId="2" applyNumberFormat="1" applyFont="1" applyFill="1" applyBorder="1" applyAlignment="1" applyProtection="1">
      <alignment horizontal="center" vertical="center"/>
    </xf>
    <xf numFmtId="168" fontId="14" fillId="28" borderId="178" xfId="2" applyNumberFormat="1" applyFont="1" applyFill="1" applyBorder="1" applyAlignment="1" applyProtection="1">
      <alignment horizontal="center" vertical="center"/>
    </xf>
    <xf numFmtId="168" fontId="14" fillId="31" borderId="177" xfId="2" applyNumberFormat="1" applyFont="1" applyFill="1" applyBorder="1" applyAlignment="1" applyProtection="1">
      <alignment vertical="center"/>
    </xf>
    <xf numFmtId="175" fontId="15" fillId="25" borderId="178" xfId="0" applyNumberFormat="1" applyFont="1" applyFill="1" applyBorder="1" applyAlignment="1">
      <alignment horizontal="left"/>
    </xf>
    <xf numFmtId="168" fontId="14" fillId="34" borderId="180" xfId="2" applyNumberFormat="1" applyFont="1" applyFill="1" applyBorder="1" applyAlignment="1" applyProtection="1">
      <alignment vertical="center"/>
    </xf>
    <xf numFmtId="0" fontId="5" fillId="38" borderId="181" xfId="0" applyFont="1" applyFill="1" applyBorder="1" applyAlignment="1">
      <alignment horizontal="center" vertical="center" wrapText="1"/>
    </xf>
    <xf numFmtId="0" fontId="5" fillId="19" borderId="178" xfId="0" applyFont="1" applyFill="1" applyBorder="1" applyAlignment="1">
      <alignment vertical="center"/>
    </xf>
    <xf numFmtId="178" fontId="5" fillId="19" borderId="178" xfId="2" applyNumberFormat="1" applyFont="1" applyFill="1" applyBorder="1" applyAlignment="1" applyProtection="1">
      <alignment vertical="center"/>
    </xf>
    <xf numFmtId="178" fontId="5" fillId="39" borderId="178" xfId="2" applyNumberFormat="1" applyFont="1" applyFill="1" applyBorder="1" applyAlignment="1" applyProtection="1">
      <alignment vertical="center"/>
    </xf>
    <xf numFmtId="178" fontId="5" fillId="19" borderId="179" xfId="2" applyNumberFormat="1" applyFont="1" applyFill="1" applyBorder="1" applyAlignment="1" applyProtection="1">
      <alignment vertical="center"/>
    </xf>
    <xf numFmtId="0" fontId="5" fillId="27" borderId="185" xfId="0" applyFont="1" applyFill="1" applyBorder="1" applyAlignment="1">
      <alignment horizontal="center" vertical="center"/>
    </xf>
    <xf numFmtId="0" fontId="14" fillId="28" borderId="186" xfId="0" applyFont="1" applyFill="1" applyBorder="1" applyAlignment="1">
      <alignment horizontal="left" vertical="center"/>
    </xf>
    <xf numFmtId="168" fontId="5" fillId="29" borderId="186" xfId="2" applyNumberFormat="1" applyFont="1" applyFill="1" applyBorder="1" applyAlignment="1" applyProtection="1">
      <alignment vertical="center"/>
    </xf>
    <xf numFmtId="168" fontId="14" fillId="30" borderId="186" xfId="2" applyNumberFormat="1" applyFont="1" applyFill="1" applyBorder="1" applyAlignment="1" applyProtection="1">
      <alignment vertical="center"/>
    </xf>
    <xf numFmtId="168" fontId="14" fillId="28" borderId="187" xfId="2" applyNumberFormat="1" applyFont="1" applyFill="1" applyBorder="1" applyAlignment="1" applyProtection="1">
      <alignment horizontal="center" vertical="center"/>
    </xf>
    <xf numFmtId="0" fontId="14" fillId="31" borderId="186" xfId="0" applyFont="1" applyFill="1" applyBorder="1" applyAlignment="1">
      <alignment horizontal="left" vertical="center"/>
    </xf>
    <xf numFmtId="168" fontId="5" fillId="31" borderId="186" xfId="2" applyNumberFormat="1" applyFont="1" applyFill="1" applyBorder="1" applyAlignment="1" applyProtection="1">
      <alignment horizontal="center" vertical="center"/>
    </xf>
    <xf numFmtId="168" fontId="5" fillId="32" borderId="186" xfId="2" applyNumberFormat="1" applyFont="1" applyFill="1" applyBorder="1" applyAlignment="1" applyProtection="1">
      <alignment vertical="center"/>
    </xf>
    <xf numFmtId="168" fontId="14" fillId="31" borderId="186" xfId="2" applyNumberFormat="1" applyFont="1" applyFill="1" applyBorder="1" applyAlignment="1" applyProtection="1">
      <alignment horizontal="center" vertical="center"/>
    </xf>
    <xf numFmtId="168" fontId="14" fillId="31" borderId="187" xfId="2" applyNumberFormat="1" applyFont="1" applyFill="1" applyBorder="1" applyAlignment="1" applyProtection="1">
      <alignment horizontal="center" vertical="center"/>
    </xf>
    <xf numFmtId="175" fontId="15" fillId="0" borderId="186" xfId="0" applyNumberFormat="1" applyFont="1" applyBorder="1" applyAlignment="1">
      <alignment horizontal="left"/>
    </xf>
    <xf numFmtId="168" fontId="31" fillId="9" borderId="186" xfId="2" applyNumberFormat="1" applyFont="1" applyFill="1" applyBorder="1" applyAlignment="1" applyProtection="1">
      <alignment vertical="center"/>
    </xf>
    <xf numFmtId="168" fontId="15" fillId="33" borderId="186" xfId="2" applyNumberFormat="1" applyFont="1" applyFill="1" applyBorder="1" applyAlignment="1" applyProtection="1">
      <alignment vertical="center"/>
    </xf>
    <xf numFmtId="168" fontId="14" fillId="34" borderId="187" xfId="2" applyNumberFormat="1" applyFont="1" applyFill="1" applyBorder="1" applyAlignment="1" applyProtection="1">
      <alignment vertical="center"/>
    </xf>
    <xf numFmtId="168" fontId="15" fillId="35" borderId="186" xfId="2" applyNumberFormat="1" applyFont="1" applyFill="1" applyBorder="1" applyAlignment="1" applyProtection="1">
      <alignment vertical="center"/>
    </xf>
    <xf numFmtId="168" fontId="14" fillId="34" borderId="185" xfId="2" applyNumberFormat="1" applyFont="1" applyFill="1" applyBorder="1" applyAlignment="1" applyProtection="1">
      <alignment vertical="center"/>
    </xf>
    <xf numFmtId="168" fontId="14" fillId="32" borderId="186" xfId="2" applyNumberFormat="1" applyFont="1" applyFill="1" applyBorder="1" applyAlignment="1" applyProtection="1">
      <alignment vertical="center"/>
    </xf>
    <xf numFmtId="168" fontId="14" fillId="31" borderId="186" xfId="2" applyNumberFormat="1" applyFont="1" applyFill="1" applyBorder="1" applyAlignment="1" applyProtection="1">
      <alignment vertical="center"/>
    </xf>
    <xf numFmtId="168" fontId="5" fillId="28" borderId="186" xfId="2" applyNumberFormat="1" applyFont="1" applyFill="1" applyBorder="1" applyAlignment="1" applyProtection="1">
      <alignment horizontal="center" vertical="center"/>
    </xf>
    <xf numFmtId="168" fontId="14" fillId="28" borderId="186" xfId="2" applyNumberFormat="1" applyFont="1" applyFill="1" applyBorder="1" applyAlignment="1" applyProtection="1">
      <alignment horizontal="center" vertical="center"/>
    </xf>
    <xf numFmtId="168" fontId="14" fillId="31" borderId="185" xfId="2" applyNumberFormat="1" applyFont="1" applyFill="1" applyBorder="1" applyAlignment="1" applyProtection="1">
      <alignment vertical="center"/>
    </xf>
    <xf numFmtId="175" fontId="15" fillId="25" borderId="186" xfId="0" applyNumberFormat="1" applyFont="1" applyFill="1" applyBorder="1" applyAlignment="1">
      <alignment horizontal="left"/>
    </xf>
    <xf numFmtId="168" fontId="14" fillId="34" borderId="188" xfId="2" applyNumberFormat="1" applyFont="1" applyFill="1" applyBorder="1" applyAlignment="1" applyProtection="1">
      <alignment vertical="center"/>
    </xf>
    <xf numFmtId="0" fontId="5" fillId="38" borderId="189" xfId="0" applyFont="1" applyFill="1" applyBorder="1" applyAlignment="1">
      <alignment horizontal="center" vertical="center" wrapText="1"/>
    </xf>
    <xf numFmtId="0" fontId="5" fillId="19" borderId="186" xfId="0" applyFont="1" applyFill="1" applyBorder="1" applyAlignment="1">
      <alignment vertical="center"/>
    </xf>
    <xf numFmtId="178" fontId="5" fillId="19" borderId="186" xfId="2" applyNumberFormat="1" applyFont="1" applyFill="1" applyBorder="1" applyAlignment="1" applyProtection="1">
      <alignment vertical="center"/>
    </xf>
    <xf numFmtId="178" fontId="5" fillId="39" borderId="186" xfId="2" applyNumberFormat="1" applyFont="1" applyFill="1" applyBorder="1" applyAlignment="1" applyProtection="1">
      <alignment vertical="center"/>
    </xf>
    <xf numFmtId="178" fontId="5" fillId="19" borderId="187" xfId="2" applyNumberFormat="1" applyFont="1" applyFill="1" applyBorder="1" applyAlignment="1" applyProtection="1">
      <alignment vertical="center"/>
    </xf>
    <xf numFmtId="168" fontId="31" fillId="9" borderId="191" xfId="2" applyNumberFormat="1" applyFont="1" applyFill="1" applyBorder="1" applyAlignment="1" applyProtection="1">
      <alignment vertical="center"/>
    </xf>
    <xf numFmtId="41" fontId="14" fillId="30" borderId="186" xfId="12" applyFont="1" applyFill="1" applyBorder="1" applyAlignment="1" applyProtection="1">
      <alignment vertical="center"/>
    </xf>
    <xf numFmtId="41" fontId="5" fillId="32" borderId="186" xfId="12" applyFont="1" applyFill="1" applyBorder="1" applyAlignment="1" applyProtection="1">
      <alignment vertical="center"/>
    </xf>
    <xf numFmtId="41" fontId="15" fillId="33" borderId="186" xfId="12" applyFont="1" applyFill="1" applyBorder="1" applyAlignment="1" applyProtection="1">
      <alignment vertical="center"/>
    </xf>
    <xf numFmtId="0" fontId="8" fillId="2" borderId="192" xfId="0" applyFont="1" applyFill="1" applyBorder="1" applyAlignment="1">
      <alignment horizontal="center" vertical="center"/>
    </xf>
    <xf numFmtId="0" fontId="8" fillId="0" borderId="89" xfId="0" applyFont="1" applyBorder="1" applyAlignment="1">
      <alignment horizontal="center" vertical="center"/>
    </xf>
    <xf numFmtId="0" fontId="8" fillId="0" borderId="0" xfId="0" applyFont="1" applyAlignment="1">
      <alignment horizontal="center" vertical="center"/>
    </xf>
    <xf numFmtId="0" fontId="0" fillId="21" borderId="0" xfId="0" applyFill="1"/>
    <xf numFmtId="0" fontId="0" fillId="21" borderId="0" xfId="0" applyFill="1" applyAlignment="1">
      <alignment horizontal="left" vertical="center"/>
    </xf>
    <xf numFmtId="179" fontId="5" fillId="21" borderId="0" xfId="0" applyNumberFormat="1" applyFont="1" applyFill="1" applyAlignment="1">
      <alignment horizontal="right" vertical="center"/>
    </xf>
    <xf numFmtId="0" fontId="0" fillId="21" borderId="193" xfId="0" applyFill="1" applyBorder="1"/>
    <xf numFmtId="0" fontId="0" fillId="21" borderId="194" xfId="0" applyFill="1" applyBorder="1"/>
    <xf numFmtId="0" fontId="0" fillId="21" borderId="195" xfId="0" applyFill="1" applyBorder="1"/>
    <xf numFmtId="0" fontId="0" fillId="21" borderId="196" xfId="0" applyFill="1" applyBorder="1"/>
    <xf numFmtId="0" fontId="0" fillId="21" borderId="197" xfId="0" applyFill="1" applyBorder="1"/>
    <xf numFmtId="0" fontId="17" fillId="0" borderId="0" xfId="0" applyFont="1" applyAlignment="1">
      <alignment horizontal="left" vertical="center" indent="2"/>
    </xf>
    <xf numFmtId="0" fontId="17" fillId="0" borderId="0" xfId="0" applyFont="1" applyAlignment="1">
      <alignment vertical="center"/>
    </xf>
    <xf numFmtId="0" fontId="17" fillId="0" borderId="196" xfId="0" applyFont="1" applyBorder="1" applyAlignment="1">
      <alignment vertical="center"/>
    </xf>
    <xf numFmtId="179" fontId="0" fillId="41" borderId="73" xfId="0" applyNumberFormat="1" applyFill="1" applyBorder="1" applyAlignment="1">
      <alignment horizontal="center" vertical="center"/>
    </xf>
    <xf numFmtId="0" fontId="9" fillId="42" borderId="49" xfId="0" applyFont="1" applyFill="1" applyBorder="1" applyAlignment="1">
      <alignment horizontal="center" vertical="center"/>
    </xf>
    <xf numFmtId="0" fontId="9" fillId="43" borderId="49" xfId="0" applyFont="1" applyFill="1" applyBorder="1" applyAlignment="1">
      <alignment horizontal="center" vertical="center"/>
    </xf>
    <xf numFmtId="0" fontId="9" fillId="37" borderId="272" xfId="0" applyFont="1" applyFill="1" applyBorder="1" applyAlignment="1">
      <alignment horizontal="center" vertical="center"/>
    </xf>
    <xf numFmtId="0" fontId="5" fillId="7" borderId="30"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18" fillId="42" borderId="210" xfId="0" applyFont="1" applyFill="1" applyBorder="1" applyAlignment="1">
      <alignment horizontal="center" vertical="center"/>
    </xf>
    <xf numFmtId="0" fontId="18" fillId="42" borderId="216" xfId="0" applyFont="1" applyFill="1" applyBorder="1" applyAlignment="1">
      <alignment horizontal="center" vertical="center"/>
    </xf>
    <xf numFmtId="0" fontId="18" fillId="43" borderId="210" xfId="0" applyFont="1" applyFill="1" applyBorder="1" applyAlignment="1">
      <alignment horizontal="center" vertical="center"/>
    </xf>
    <xf numFmtId="0" fontId="18" fillId="43" borderId="212" xfId="0" applyFont="1" applyFill="1" applyBorder="1" applyAlignment="1">
      <alignment horizontal="center" vertical="center"/>
    </xf>
    <xf numFmtId="0" fontId="18" fillId="37" borderId="213" xfId="0" applyFont="1" applyFill="1" applyBorder="1" applyAlignment="1">
      <alignment horizontal="center" vertical="center"/>
    </xf>
    <xf numFmtId="0" fontId="18" fillId="37" borderId="212" xfId="0" applyFont="1" applyFill="1" applyBorder="1" applyAlignment="1">
      <alignment horizontal="center" vertical="center"/>
    </xf>
    <xf numFmtId="0" fontId="18" fillId="42" borderId="51" xfId="0" applyFont="1" applyFill="1" applyBorder="1" applyAlignment="1">
      <alignment horizontal="center" vertical="center"/>
    </xf>
    <xf numFmtId="0" fontId="18" fillId="42" borderId="52" xfId="0" applyFont="1" applyFill="1" applyBorder="1" applyAlignment="1">
      <alignment horizontal="center" vertical="center"/>
    </xf>
    <xf numFmtId="0" fontId="18" fillId="43" borderId="51" xfId="0" applyFont="1" applyFill="1" applyBorder="1" applyAlignment="1">
      <alignment horizontal="center" vertical="center"/>
    </xf>
    <xf numFmtId="0" fontId="18" fillId="43" borderId="31" xfId="0" applyFont="1" applyFill="1" applyBorder="1" applyAlignment="1">
      <alignment horizontal="center" vertical="center"/>
    </xf>
    <xf numFmtId="0" fontId="18" fillId="37" borderId="67" xfId="0" applyFont="1" applyFill="1" applyBorder="1" applyAlignment="1">
      <alignment horizontal="center" vertical="center"/>
    </xf>
    <xf numFmtId="0" fontId="18" fillId="37" borderId="31" xfId="0" applyFont="1" applyFill="1" applyBorder="1" applyAlignment="1">
      <alignment horizontal="center" vertical="center"/>
    </xf>
    <xf numFmtId="0" fontId="18" fillId="42" borderId="204" xfId="0" applyFont="1" applyFill="1" applyBorder="1" applyAlignment="1">
      <alignment horizontal="center" vertical="center"/>
    </xf>
    <xf numFmtId="0" fontId="18" fillId="42" borderId="205" xfId="0" applyFont="1" applyFill="1" applyBorder="1" applyAlignment="1">
      <alignment horizontal="center" vertical="center"/>
    </xf>
    <xf numFmtId="0" fontId="18" fillId="43" borderId="204" xfId="0" applyFont="1" applyFill="1" applyBorder="1" applyAlignment="1">
      <alignment horizontal="center" vertical="center"/>
    </xf>
    <xf numFmtId="0" fontId="18" fillId="43" borderId="205" xfId="0" applyFont="1" applyFill="1" applyBorder="1" applyAlignment="1">
      <alignment horizontal="center" vertical="center"/>
    </xf>
    <xf numFmtId="0" fontId="18" fillId="37" borderId="204" xfId="0" applyFont="1" applyFill="1" applyBorder="1" applyAlignment="1">
      <alignment horizontal="center" vertical="center"/>
    </xf>
    <xf numFmtId="0" fontId="18" fillId="37" borderId="205" xfId="0" applyFont="1" applyFill="1" applyBorder="1" applyAlignment="1">
      <alignment horizontal="center" vertical="center"/>
    </xf>
    <xf numFmtId="0" fontId="18" fillId="42" borderId="54" xfId="0" applyFont="1" applyFill="1" applyBorder="1" applyAlignment="1">
      <alignment horizontal="center" vertical="center"/>
    </xf>
    <xf numFmtId="0" fontId="18" fillId="43" borderId="54" xfId="0" applyFont="1" applyFill="1" applyBorder="1" applyAlignment="1">
      <alignment horizontal="center" vertical="center"/>
    </xf>
    <xf numFmtId="0" fontId="18" fillId="37" borderId="254" xfId="0" applyFont="1" applyFill="1" applyBorder="1" applyAlignment="1">
      <alignment horizontal="center" vertical="center"/>
    </xf>
    <xf numFmtId="179" fontId="0" fillId="35" borderId="272" xfId="0" applyNumberFormat="1" applyFill="1" applyBorder="1" applyAlignment="1">
      <alignment horizontal="right" vertical="center"/>
    </xf>
    <xf numFmtId="179" fontId="0" fillId="0" borderId="272" xfId="0" applyNumberFormat="1" applyBorder="1" applyAlignment="1">
      <alignment horizontal="right" vertical="center"/>
    </xf>
    <xf numFmtId="179" fontId="0" fillId="0" borderId="45" xfId="0" applyNumberFormat="1" applyBorder="1" applyAlignment="1">
      <alignment horizontal="right" vertical="center"/>
    </xf>
    <xf numFmtId="179" fontId="0" fillId="0" borderId="47" xfId="0" applyNumberFormat="1" applyBorder="1" applyAlignment="1">
      <alignment horizontal="right" vertical="center"/>
    </xf>
    <xf numFmtId="9" fontId="0" fillId="41" borderId="272" xfId="0" applyNumberFormat="1" applyFill="1" applyBorder="1" applyAlignment="1">
      <alignment horizontal="center" vertical="center"/>
    </xf>
    <xf numFmtId="0" fontId="5" fillId="27" borderId="286" xfId="0" applyFont="1" applyFill="1" applyBorder="1" applyAlignment="1">
      <alignment horizontal="center" vertical="center"/>
    </xf>
    <xf numFmtId="0" fontId="14" fillId="28" borderId="287" xfId="0" applyFont="1" applyFill="1" applyBorder="1" applyAlignment="1">
      <alignment horizontal="left" vertical="center"/>
    </xf>
    <xf numFmtId="168" fontId="14" fillId="28" borderId="290" xfId="7" applyNumberFormat="1" applyFont="1" applyFill="1" applyBorder="1" applyAlignment="1">
      <alignment horizontal="center" vertical="center"/>
    </xf>
    <xf numFmtId="179" fontId="0" fillId="44" borderId="211" xfId="0" applyNumberFormat="1" applyFill="1" applyBorder="1" applyAlignment="1">
      <alignment horizontal="right" vertical="center"/>
    </xf>
    <xf numFmtId="179" fontId="0" fillId="44" borderId="212" xfId="0" applyNumberFormat="1" applyFill="1" applyBorder="1" applyAlignment="1">
      <alignment horizontal="right" vertical="center"/>
    </xf>
    <xf numFmtId="9" fontId="0" fillId="25" borderId="77" xfId="0" applyNumberFormat="1" applyFill="1" applyBorder="1" applyAlignment="1">
      <alignment horizontal="center" vertical="center"/>
    </xf>
    <xf numFmtId="179" fontId="0" fillId="41" borderId="257" xfId="0" applyNumberFormat="1" applyFill="1" applyBorder="1" applyAlignment="1">
      <alignment horizontal="right" vertical="center"/>
    </xf>
    <xf numFmtId="179" fontId="0" fillId="41" borderId="79" xfId="0" applyNumberFormat="1" applyFill="1" applyBorder="1" applyAlignment="1">
      <alignment horizontal="right" vertical="center"/>
    </xf>
    <xf numFmtId="179" fontId="0" fillId="41" borderId="214" xfId="0" applyNumberFormat="1" applyFill="1" applyBorder="1" applyAlignment="1">
      <alignment horizontal="center" vertical="center"/>
    </xf>
    <xf numFmtId="179" fontId="0" fillId="41" borderId="81" xfId="0" applyNumberFormat="1" applyFill="1" applyBorder="1" applyAlignment="1">
      <alignment horizontal="center" vertical="center"/>
    </xf>
    <xf numFmtId="179" fontId="0" fillId="35" borderId="376" xfId="0" applyNumberFormat="1" applyFill="1" applyBorder="1" applyAlignment="1">
      <alignment horizontal="right" vertical="center"/>
    </xf>
    <xf numFmtId="179" fontId="0" fillId="0" borderId="376" xfId="0" applyNumberFormat="1" applyBorder="1" applyAlignment="1">
      <alignment horizontal="right" vertical="center"/>
    </xf>
    <xf numFmtId="179" fontId="0" fillId="0" borderId="190" xfId="0" applyNumberFormat="1" applyBorder="1" applyAlignment="1">
      <alignment horizontal="right" vertical="center"/>
    </xf>
    <xf numFmtId="179" fontId="0" fillId="0" borderId="74" xfId="0" applyNumberFormat="1" applyBorder="1" applyAlignment="1">
      <alignment horizontal="right" vertical="center"/>
    </xf>
    <xf numFmtId="9" fontId="0" fillId="41" borderId="265" xfId="0" applyNumberFormat="1" applyFill="1" applyBorder="1" applyAlignment="1">
      <alignment horizontal="center" vertical="center"/>
    </xf>
    <xf numFmtId="0" fontId="5" fillId="31" borderId="269" xfId="0" applyFont="1" applyFill="1" applyBorder="1" applyAlignment="1">
      <alignment horizontal="center" vertical="center" wrapText="1"/>
    </xf>
    <xf numFmtId="0" fontId="14" fillId="31" borderId="252" xfId="0" applyFont="1" applyFill="1" applyBorder="1" applyAlignment="1">
      <alignment horizontal="left" vertical="center"/>
    </xf>
    <xf numFmtId="168" fontId="14" fillId="31" borderId="270" xfId="7" applyNumberFormat="1" applyFont="1" applyFill="1" applyBorder="1" applyAlignment="1">
      <alignment horizontal="center" vertical="center"/>
    </xf>
    <xf numFmtId="1" fontId="0" fillId="0" borderId="269" xfId="0" applyNumberFormat="1" applyBorder="1" applyAlignment="1">
      <alignment horizontal="center" vertical="center" wrapText="1"/>
    </xf>
    <xf numFmtId="175" fontId="15" fillId="0" borderId="252" xfId="0" applyNumberFormat="1" applyFont="1" applyBorder="1" applyAlignment="1">
      <alignment horizontal="left"/>
    </xf>
    <xf numFmtId="0" fontId="0" fillId="21" borderId="201" xfId="0" applyFill="1" applyBorder="1"/>
    <xf numFmtId="0" fontId="0" fillId="21" borderId="40" xfId="0" applyFill="1" applyBorder="1"/>
    <xf numFmtId="0" fontId="0" fillId="21" borderId="215" xfId="0" applyFill="1" applyBorder="1"/>
    <xf numFmtId="179" fontId="0" fillId="21" borderId="0" xfId="0" applyNumberFormat="1" applyFill="1"/>
    <xf numFmtId="179" fontId="0" fillId="35" borderId="377" xfId="0" applyNumberFormat="1" applyFill="1" applyBorder="1" applyAlignment="1">
      <alignment horizontal="right" vertical="center"/>
    </xf>
    <xf numFmtId="179" fontId="0" fillId="0" borderId="379" xfId="0" applyNumberFormat="1" applyBorder="1" applyAlignment="1">
      <alignment horizontal="right" vertical="center"/>
    </xf>
    <xf numFmtId="179" fontId="0" fillId="0" borderId="52" xfId="0" applyNumberFormat="1" applyBorder="1" applyAlignment="1">
      <alignment horizontal="right" vertical="center"/>
    </xf>
    <xf numFmtId="179" fontId="0" fillId="0" borderId="31" xfId="0" applyNumberFormat="1" applyBorder="1" applyAlignment="1">
      <alignment horizontal="right" vertical="center"/>
    </xf>
    <xf numFmtId="9" fontId="0" fillId="41" borderId="254" xfId="0" applyNumberFormat="1" applyFill="1" applyBorder="1" applyAlignment="1">
      <alignment horizontal="center" vertical="center"/>
    </xf>
    <xf numFmtId="179" fontId="0" fillId="35" borderId="364" xfId="0" applyNumberFormat="1" applyFill="1" applyBorder="1" applyAlignment="1">
      <alignment horizontal="right" vertical="center"/>
    </xf>
    <xf numFmtId="179" fontId="0" fillId="0" borderId="364" xfId="0" applyNumberFormat="1" applyBorder="1" applyAlignment="1">
      <alignment horizontal="right" vertical="center"/>
    </xf>
    <xf numFmtId="179" fontId="0" fillId="35" borderId="254" xfId="0" applyNumberFormat="1" applyFill="1" applyBorder="1" applyAlignment="1">
      <alignment horizontal="right" vertical="center"/>
    </xf>
    <xf numFmtId="179" fontId="0" fillId="35" borderId="410" xfId="0" applyNumberFormat="1" applyFill="1" applyBorder="1" applyAlignment="1">
      <alignment horizontal="right" vertical="center"/>
    </xf>
    <xf numFmtId="179" fontId="0" fillId="0" borderId="410" xfId="0" applyNumberFormat="1" applyBorder="1" applyAlignment="1">
      <alignment horizontal="right" vertical="center"/>
    </xf>
    <xf numFmtId="179" fontId="0" fillId="0" borderId="377" xfId="0" applyNumberFormat="1" applyBorder="1" applyAlignment="1">
      <alignment horizontal="right" vertical="center"/>
    </xf>
    <xf numFmtId="179" fontId="0" fillId="35" borderId="19" xfId="0" applyNumberFormat="1" applyFill="1" applyBorder="1" applyAlignment="1">
      <alignment horizontal="right" vertical="center"/>
    </xf>
    <xf numFmtId="179" fontId="0" fillId="0" borderId="407" xfId="0" applyNumberFormat="1" applyBorder="1" applyAlignment="1">
      <alignment horizontal="right" vertical="center"/>
    </xf>
    <xf numFmtId="0" fontId="5" fillId="27" borderId="269" xfId="0" applyFont="1" applyFill="1" applyBorder="1" applyAlignment="1">
      <alignment horizontal="center" vertical="center"/>
    </xf>
    <xf numFmtId="0" fontId="14" fillId="28" borderId="252" xfId="0" applyFont="1" applyFill="1" applyBorder="1" applyAlignment="1">
      <alignment horizontal="left" vertical="center"/>
    </xf>
    <xf numFmtId="168" fontId="14" fillId="28" borderId="270" xfId="7" applyNumberFormat="1" applyFont="1" applyFill="1" applyBorder="1" applyAlignment="1">
      <alignment horizontal="center" vertical="center"/>
    </xf>
    <xf numFmtId="179" fontId="0" fillId="35" borderId="379" xfId="0" applyNumberFormat="1" applyFill="1" applyBorder="1" applyAlignment="1">
      <alignment horizontal="right" vertical="center"/>
    </xf>
    <xf numFmtId="179" fontId="0" fillId="0" borderId="254" xfId="0" applyNumberFormat="1" applyBorder="1" applyAlignment="1">
      <alignment horizontal="right" vertical="center"/>
    </xf>
    <xf numFmtId="179" fontId="8" fillId="41" borderId="27" xfId="0" applyNumberFormat="1" applyFont="1" applyFill="1" applyBorder="1" applyAlignment="1">
      <alignment horizontal="right" vertical="center"/>
    </xf>
    <xf numFmtId="179" fontId="8" fillId="41" borderId="79" xfId="0" applyNumberFormat="1" applyFont="1" applyFill="1" applyBorder="1" applyAlignment="1">
      <alignment horizontal="right" vertical="center"/>
    </xf>
    <xf numFmtId="42" fontId="0" fillId="35" borderId="272" xfId="18" applyFont="1" applyFill="1" applyBorder="1" applyAlignment="1" applyProtection="1">
      <alignment horizontal="right" vertical="center"/>
    </xf>
    <xf numFmtId="42" fontId="0" fillId="35" borderId="410" xfId="18" applyFont="1" applyFill="1" applyBorder="1" applyAlignment="1" applyProtection="1">
      <alignment horizontal="right" vertical="center"/>
    </xf>
    <xf numFmtId="42" fontId="0" fillId="35" borderId="254" xfId="18" applyFont="1" applyFill="1" applyBorder="1" applyAlignment="1" applyProtection="1">
      <alignment horizontal="right" vertical="center"/>
    </xf>
    <xf numFmtId="0" fontId="0" fillId="21" borderId="0" xfId="0" applyFill="1" applyAlignment="1">
      <alignment horizontal="center" vertical="center"/>
    </xf>
    <xf numFmtId="181" fontId="0" fillId="54" borderId="267" xfId="7" applyNumberFormat="1" applyFont="1" applyFill="1" applyBorder="1" applyAlignment="1">
      <alignment vertical="center"/>
    </xf>
    <xf numFmtId="186" fontId="0" fillId="0" borderId="272" xfId="0" applyNumberFormat="1" applyBorder="1" applyAlignment="1">
      <alignment horizontal="right" vertical="center"/>
    </xf>
    <xf numFmtId="181" fontId="0" fillId="54" borderId="268" xfId="7" applyNumberFormat="1" applyFont="1" applyFill="1" applyBorder="1" applyAlignment="1">
      <alignment vertical="center"/>
    </xf>
    <xf numFmtId="186" fontId="0" fillId="0" borderId="323" xfId="0" applyNumberFormat="1" applyBorder="1" applyAlignment="1">
      <alignment horizontal="right" vertical="center"/>
    </xf>
    <xf numFmtId="181" fontId="0" fillId="54" borderId="54" xfId="7" applyNumberFormat="1" applyFont="1" applyFill="1" applyBorder="1" applyAlignment="1">
      <alignment vertical="center"/>
    </xf>
    <xf numFmtId="186" fontId="0" fillId="0" borderId="254" xfId="0" applyNumberFormat="1" applyBorder="1" applyAlignment="1">
      <alignment horizontal="right" vertical="center"/>
    </xf>
    <xf numFmtId="0" fontId="7" fillId="57" borderId="0" xfId="8" applyFill="1"/>
    <xf numFmtId="0" fontId="7" fillId="57" borderId="0" xfId="8" applyFill="1" applyAlignment="1">
      <alignment horizontal="left" vertical="center"/>
    </xf>
    <xf numFmtId="186" fontId="7" fillId="57" borderId="0" xfId="8" applyNumberFormat="1" applyFill="1"/>
    <xf numFmtId="186" fontId="34" fillId="58" borderId="27" xfId="8" applyNumberFormat="1" applyFont="1" applyFill="1" applyBorder="1" applyAlignment="1">
      <alignment horizontal="right" vertical="center"/>
    </xf>
    <xf numFmtId="0" fontId="7" fillId="0" borderId="0" xfId="8"/>
    <xf numFmtId="0" fontId="5" fillId="38" borderId="51" xfId="0" applyFont="1" applyFill="1" applyBorder="1" applyAlignment="1">
      <alignment horizontal="center" vertical="center" wrapText="1"/>
    </xf>
    <xf numFmtId="0" fontId="5" fillId="19" borderId="30" xfId="0" applyFont="1" applyFill="1" applyBorder="1" applyAlignment="1">
      <alignment horizontal="left" vertical="center"/>
    </xf>
    <xf numFmtId="168" fontId="5" fillId="38" borderId="31" xfId="0" applyNumberFormat="1" applyFont="1" applyFill="1" applyBorder="1" applyAlignment="1">
      <alignment horizontal="center" vertical="center" wrapText="1"/>
    </xf>
    <xf numFmtId="180" fontId="0" fillId="21" borderId="0" xfId="0" applyNumberFormat="1" applyFill="1"/>
    <xf numFmtId="181" fontId="0" fillId="21" borderId="0" xfId="0" applyNumberFormat="1" applyFill="1"/>
    <xf numFmtId="0" fontId="23" fillId="53" borderId="252" xfId="8" applyFont="1" applyFill="1" applyBorder="1" applyProtection="1">
      <protection locked="0"/>
    </xf>
    <xf numFmtId="0" fontId="7" fillId="53" borderId="30" xfId="8" applyFill="1" applyBorder="1" applyAlignment="1" applyProtection="1">
      <alignment horizontal="left" vertical="center"/>
      <protection locked="0"/>
    </xf>
    <xf numFmtId="181" fontId="0" fillId="53" borderId="30" xfId="7" applyNumberFormat="1" applyFont="1" applyFill="1" applyBorder="1" applyAlignment="1" applyProtection="1">
      <alignment vertical="center"/>
      <protection locked="0"/>
    </xf>
    <xf numFmtId="181" fontId="0" fillId="53" borderId="259" xfId="7" applyNumberFormat="1" applyFont="1" applyFill="1" applyBorder="1" applyAlignment="1" applyProtection="1">
      <alignment vertical="center"/>
      <protection locked="0"/>
    </xf>
    <xf numFmtId="166" fontId="4" fillId="0" borderId="0" xfId="9" applyFont="1" applyAlignment="1">
      <alignment vertical="center"/>
    </xf>
    <xf numFmtId="0" fontId="8" fillId="2" borderId="228" xfId="0" applyFont="1" applyFill="1" applyBorder="1" applyAlignment="1">
      <alignment horizontal="center" vertical="center"/>
    </xf>
    <xf numFmtId="0" fontId="24" fillId="21" borderId="0" xfId="0" applyFont="1" applyFill="1" applyAlignment="1">
      <alignment horizontal="left" vertical="center" indent="2"/>
    </xf>
    <xf numFmtId="0" fontId="17" fillId="21" borderId="0" xfId="0" applyFont="1" applyFill="1" applyAlignment="1">
      <alignment horizontal="left" vertical="center" indent="2"/>
    </xf>
    <xf numFmtId="179" fontId="5" fillId="41" borderId="229" xfId="0" applyNumberFormat="1" applyFont="1" applyFill="1" applyBorder="1" applyAlignment="1">
      <alignment horizontal="center" vertical="center"/>
    </xf>
    <xf numFmtId="172" fontId="5" fillId="8" borderId="229" xfId="9" applyNumberFormat="1" applyFont="1" applyFill="1" applyBorder="1" applyAlignment="1">
      <alignment horizontal="center" vertical="center"/>
    </xf>
    <xf numFmtId="0" fontId="31" fillId="21" borderId="0" xfId="0" applyFont="1" applyFill="1"/>
    <xf numFmtId="171" fontId="0" fillId="35" borderId="267" xfId="7" applyNumberFormat="1" applyFont="1" applyFill="1" applyBorder="1" applyAlignment="1">
      <alignment vertical="center"/>
    </xf>
    <xf numFmtId="171" fontId="0" fillId="35" borderId="268" xfId="7" applyNumberFormat="1" applyFont="1" applyFill="1" applyBorder="1" applyAlignment="1">
      <alignment vertical="center"/>
    </xf>
    <xf numFmtId="171" fontId="0" fillId="35" borderId="54" xfId="7" applyNumberFormat="1" applyFont="1" applyFill="1" applyBorder="1" applyAlignment="1">
      <alignment vertical="center"/>
    </xf>
    <xf numFmtId="171" fontId="0" fillId="35" borderId="254" xfId="7" applyNumberFormat="1" applyFont="1" applyFill="1" applyBorder="1" applyAlignment="1">
      <alignment vertical="center"/>
    </xf>
    <xf numFmtId="171" fontId="0" fillId="35" borderId="442" xfId="7" applyNumberFormat="1" applyFont="1" applyFill="1" applyBorder="1" applyAlignment="1">
      <alignment vertical="center"/>
    </xf>
    <xf numFmtId="42" fontId="0" fillId="0" borderId="0" xfId="3" applyFont="1" applyProtection="1"/>
    <xf numFmtId="171" fontId="0" fillId="35" borderId="338" xfId="7" applyNumberFormat="1" applyFont="1" applyFill="1" applyBorder="1" applyAlignment="1">
      <alignment vertical="center"/>
    </xf>
    <xf numFmtId="171" fontId="0" fillId="35" borderId="335" xfId="7" applyNumberFormat="1" applyFont="1" applyFill="1" applyBorder="1" applyAlignment="1">
      <alignment vertical="center"/>
    </xf>
    <xf numFmtId="171" fontId="0" fillId="35" borderId="320" xfId="7" applyNumberFormat="1" applyFont="1" applyFill="1" applyBorder="1" applyAlignment="1">
      <alignment vertical="center"/>
    </xf>
    <xf numFmtId="0" fontId="40" fillId="2" borderId="413" xfId="8" applyFont="1" applyFill="1" applyBorder="1" applyAlignment="1" applyProtection="1">
      <alignment vertical="center" wrapText="1"/>
      <protection locked="0"/>
    </xf>
    <xf numFmtId="0" fontId="40" fillId="2" borderId="413" xfId="0" applyFont="1" applyFill="1" applyBorder="1" applyProtection="1">
      <protection locked="0"/>
    </xf>
    <xf numFmtId="0" fontId="5" fillId="0" borderId="1" xfId="0" applyFont="1" applyBorder="1" applyAlignment="1">
      <alignment horizontal="center" vertical="center"/>
    </xf>
    <xf numFmtId="0" fontId="0" fillId="0" borderId="0" xfId="0" applyAlignment="1">
      <alignment horizontal="left" vertical="center" wrapText="1"/>
    </xf>
    <xf numFmtId="168" fontId="5" fillId="14" borderId="241" xfId="0" applyNumberFormat="1" applyFont="1" applyFill="1" applyBorder="1" applyAlignment="1">
      <alignment horizontal="center" vertical="center" wrapText="1"/>
    </xf>
    <xf numFmtId="168" fontId="5" fillId="14" borderId="238" xfId="0" applyNumberFormat="1" applyFont="1" applyFill="1" applyBorder="1" applyAlignment="1">
      <alignment horizontal="center" vertical="center" wrapText="1"/>
    </xf>
    <xf numFmtId="168" fontId="5" fillId="14" borderId="245" xfId="0" applyNumberFormat="1" applyFont="1" applyFill="1" applyBorder="1" applyAlignment="1">
      <alignment horizontal="center" vertical="center" wrapText="1"/>
    </xf>
    <xf numFmtId="0" fontId="5" fillId="7" borderId="217" xfId="0" applyFont="1" applyFill="1" applyBorder="1" applyAlignment="1">
      <alignment horizontal="center" vertical="center" wrapText="1"/>
    </xf>
    <xf numFmtId="0" fontId="5" fillId="7" borderId="238" xfId="0" applyFont="1" applyFill="1" applyBorder="1" applyAlignment="1">
      <alignment horizontal="center" vertical="center" wrapText="1"/>
    </xf>
    <xf numFmtId="0" fontId="5" fillId="7" borderId="218" xfId="0" applyFont="1" applyFill="1" applyBorder="1" applyAlignment="1">
      <alignment horizontal="center" vertical="center" wrapText="1"/>
    </xf>
    <xf numFmtId="0" fontId="5" fillId="7" borderId="318" xfId="0" applyFont="1" applyFill="1" applyBorder="1" applyAlignment="1">
      <alignment horizontal="center" vertical="center" wrapText="1"/>
    </xf>
    <xf numFmtId="0" fontId="5" fillId="3" borderId="321" xfId="0" applyFont="1" applyFill="1" applyBorder="1" applyAlignment="1">
      <alignment horizontal="center" vertical="center"/>
    </xf>
    <xf numFmtId="178" fontId="0" fillId="0" borderId="56" xfId="7" applyNumberFormat="1" applyFont="1" applyBorder="1" applyAlignment="1">
      <alignment vertical="center"/>
    </xf>
    <xf numFmtId="168" fontId="0" fillId="35" borderId="309" xfId="7" applyNumberFormat="1" applyFont="1" applyFill="1" applyBorder="1" applyAlignment="1">
      <alignment vertical="center"/>
    </xf>
    <xf numFmtId="168" fontId="0" fillId="35" borderId="295" xfId="7" applyNumberFormat="1" applyFont="1" applyFill="1" applyBorder="1" applyAlignment="1">
      <alignment vertical="center"/>
    </xf>
    <xf numFmtId="168" fontId="0" fillId="35" borderId="296" xfId="7" applyNumberFormat="1" applyFont="1" applyFill="1" applyBorder="1" applyAlignment="1">
      <alignment vertical="center"/>
    </xf>
    <xf numFmtId="184" fontId="7" fillId="46" borderId="66" xfId="9" applyNumberFormat="1" applyFill="1" applyBorder="1" applyAlignment="1">
      <alignment horizontal="center" vertical="center"/>
    </xf>
    <xf numFmtId="184" fontId="7" fillId="46" borderId="274" xfId="9" applyNumberFormat="1" applyFill="1" applyBorder="1" applyAlignment="1">
      <alignment horizontal="center" vertical="center"/>
    </xf>
    <xf numFmtId="184" fontId="7" fillId="46" borderId="266" xfId="9" applyNumberFormat="1" applyFill="1" applyBorder="1" applyAlignment="1">
      <alignment horizontal="center" vertical="center"/>
    </xf>
    <xf numFmtId="168" fontId="0" fillId="35" borderId="311" xfId="7" applyNumberFormat="1" applyFont="1" applyFill="1" applyBorder="1" applyAlignment="1">
      <alignment vertical="center"/>
    </xf>
    <xf numFmtId="178" fontId="0" fillId="0" borderId="330" xfId="7" applyNumberFormat="1" applyFont="1" applyBorder="1" applyAlignment="1">
      <alignment vertical="center"/>
    </xf>
    <xf numFmtId="168" fontId="0" fillId="35" borderId="315" xfId="7" applyNumberFormat="1" applyFont="1" applyFill="1" applyBorder="1" applyAlignment="1">
      <alignment vertical="center"/>
    </xf>
    <xf numFmtId="168" fontId="0" fillId="35" borderId="306" xfId="7" applyNumberFormat="1" applyFont="1" applyFill="1" applyBorder="1" applyAlignment="1">
      <alignment vertical="center"/>
    </xf>
    <xf numFmtId="168" fontId="0" fillId="35" borderId="314" xfId="7" applyNumberFormat="1" applyFont="1" applyFill="1" applyBorder="1" applyAlignment="1">
      <alignment vertical="center"/>
    </xf>
    <xf numFmtId="184" fontId="7" fillId="46" borderId="248" xfId="9" applyNumberFormat="1" applyFill="1" applyBorder="1" applyAlignment="1">
      <alignment horizontal="center" vertical="center"/>
    </xf>
    <xf numFmtId="184" fontId="7" fillId="46" borderId="252" xfId="9" applyNumberFormat="1" applyFill="1" applyBorder="1" applyAlignment="1">
      <alignment horizontal="center" vertical="center"/>
    </xf>
    <xf numFmtId="184" fontId="7" fillId="46" borderId="313" xfId="9" applyNumberFormat="1" applyFill="1" applyBorder="1" applyAlignment="1">
      <alignment horizontal="center" vertical="center"/>
    </xf>
    <xf numFmtId="168" fontId="0" fillId="35" borderId="326" xfId="7" applyNumberFormat="1" applyFont="1" applyFill="1" applyBorder="1" applyAlignment="1">
      <alignment vertical="center"/>
    </xf>
    <xf numFmtId="178" fontId="5" fillId="0" borderId="330" xfId="7" applyNumberFormat="1" applyFont="1" applyBorder="1" applyAlignment="1">
      <alignment vertical="center"/>
    </xf>
    <xf numFmtId="168" fontId="0" fillId="33" borderId="315" xfId="7" applyNumberFormat="1" applyFont="1" applyFill="1" applyBorder="1" applyAlignment="1">
      <alignment vertical="center"/>
    </xf>
    <xf numFmtId="168" fontId="0" fillId="33" borderId="306" xfId="7" applyNumberFormat="1" applyFont="1" applyFill="1" applyBorder="1" applyAlignment="1">
      <alignment vertical="center"/>
    </xf>
    <xf numFmtId="168" fontId="0" fillId="33" borderId="314" xfId="7" applyNumberFormat="1" applyFont="1" applyFill="1" applyBorder="1" applyAlignment="1">
      <alignment vertical="center"/>
    </xf>
    <xf numFmtId="184" fontId="7" fillId="47" borderId="248" xfId="9" applyNumberFormat="1" applyFill="1" applyBorder="1" applyAlignment="1">
      <alignment horizontal="center" vertical="center"/>
    </xf>
    <xf numFmtId="184" fontId="7" fillId="47" borderId="252" xfId="9" applyNumberFormat="1" applyFill="1" applyBorder="1" applyAlignment="1">
      <alignment horizontal="center" vertical="center"/>
    </xf>
    <xf numFmtId="184" fontId="7" fillId="47" borderId="313" xfId="9" applyNumberFormat="1" applyFill="1" applyBorder="1" applyAlignment="1">
      <alignment horizontal="center" vertical="center"/>
    </xf>
    <xf numFmtId="168" fontId="0" fillId="33" borderId="326" xfId="7" applyNumberFormat="1" applyFont="1" applyFill="1" applyBorder="1" applyAlignment="1">
      <alignment vertical="center"/>
    </xf>
    <xf numFmtId="178" fontId="0" fillId="0" borderId="330" xfId="7" applyNumberFormat="1" applyFont="1" applyBorder="1" applyAlignment="1">
      <alignment horizontal="right" vertical="center"/>
    </xf>
    <xf numFmtId="178" fontId="0" fillId="0" borderId="331" xfId="7" applyNumberFormat="1" applyFont="1" applyBorder="1" applyAlignment="1">
      <alignment horizontal="right" vertical="center"/>
    </xf>
    <xf numFmtId="168" fontId="0" fillId="35" borderId="307" xfId="7" applyNumberFormat="1" applyFont="1" applyFill="1" applyBorder="1" applyAlignment="1">
      <alignment vertical="center"/>
    </xf>
    <xf numFmtId="184" fontId="7" fillId="46" borderId="321" xfId="9" applyNumberFormat="1" applyFill="1" applyBorder="1" applyAlignment="1">
      <alignment horizontal="center" vertical="center"/>
    </xf>
    <xf numFmtId="184" fontId="7" fillId="46" borderId="30" xfId="9" applyNumberFormat="1" applyFill="1" applyBorder="1" applyAlignment="1">
      <alignment horizontal="center" vertical="center"/>
    </xf>
    <xf numFmtId="184" fontId="7" fillId="46" borderId="317" xfId="9" applyNumberFormat="1" applyFill="1" applyBorder="1" applyAlignment="1">
      <alignment horizontal="center" vertical="center"/>
    </xf>
    <xf numFmtId="168" fontId="0" fillId="35" borderId="219" xfId="7" applyNumberFormat="1" applyFont="1" applyFill="1" applyBorder="1" applyAlignment="1">
      <alignment vertical="center"/>
    </xf>
    <xf numFmtId="168" fontId="0" fillId="35" borderId="254" xfId="7" applyNumberFormat="1" applyFont="1" applyFill="1" applyBorder="1" applyAlignment="1">
      <alignment vertical="center"/>
    </xf>
    <xf numFmtId="168" fontId="0" fillId="35" borderId="276" xfId="7" applyNumberFormat="1" applyFont="1" applyFill="1" applyBorder="1" applyAlignment="1">
      <alignment vertical="center"/>
    </xf>
    <xf numFmtId="178" fontId="0" fillId="0" borderId="236" xfId="7" applyNumberFormat="1" applyFont="1" applyBorder="1" applyAlignment="1">
      <alignment vertical="center"/>
    </xf>
    <xf numFmtId="184" fontId="7" fillId="46" borderId="297" xfId="9" applyNumberFormat="1" applyFill="1" applyBorder="1" applyAlignment="1">
      <alignment horizontal="center" vertical="center"/>
    </xf>
    <xf numFmtId="184" fontId="7" fillId="46" borderId="298" xfId="9" applyNumberFormat="1" applyFill="1" applyBorder="1" applyAlignment="1">
      <alignment horizontal="center" vertical="center"/>
    </xf>
    <xf numFmtId="184" fontId="7" fillId="46" borderId="299" xfId="9" applyNumberFormat="1" applyFill="1" applyBorder="1" applyAlignment="1">
      <alignment horizontal="center" vertical="center"/>
    </xf>
    <xf numFmtId="184" fontId="7" fillId="46" borderId="300" xfId="9" applyNumberFormat="1" applyFill="1" applyBorder="1" applyAlignment="1">
      <alignment horizontal="center" vertical="center"/>
    </xf>
    <xf numFmtId="184" fontId="7" fillId="46" borderId="301" xfId="9" applyNumberFormat="1" applyFill="1" applyBorder="1" applyAlignment="1">
      <alignment horizontal="center" vertical="center"/>
    </xf>
    <xf numFmtId="184" fontId="7" fillId="46" borderId="302" xfId="9" applyNumberFormat="1" applyFill="1" applyBorder="1" applyAlignment="1">
      <alignment horizontal="center" vertical="center"/>
    </xf>
    <xf numFmtId="184" fontId="7" fillId="46" borderId="303" xfId="9" applyNumberFormat="1" applyFill="1" applyBorder="1" applyAlignment="1">
      <alignment horizontal="center" vertical="center"/>
    </xf>
    <xf numFmtId="184" fontId="7" fillId="46" borderId="304" xfId="9" applyNumberFormat="1" applyFill="1" applyBorder="1" applyAlignment="1">
      <alignment horizontal="center" vertical="center"/>
    </xf>
    <xf numFmtId="184" fontId="7" fillId="47" borderId="305" xfId="9" applyNumberFormat="1" applyFill="1" applyBorder="1" applyAlignment="1">
      <alignment horizontal="center" vertical="center"/>
    </xf>
    <xf numFmtId="184" fontId="7" fillId="46" borderId="305" xfId="9" applyNumberFormat="1" applyFill="1" applyBorder="1" applyAlignment="1">
      <alignment horizontal="center" vertical="center"/>
    </xf>
    <xf numFmtId="178" fontId="0" fillId="0" borderId="331" xfId="7" applyNumberFormat="1" applyFont="1" applyBorder="1" applyAlignment="1">
      <alignment vertical="center"/>
    </xf>
    <xf numFmtId="184" fontId="7" fillId="46" borderId="308" xfId="9" applyNumberFormat="1" applyFill="1" applyBorder="1" applyAlignment="1">
      <alignment horizontal="center" vertical="center"/>
    </xf>
    <xf numFmtId="184" fontId="7" fillId="46" borderId="295" xfId="9" applyNumberFormat="1" applyFill="1" applyBorder="1" applyAlignment="1">
      <alignment horizontal="center" vertical="center"/>
    </xf>
    <xf numFmtId="184" fontId="7" fillId="46" borderId="306" xfId="9" applyNumberFormat="1" applyFill="1" applyBorder="1" applyAlignment="1">
      <alignment horizontal="center" vertical="center"/>
    </xf>
    <xf numFmtId="168" fontId="0" fillId="35" borderId="312" xfId="7" applyNumberFormat="1" applyFont="1" applyFill="1" applyBorder="1" applyAlignment="1">
      <alignment vertical="center"/>
    </xf>
    <xf numFmtId="168" fontId="0" fillId="35" borderId="322" xfId="7" applyNumberFormat="1" applyFont="1" applyFill="1" applyBorder="1" applyAlignment="1">
      <alignment vertical="center"/>
    </xf>
    <xf numFmtId="184" fontId="7" fillId="46" borderId="316" xfId="9" applyNumberFormat="1" applyFill="1" applyBorder="1" applyAlignment="1">
      <alignment horizontal="center" vertical="center"/>
    </xf>
    <xf numFmtId="184" fontId="7" fillId="46" borderId="237" xfId="9" applyNumberFormat="1" applyFill="1" applyBorder="1" applyAlignment="1">
      <alignment horizontal="center" vertical="center"/>
    </xf>
    <xf numFmtId="184" fontId="7" fillId="46" borderId="312" xfId="9" applyNumberFormat="1" applyFill="1" applyBorder="1" applyAlignment="1">
      <alignment horizontal="center" vertical="center"/>
    </xf>
    <xf numFmtId="184" fontId="7" fillId="46" borderId="288" xfId="9" applyNumberFormat="1" applyFill="1" applyBorder="1" applyAlignment="1">
      <alignment horizontal="center" vertical="center"/>
    </xf>
    <xf numFmtId="184" fontId="7" fillId="46" borderId="243" xfId="9" applyNumberFormat="1" applyFill="1" applyBorder="1" applyAlignment="1">
      <alignment horizontal="center" vertical="center"/>
    </xf>
    <xf numFmtId="184" fontId="7" fillId="47" borderId="243" xfId="9" applyNumberFormat="1" applyFill="1" applyBorder="1" applyAlignment="1">
      <alignment horizontal="center" vertical="center"/>
    </xf>
    <xf numFmtId="178" fontId="0" fillId="0" borderId="69" xfId="7" applyNumberFormat="1" applyFont="1" applyBorder="1" applyAlignment="1">
      <alignment horizontal="right" vertical="center"/>
    </xf>
    <xf numFmtId="184" fontId="7" fillId="46" borderId="217" xfId="9" applyNumberFormat="1" applyFill="1" applyBorder="1" applyAlignment="1">
      <alignment horizontal="center" vertical="center"/>
    </xf>
    <xf numFmtId="184" fontId="7" fillId="46" borderId="238" xfId="9" applyNumberFormat="1" applyFill="1" applyBorder="1" applyAlignment="1">
      <alignment horizontal="center" vertical="center"/>
    </xf>
    <xf numFmtId="184" fontId="7" fillId="46" borderId="218" xfId="9" applyNumberFormat="1" applyFill="1" applyBorder="1" applyAlignment="1">
      <alignment horizontal="center" vertical="center"/>
    </xf>
    <xf numFmtId="178" fontId="0" fillId="0" borderId="40" xfId="7" applyNumberFormat="1" applyFont="1" applyBorder="1" applyAlignment="1">
      <alignment vertical="center"/>
    </xf>
    <xf numFmtId="168" fontId="0" fillId="35" borderId="412" xfId="7" applyNumberFormat="1" applyFont="1" applyFill="1" applyBorder="1" applyAlignment="1">
      <alignment vertical="center"/>
    </xf>
    <xf numFmtId="168" fontId="0" fillId="35" borderId="409" xfId="7" applyNumberFormat="1" applyFont="1" applyFill="1" applyBorder="1" applyAlignment="1">
      <alignment vertical="center"/>
    </xf>
    <xf numFmtId="184" fontId="7" fillId="47" borderId="306" xfId="9" applyNumberFormat="1" applyFill="1" applyBorder="1" applyAlignment="1">
      <alignment horizontal="center" vertical="center"/>
    </xf>
    <xf numFmtId="168" fontId="0" fillId="33" borderId="409" xfId="7" applyNumberFormat="1" applyFont="1" applyFill="1" applyBorder="1" applyAlignment="1">
      <alignment vertical="center"/>
    </xf>
    <xf numFmtId="168" fontId="0" fillId="35" borderId="260" xfId="7" applyNumberFormat="1" applyFont="1" applyFill="1" applyBorder="1" applyAlignment="1">
      <alignment vertical="center"/>
    </xf>
    <xf numFmtId="178" fontId="0" fillId="0" borderId="69" xfId="7" applyNumberFormat="1" applyFont="1" applyBorder="1" applyAlignment="1">
      <alignment vertical="center"/>
    </xf>
    <xf numFmtId="178" fontId="0" fillId="0" borderId="194" xfId="7" applyNumberFormat="1" applyFont="1" applyBorder="1" applyAlignment="1">
      <alignment vertical="center"/>
    </xf>
    <xf numFmtId="0" fontId="13" fillId="0" borderId="19" xfId="0" applyFont="1" applyBorder="1" applyAlignment="1">
      <alignment horizontal="center" vertical="center" wrapText="1"/>
    </xf>
    <xf numFmtId="178" fontId="0" fillId="0" borderId="0" xfId="7" applyNumberFormat="1" applyFont="1" applyAlignment="1">
      <alignment vertical="center"/>
    </xf>
    <xf numFmtId="168" fontId="0" fillId="35" borderId="261" xfId="7" applyNumberFormat="1" applyFont="1" applyFill="1" applyBorder="1" applyAlignment="1">
      <alignment vertical="center"/>
    </xf>
    <xf numFmtId="168" fontId="0" fillId="35" borderId="262" xfId="7" applyNumberFormat="1" applyFont="1" applyFill="1" applyBorder="1" applyAlignment="1">
      <alignment vertical="center"/>
    </xf>
    <xf numFmtId="168" fontId="0" fillId="35" borderId="247" xfId="7" applyNumberFormat="1" applyFont="1" applyFill="1" applyBorder="1" applyAlignment="1">
      <alignment vertical="center"/>
    </xf>
    <xf numFmtId="184" fontId="7" fillId="46" borderId="293" xfId="9" applyNumberFormat="1" applyFill="1" applyBorder="1" applyAlignment="1">
      <alignment horizontal="center" vertical="center"/>
    </xf>
    <xf numFmtId="184" fontId="7" fillId="46" borderId="262" xfId="9" applyNumberFormat="1" applyFill="1" applyBorder="1" applyAlignment="1">
      <alignment horizontal="center" vertical="center"/>
    </xf>
    <xf numFmtId="184" fontId="7" fillId="46" borderId="294" xfId="9" applyNumberFormat="1" applyFill="1" applyBorder="1" applyAlignment="1">
      <alignment horizontal="center" vertical="center"/>
    </xf>
    <xf numFmtId="168" fontId="0" fillId="35" borderId="19" xfId="7" applyNumberFormat="1" applyFont="1" applyFill="1" applyBorder="1" applyAlignment="1">
      <alignment vertical="center"/>
    </xf>
    <xf numFmtId="168" fontId="0" fillId="35" borderId="199" xfId="7" applyNumberFormat="1" applyFont="1" applyFill="1" applyBorder="1" applyAlignment="1">
      <alignment vertical="center"/>
    </xf>
    <xf numFmtId="168" fontId="0" fillId="35" borderId="404" xfId="7" applyNumberFormat="1" applyFont="1" applyFill="1" applyBorder="1" applyAlignment="1">
      <alignment vertical="center"/>
    </xf>
    <xf numFmtId="184" fontId="7" fillId="46" borderId="405" xfId="9" applyNumberFormat="1" applyFill="1" applyBorder="1" applyAlignment="1">
      <alignment horizontal="center" vertical="center"/>
    </xf>
    <xf numFmtId="184" fontId="7" fillId="46" borderId="199" xfId="9" applyNumberFormat="1" applyFill="1" applyBorder="1" applyAlignment="1">
      <alignment horizontal="center" vertical="center"/>
    </xf>
    <xf numFmtId="184" fontId="7" fillId="46" borderId="200" xfId="9" applyNumberFormat="1" applyFill="1" applyBorder="1" applyAlignment="1">
      <alignment horizontal="center" vertical="center"/>
    </xf>
    <xf numFmtId="168" fontId="0" fillId="35" borderId="16" xfId="7" applyNumberFormat="1" applyFont="1" applyFill="1" applyBorder="1" applyAlignment="1">
      <alignment vertical="center"/>
    </xf>
    <xf numFmtId="178" fontId="0" fillId="0" borderId="82" xfId="7" applyNumberFormat="1" applyFont="1" applyBorder="1" applyAlignment="1">
      <alignment vertical="center"/>
    </xf>
    <xf numFmtId="168" fontId="0" fillId="35" borderId="77" xfId="7" applyNumberFormat="1" applyFont="1" applyFill="1" applyBorder="1" applyAlignment="1">
      <alignment vertical="center"/>
    </xf>
    <xf numFmtId="184" fontId="7" fillId="46" borderId="226" xfId="9" applyNumberFormat="1" applyFill="1" applyBorder="1" applyAlignment="1">
      <alignment horizontal="center" vertical="center"/>
    </xf>
    <xf numFmtId="184" fontId="7" fillId="46" borderId="78" xfId="9" applyNumberFormat="1" applyFill="1" applyBorder="1" applyAlignment="1">
      <alignment horizontal="center" vertical="center"/>
    </xf>
    <xf numFmtId="184" fontId="7" fillId="46" borderId="257" xfId="9" applyNumberFormat="1" applyFill="1" applyBorder="1" applyAlignment="1">
      <alignment horizontal="center" vertical="center"/>
    </xf>
    <xf numFmtId="168" fontId="0" fillId="35" borderId="81" xfId="7" applyNumberFormat="1" applyFont="1" applyFill="1" applyBorder="1" applyAlignment="1">
      <alignment vertical="center"/>
    </xf>
    <xf numFmtId="168" fontId="5" fillId="12" borderId="0" xfId="2" applyNumberFormat="1" applyFont="1" applyFill="1" applyBorder="1" applyAlignment="1" applyProtection="1">
      <alignment vertical="center"/>
      <protection locked="0"/>
    </xf>
    <xf numFmtId="9" fontId="0" fillId="0" borderId="0" xfId="4" applyFont="1" applyAlignment="1">
      <alignment horizontal="center"/>
    </xf>
    <xf numFmtId="168" fontId="5" fillId="3" borderId="443" xfId="0" applyNumberFormat="1" applyFont="1" applyFill="1" applyBorder="1" applyAlignment="1">
      <alignment horizontal="center" vertical="center" wrapText="1"/>
    </xf>
    <xf numFmtId="168" fontId="5" fillId="3" borderId="444" xfId="0" applyNumberFormat="1" applyFont="1" applyFill="1" applyBorder="1" applyAlignment="1">
      <alignment horizontal="center" vertical="center" wrapText="1"/>
    </xf>
    <xf numFmtId="168" fontId="5" fillId="3" borderId="445" xfId="0" applyNumberFormat="1" applyFont="1" applyFill="1" applyBorder="1" applyAlignment="1">
      <alignment horizontal="center" vertical="center" wrapText="1"/>
    </xf>
    <xf numFmtId="171" fontId="0" fillId="0" borderId="446" xfId="2" applyNumberFormat="1" applyFont="1" applyFill="1" applyBorder="1" applyAlignment="1" applyProtection="1">
      <alignment vertical="center"/>
    </xf>
    <xf numFmtId="171" fontId="0" fillId="0" borderId="447" xfId="2" applyNumberFormat="1" applyFont="1" applyFill="1" applyBorder="1" applyAlignment="1" applyProtection="1">
      <alignment vertical="center"/>
    </xf>
    <xf numFmtId="171" fontId="0" fillId="0" borderId="448" xfId="2" applyNumberFormat="1" applyFont="1" applyFill="1" applyBorder="1" applyAlignment="1" applyProtection="1">
      <alignment vertical="center"/>
    </xf>
    <xf numFmtId="171" fontId="0" fillId="2" borderId="446" xfId="2" applyNumberFormat="1" applyFont="1" applyFill="1" applyBorder="1" applyAlignment="1" applyProtection="1">
      <alignment vertical="center"/>
    </xf>
    <xf numFmtId="171" fontId="0" fillId="2" borderId="447" xfId="2" applyNumberFormat="1" applyFont="1" applyFill="1" applyBorder="1" applyAlignment="1" applyProtection="1">
      <alignment vertical="center"/>
    </xf>
    <xf numFmtId="168" fontId="0" fillId="1" borderId="447" xfId="2" applyNumberFormat="1" applyFont="1" applyFill="1" applyBorder="1" applyAlignment="1" applyProtection="1">
      <alignment vertical="center"/>
    </xf>
    <xf numFmtId="168" fontId="0" fillId="1" borderId="448" xfId="2" applyNumberFormat="1" applyFont="1" applyFill="1" applyBorder="1" applyAlignment="1" applyProtection="1">
      <alignment vertical="center"/>
    </xf>
    <xf numFmtId="168" fontId="0" fillId="1" borderId="446" xfId="2" applyNumberFormat="1" applyFont="1" applyFill="1" applyBorder="1" applyAlignment="1" applyProtection="1">
      <alignment vertical="center"/>
    </xf>
    <xf numFmtId="171" fontId="0" fillId="1" borderId="446" xfId="2" applyNumberFormat="1" applyFont="1" applyFill="1" applyBorder="1" applyAlignment="1" applyProtection="1">
      <alignment vertical="center"/>
    </xf>
    <xf numFmtId="171" fontId="0" fillId="1" borderId="449" xfId="2" applyNumberFormat="1" applyFont="1" applyFill="1" applyBorder="1" applyAlignment="1" applyProtection="1">
      <alignment vertical="center"/>
    </xf>
    <xf numFmtId="171" fontId="0" fillId="0" borderId="450" xfId="2" applyNumberFormat="1" applyFont="1" applyFill="1" applyBorder="1" applyAlignment="1" applyProtection="1">
      <alignment vertical="center"/>
    </xf>
    <xf numFmtId="171" fontId="0" fillId="0" borderId="451" xfId="2" applyNumberFormat="1" applyFont="1" applyFill="1" applyBorder="1" applyAlignment="1" applyProtection="1">
      <alignment vertical="center"/>
    </xf>
    <xf numFmtId="171" fontId="0" fillId="0" borderId="398" xfId="2" applyNumberFormat="1" applyFont="1" applyFill="1" applyBorder="1" applyAlignment="1" applyProtection="1">
      <alignment vertical="center"/>
    </xf>
    <xf numFmtId="171" fontId="0" fillId="0" borderId="430" xfId="2" applyNumberFormat="1" applyFont="1" applyFill="1" applyBorder="1" applyAlignment="1" applyProtection="1">
      <alignment vertical="center"/>
    </xf>
    <xf numFmtId="171" fontId="0" fillId="0" borderId="399" xfId="2" applyNumberFormat="1" applyFont="1" applyFill="1" applyBorder="1" applyAlignment="1" applyProtection="1">
      <alignment vertical="center"/>
    </xf>
    <xf numFmtId="171" fontId="0" fillId="0" borderId="436" xfId="2" applyNumberFormat="1" applyFont="1" applyFill="1" applyBorder="1" applyAlignment="1" applyProtection="1">
      <alignment vertical="center"/>
    </xf>
    <xf numFmtId="171" fontId="0" fillId="2" borderId="436" xfId="2" applyNumberFormat="1" applyFont="1" applyFill="1" applyBorder="1" applyAlignment="1" applyProtection="1">
      <alignment vertical="center"/>
    </xf>
    <xf numFmtId="168" fontId="0" fillId="2" borderId="436" xfId="2" applyNumberFormat="1" applyFont="1" applyFill="1" applyBorder="1" applyAlignment="1" applyProtection="1">
      <alignment vertical="center"/>
    </xf>
    <xf numFmtId="168" fontId="0" fillId="59" borderId="436" xfId="2" applyNumberFormat="1" applyFont="1" applyFill="1" applyBorder="1" applyAlignment="1" applyProtection="1">
      <alignment vertical="center"/>
    </xf>
    <xf numFmtId="168" fontId="0" fillId="1" borderId="441" xfId="2" applyNumberFormat="1" applyFont="1" applyFill="1" applyBorder="1" applyAlignment="1" applyProtection="1">
      <alignment vertical="center"/>
    </xf>
    <xf numFmtId="171" fontId="0" fillId="1" borderId="420" xfId="2" applyNumberFormat="1" applyFont="1" applyFill="1" applyBorder="1" applyAlignment="1" applyProtection="1">
      <alignment vertical="center"/>
    </xf>
    <xf numFmtId="171" fontId="0" fillId="1" borderId="441" xfId="2" applyNumberFormat="1" applyFont="1" applyFill="1" applyBorder="1" applyAlignment="1" applyProtection="1">
      <alignment vertical="center"/>
    </xf>
    <xf numFmtId="171" fontId="0" fillId="1" borderId="443" xfId="2" applyNumberFormat="1" applyFont="1" applyFill="1" applyBorder="1" applyAlignment="1" applyProtection="1">
      <alignment vertical="center"/>
    </xf>
    <xf numFmtId="171" fontId="0" fillId="0" borderId="444" xfId="2" applyNumberFormat="1" applyFont="1" applyFill="1" applyBorder="1" applyAlignment="1" applyProtection="1">
      <alignment vertical="center"/>
    </xf>
    <xf numFmtId="171" fontId="0" fillId="0" borderId="445" xfId="2" applyNumberFormat="1" applyFont="1" applyFill="1" applyBorder="1" applyAlignment="1" applyProtection="1">
      <alignment vertical="center"/>
    </xf>
    <xf numFmtId="171" fontId="0" fillId="61" borderId="420" xfId="2" applyNumberFormat="1" applyFont="1" applyFill="1" applyBorder="1" applyAlignment="1" applyProtection="1">
      <alignment vertical="center"/>
    </xf>
    <xf numFmtId="171" fontId="0" fillId="61" borderId="422" xfId="2" applyNumberFormat="1" applyFont="1" applyFill="1" applyBorder="1" applyAlignment="1" applyProtection="1">
      <alignment vertical="center"/>
    </xf>
    <xf numFmtId="171" fontId="0" fillId="61" borderId="423" xfId="2" applyNumberFormat="1" applyFont="1" applyFill="1" applyBorder="1" applyAlignment="1" applyProtection="1">
      <alignment vertical="center"/>
    </xf>
    <xf numFmtId="171" fontId="0" fillId="61" borderId="447" xfId="2" applyNumberFormat="1" applyFont="1" applyFill="1" applyBorder="1" applyAlignment="1" applyProtection="1">
      <alignment vertical="center"/>
    </xf>
    <xf numFmtId="171" fontId="0" fillId="61" borderId="448" xfId="2" applyNumberFormat="1" applyFont="1" applyFill="1" applyBorder="1" applyAlignment="1" applyProtection="1">
      <alignment vertical="center"/>
    </xf>
    <xf numFmtId="171" fontId="30" fillId="63" borderId="447" xfId="2" applyNumberFormat="1" applyFont="1" applyFill="1" applyBorder="1" applyAlignment="1" applyProtection="1">
      <alignment vertical="center"/>
    </xf>
    <xf numFmtId="0" fontId="0" fillId="74" borderId="447" xfId="0" applyFill="1" applyBorder="1"/>
    <xf numFmtId="0" fontId="0" fillId="74" borderId="448" xfId="0" applyFill="1" applyBorder="1"/>
    <xf numFmtId="171" fontId="0" fillId="74" borderId="447" xfId="2" applyNumberFormat="1" applyFont="1" applyFill="1" applyBorder="1" applyAlignment="1" applyProtection="1">
      <alignment vertical="center"/>
    </xf>
    <xf numFmtId="171" fontId="0" fillId="74" borderId="448" xfId="2" applyNumberFormat="1" applyFont="1" applyFill="1" applyBorder="1" applyAlignment="1" applyProtection="1">
      <alignment vertical="center"/>
    </xf>
    <xf numFmtId="171" fontId="0" fillId="63" borderId="447" xfId="2" applyNumberFormat="1" applyFont="1" applyFill="1" applyBorder="1" applyAlignment="1" applyProtection="1">
      <alignment vertical="center"/>
    </xf>
    <xf numFmtId="171" fontId="0" fillId="63" borderId="448" xfId="2" applyNumberFormat="1" applyFont="1" applyFill="1" applyBorder="1" applyAlignment="1" applyProtection="1">
      <alignment vertical="center"/>
    </xf>
    <xf numFmtId="171" fontId="0" fillId="60" borderId="447" xfId="2" applyNumberFormat="1" applyFont="1" applyFill="1" applyBorder="1" applyAlignment="1" applyProtection="1">
      <alignment vertical="center"/>
    </xf>
    <xf numFmtId="171" fontId="0" fillId="75" borderId="447" xfId="2" applyNumberFormat="1" applyFont="1" applyFill="1" applyBorder="1" applyAlignment="1" applyProtection="1">
      <alignment vertical="center"/>
    </xf>
    <xf numFmtId="171" fontId="0" fillId="75" borderId="448" xfId="2" applyNumberFormat="1" applyFont="1" applyFill="1" applyBorder="1" applyAlignment="1" applyProtection="1">
      <alignment vertical="center"/>
    </xf>
    <xf numFmtId="171" fontId="0" fillId="60" borderId="448" xfId="2" applyNumberFormat="1" applyFont="1" applyFill="1" applyBorder="1" applyAlignment="1" applyProtection="1">
      <alignment vertical="center"/>
    </xf>
    <xf numFmtId="171" fontId="0" fillId="1" borderId="398" xfId="2" applyNumberFormat="1" applyFont="1" applyFill="1" applyBorder="1" applyAlignment="1" applyProtection="1">
      <alignment vertical="center"/>
    </xf>
    <xf numFmtId="168" fontId="0" fillId="59" borderId="447" xfId="2" applyNumberFormat="1" applyFont="1" applyFill="1" applyBorder="1" applyAlignment="1" applyProtection="1">
      <alignment vertical="center"/>
    </xf>
    <xf numFmtId="168" fontId="0" fillId="59" borderId="448" xfId="2" applyNumberFormat="1" applyFont="1" applyFill="1" applyBorder="1" applyAlignment="1" applyProtection="1">
      <alignment vertical="center"/>
    </xf>
    <xf numFmtId="168" fontId="0" fillId="59" borderId="413" xfId="2" applyNumberFormat="1" applyFont="1" applyFill="1" applyBorder="1" applyAlignment="1" applyProtection="1">
      <alignment vertical="center"/>
    </xf>
    <xf numFmtId="168" fontId="0" fillId="1" borderId="420" xfId="2" applyNumberFormat="1" applyFont="1" applyFill="1" applyBorder="1" applyAlignment="1" applyProtection="1">
      <alignment vertical="center"/>
    </xf>
    <xf numFmtId="171" fontId="0" fillId="67" borderId="413" xfId="2" applyNumberFormat="1" applyFont="1" applyFill="1" applyBorder="1" applyAlignment="1" applyProtection="1">
      <alignment vertical="center"/>
    </xf>
    <xf numFmtId="42" fontId="0" fillId="37" borderId="447" xfId="3" applyFont="1" applyFill="1" applyBorder="1" applyAlignment="1" applyProtection="1">
      <alignment vertical="center"/>
    </xf>
    <xf numFmtId="171" fontId="0" fillId="67" borderId="447" xfId="2" applyNumberFormat="1" applyFont="1" applyFill="1" applyBorder="1" applyAlignment="1" applyProtection="1">
      <alignment vertical="center"/>
    </xf>
    <xf numFmtId="171" fontId="0" fillId="67" borderId="448" xfId="2" applyNumberFormat="1" applyFont="1" applyFill="1" applyBorder="1" applyAlignment="1" applyProtection="1">
      <alignment vertical="center"/>
    </xf>
    <xf numFmtId="171" fontId="0" fillId="0" borderId="441" xfId="2" applyNumberFormat="1" applyFont="1" applyFill="1" applyBorder="1" applyAlignment="1" applyProtection="1">
      <alignment vertical="center"/>
    </xf>
    <xf numFmtId="171" fontId="0" fillId="0" borderId="427" xfId="2" applyNumberFormat="1" applyFont="1" applyFill="1" applyBorder="1" applyAlignment="1" applyProtection="1">
      <alignment vertical="center"/>
    </xf>
    <xf numFmtId="171" fontId="0" fillId="0" borderId="428" xfId="2" applyNumberFormat="1" applyFont="1" applyFill="1" applyBorder="1" applyAlignment="1" applyProtection="1">
      <alignment vertical="center"/>
    </xf>
    <xf numFmtId="171" fontId="0" fillId="0" borderId="199" xfId="2" applyNumberFormat="1" applyFont="1" applyFill="1" applyBorder="1" applyAlignment="1" applyProtection="1">
      <alignment vertical="center"/>
    </xf>
    <xf numFmtId="171" fontId="0" fillId="0" borderId="404" xfId="2" applyNumberFormat="1" applyFont="1" applyFill="1" applyBorder="1" applyAlignment="1" applyProtection="1">
      <alignment vertical="center"/>
    </xf>
    <xf numFmtId="0" fontId="2" fillId="63" borderId="0" xfId="0" applyFont="1" applyFill="1" applyAlignment="1">
      <alignment horizontal="center"/>
    </xf>
    <xf numFmtId="42" fontId="0" fillId="25" borderId="420" xfId="3" applyFont="1" applyFill="1" applyBorder="1"/>
    <xf numFmtId="42" fontId="0" fillId="25" borderId="423" xfId="3" applyFont="1" applyFill="1" applyBorder="1"/>
    <xf numFmtId="42" fontId="0" fillId="25" borderId="413" xfId="3" applyFont="1" applyFill="1" applyBorder="1"/>
    <xf numFmtId="42" fontId="0" fillId="25" borderId="448" xfId="3" applyFont="1" applyFill="1" applyBorder="1"/>
    <xf numFmtId="42" fontId="0" fillId="25" borderId="441" xfId="3" applyFont="1" applyFill="1" applyBorder="1"/>
    <xf numFmtId="42" fontId="0" fillId="25" borderId="318" xfId="3" applyFont="1" applyFill="1" applyBorder="1"/>
    <xf numFmtId="42" fontId="0" fillId="25" borderId="443" xfId="3" applyFont="1" applyFill="1" applyBorder="1"/>
    <xf numFmtId="42" fontId="0" fillId="25" borderId="445" xfId="3" applyFont="1" applyFill="1" applyBorder="1"/>
    <xf numFmtId="42" fontId="0" fillId="25" borderId="77" xfId="3" applyFont="1" applyFill="1" applyBorder="1"/>
    <xf numFmtId="42" fontId="0" fillId="25" borderId="428" xfId="3" applyFont="1" applyFill="1" applyBorder="1"/>
    <xf numFmtId="9" fontId="0" fillId="25" borderId="420" xfId="4" applyFont="1" applyFill="1" applyBorder="1" applyAlignment="1">
      <alignment horizontal="center" vertical="center"/>
    </xf>
    <xf numFmtId="9" fontId="0" fillId="25" borderId="423" xfId="4" applyFont="1" applyFill="1" applyBorder="1" applyAlignment="1">
      <alignment horizontal="center" vertical="center"/>
    </xf>
    <xf numFmtId="9" fontId="0" fillId="25" borderId="413" xfId="4" applyFont="1" applyFill="1" applyBorder="1" applyAlignment="1">
      <alignment horizontal="center" vertical="center"/>
    </xf>
    <xf numFmtId="9" fontId="0" fillId="25" borderId="448" xfId="4" applyFont="1" applyFill="1" applyBorder="1" applyAlignment="1">
      <alignment horizontal="center" vertical="center"/>
    </xf>
    <xf numFmtId="9" fontId="0" fillId="25" borderId="441" xfId="4" applyFont="1" applyFill="1" applyBorder="1" applyAlignment="1">
      <alignment horizontal="center" vertical="center"/>
    </xf>
    <xf numFmtId="9" fontId="0" fillId="25" borderId="318" xfId="4" applyFont="1" applyFill="1" applyBorder="1" applyAlignment="1">
      <alignment horizontal="center" vertical="center"/>
    </xf>
    <xf numFmtId="9" fontId="0" fillId="25" borderId="443" xfId="4" applyFont="1" applyFill="1" applyBorder="1" applyAlignment="1">
      <alignment horizontal="center" vertical="center"/>
    </xf>
    <xf numFmtId="9" fontId="0" fillId="25" borderId="445" xfId="4" applyFont="1" applyFill="1" applyBorder="1" applyAlignment="1">
      <alignment horizontal="center" vertical="center"/>
    </xf>
    <xf numFmtId="9" fontId="0" fillId="25" borderId="77" xfId="4" applyFont="1" applyFill="1" applyBorder="1" applyAlignment="1">
      <alignment horizontal="center" vertical="center"/>
    </xf>
    <xf numFmtId="9" fontId="0" fillId="25" borderId="428" xfId="4" applyFont="1" applyFill="1" applyBorder="1" applyAlignment="1">
      <alignment horizontal="center" vertical="center"/>
    </xf>
    <xf numFmtId="171" fontId="0" fillId="61" borderId="413" xfId="2" applyNumberFormat="1" applyFont="1" applyFill="1" applyBorder="1" applyAlignment="1" applyProtection="1">
      <alignment vertical="center"/>
    </xf>
    <xf numFmtId="0" fontId="0" fillId="74" borderId="413" xfId="0" applyFill="1" applyBorder="1"/>
    <xf numFmtId="171" fontId="0" fillId="74" borderId="413" xfId="2" applyNumberFormat="1" applyFont="1" applyFill="1" applyBorder="1" applyAlignment="1" applyProtection="1">
      <alignment vertical="center"/>
    </xf>
    <xf numFmtId="171" fontId="0" fillId="63" borderId="413" xfId="2" applyNumberFormat="1" applyFont="1" applyFill="1" applyBorder="1" applyAlignment="1" applyProtection="1">
      <alignment vertical="center"/>
    </xf>
    <xf numFmtId="171" fontId="0" fillId="75" borderId="413" xfId="2" applyNumberFormat="1" applyFont="1" applyFill="1" applyBorder="1" applyAlignment="1" applyProtection="1">
      <alignment vertical="center"/>
    </xf>
    <xf numFmtId="171" fontId="0" fillId="60" borderId="413" xfId="2" applyNumberFormat="1" applyFont="1" applyFill="1" applyBorder="1" applyAlignment="1" applyProtection="1">
      <alignment vertical="center"/>
    </xf>
    <xf numFmtId="9" fontId="0" fillId="1" borderId="413" xfId="4" applyFont="1" applyFill="1" applyBorder="1" applyAlignment="1" applyProtection="1">
      <alignment horizontal="center" vertical="center"/>
    </xf>
    <xf numFmtId="9" fontId="0" fillId="1" borderId="448" xfId="4" applyFont="1" applyFill="1" applyBorder="1" applyAlignment="1" applyProtection="1">
      <alignment horizontal="center" vertical="center"/>
    </xf>
    <xf numFmtId="9" fontId="0" fillId="0" borderId="413" xfId="4" applyFont="1" applyFill="1" applyBorder="1" applyAlignment="1" applyProtection="1">
      <alignment horizontal="center" vertical="center"/>
    </xf>
    <xf numFmtId="9" fontId="0" fillId="0" borderId="448" xfId="4" applyFont="1" applyFill="1" applyBorder="1" applyAlignment="1" applyProtection="1">
      <alignment horizontal="center" vertical="center"/>
    </xf>
    <xf numFmtId="9" fontId="0" fillId="0" borderId="441" xfId="4" applyFont="1" applyFill="1" applyBorder="1" applyAlignment="1" applyProtection="1">
      <alignment horizontal="center" vertical="center"/>
    </xf>
    <xf numFmtId="9" fontId="0" fillId="0" borderId="318" xfId="4" applyFont="1" applyFill="1" applyBorder="1" applyAlignment="1" applyProtection="1">
      <alignment horizontal="center" vertical="center"/>
    </xf>
    <xf numFmtId="9" fontId="0" fillId="0" borderId="398" xfId="4" applyFont="1" applyFill="1" applyBorder="1" applyAlignment="1" applyProtection="1">
      <alignment horizontal="center" vertical="center"/>
    </xf>
    <xf numFmtId="9" fontId="0" fillId="0" borderId="399" xfId="4" applyFont="1" applyFill="1" applyBorder="1" applyAlignment="1" applyProtection="1">
      <alignment horizontal="center" vertical="center"/>
    </xf>
    <xf numFmtId="9" fontId="0" fillId="61" borderId="420" xfId="4" applyFont="1" applyFill="1" applyBorder="1" applyAlignment="1" applyProtection="1">
      <alignment horizontal="center" vertical="center"/>
    </xf>
    <xf numFmtId="9" fontId="0" fillId="61" borderId="423" xfId="4" applyFont="1" applyFill="1" applyBorder="1" applyAlignment="1" applyProtection="1">
      <alignment horizontal="center" vertical="center"/>
    </xf>
    <xf numFmtId="9" fontId="0" fillId="61" borderId="413" xfId="4" applyFont="1" applyFill="1" applyBorder="1" applyAlignment="1" applyProtection="1">
      <alignment horizontal="center" vertical="center"/>
    </xf>
    <xf numFmtId="9" fontId="0" fillId="61" borderId="448" xfId="4" applyFont="1" applyFill="1" applyBorder="1" applyAlignment="1" applyProtection="1">
      <alignment horizontal="center" vertical="center"/>
    </xf>
    <xf numFmtId="9" fontId="0" fillId="74" borderId="413" xfId="4" applyFont="1" applyFill="1" applyBorder="1" applyAlignment="1" applyProtection="1">
      <alignment horizontal="center" vertical="center"/>
    </xf>
    <xf numFmtId="9" fontId="0" fillId="74" borderId="448" xfId="4" applyFont="1" applyFill="1" applyBorder="1" applyAlignment="1" applyProtection="1">
      <alignment horizontal="center" vertical="center"/>
    </xf>
    <xf numFmtId="9" fontId="0" fillId="63" borderId="413" xfId="4" applyFont="1" applyFill="1" applyBorder="1" applyAlignment="1" applyProtection="1">
      <alignment horizontal="center" vertical="center"/>
    </xf>
    <xf numFmtId="9" fontId="0" fillId="63" borderId="448" xfId="4" applyFont="1" applyFill="1" applyBorder="1" applyAlignment="1" applyProtection="1">
      <alignment horizontal="center" vertical="center"/>
    </xf>
    <xf numFmtId="9" fontId="0" fillId="75" borderId="413" xfId="4" applyFont="1" applyFill="1" applyBorder="1" applyAlignment="1" applyProtection="1">
      <alignment horizontal="center" vertical="center"/>
    </xf>
    <xf numFmtId="9" fontId="0" fillId="75" borderId="448" xfId="4" applyFont="1" applyFill="1" applyBorder="1" applyAlignment="1" applyProtection="1">
      <alignment horizontal="center" vertical="center"/>
    </xf>
    <xf numFmtId="9" fontId="0" fillId="60" borderId="413" xfId="4" applyFont="1" applyFill="1" applyBorder="1" applyAlignment="1" applyProtection="1">
      <alignment horizontal="center" vertical="center"/>
    </xf>
    <xf numFmtId="9" fontId="0" fillId="60" borderId="448" xfId="4" applyFont="1" applyFill="1" applyBorder="1" applyAlignment="1" applyProtection="1">
      <alignment horizontal="center" vertical="center"/>
    </xf>
    <xf numFmtId="9" fontId="0" fillId="67" borderId="413" xfId="4" applyFont="1" applyFill="1" applyBorder="1" applyAlignment="1" applyProtection="1">
      <alignment horizontal="center" vertical="center"/>
    </xf>
    <xf numFmtId="9" fontId="0" fillId="67" borderId="448" xfId="4" applyFont="1" applyFill="1" applyBorder="1" applyAlignment="1" applyProtection="1">
      <alignment horizontal="center" vertical="center"/>
    </xf>
    <xf numFmtId="9" fontId="0" fillId="74" borderId="413" xfId="4" applyFont="1" applyFill="1" applyBorder="1" applyAlignment="1">
      <alignment horizontal="center" vertical="center"/>
    </xf>
    <xf numFmtId="9" fontId="0" fillId="74" borderId="448" xfId="4" applyFont="1" applyFill="1" applyBorder="1" applyAlignment="1">
      <alignment horizontal="center" vertical="center"/>
    </xf>
    <xf numFmtId="171" fontId="0" fillId="21" borderId="0" xfId="0" applyNumberFormat="1" applyFill="1"/>
    <xf numFmtId="42" fontId="0" fillId="21" borderId="0" xfId="3" applyFont="1" applyFill="1"/>
    <xf numFmtId="168" fontId="0" fillId="0" borderId="411" xfId="2" applyNumberFormat="1" applyFont="1" applyFill="1" applyBorder="1" applyAlignment="1" applyProtection="1">
      <alignment vertical="center"/>
    </xf>
    <xf numFmtId="168" fontId="0" fillId="0" borderId="414" xfId="2" applyNumberFormat="1" applyFont="1" applyFill="1" applyBorder="1" applyAlignment="1" applyProtection="1">
      <alignment vertical="center"/>
    </xf>
    <xf numFmtId="171" fontId="0" fillId="0" borderId="421" xfId="2" applyNumberFormat="1" applyFont="1" applyFill="1" applyBorder="1" applyAlignment="1" applyProtection="1">
      <alignment vertical="center"/>
    </xf>
    <xf numFmtId="171" fontId="0" fillId="0" borderId="455" xfId="2" applyNumberFormat="1" applyFont="1" applyFill="1" applyBorder="1" applyAlignment="1" applyProtection="1">
      <alignment vertical="center"/>
    </xf>
    <xf numFmtId="171" fontId="0" fillId="1" borderId="455" xfId="2" applyNumberFormat="1" applyFont="1" applyFill="1" applyBorder="1" applyAlignment="1" applyProtection="1">
      <alignment vertical="center"/>
    </xf>
    <xf numFmtId="171" fontId="0" fillId="0" borderId="456" xfId="2" applyNumberFormat="1" applyFont="1" applyFill="1" applyBorder="1" applyAlignment="1" applyProtection="1">
      <alignment vertical="center"/>
    </xf>
    <xf numFmtId="171" fontId="0" fillId="1" borderId="447" xfId="2" applyNumberFormat="1" applyFont="1" applyFill="1" applyBorder="1" applyAlignment="1" applyProtection="1">
      <alignment vertical="center"/>
    </xf>
    <xf numFmtId="171" fontId="0" fillId="1" borderId="448" xfId="2" applyNumberFormat="1" applyFont="1" applyFill="1" applyBorder="1" applyAlignment="1" applyProtection="1">
      <alignment vertical="center"/>
    </xf>
    <xf numFmtId="171" fontId="0" fillId="59" borderId="447" xfId="2" applyNumberFormat="1" applyFont="1" applyFill="1" applyBorder="1" applyAlignment="1" applyProtection="1">
      <alignment vertical="center"/>
    </xf>
    <xf numFmtId="171" fontId="0" fillId="59" borderId="448" xfId="2" applyNumberFormat="1" applyFont="1" applyFill="1" applyBorder="1" applyAlignment="1" applyProtection="1">
      <alignment vertical="center"/>
    </xf>
    <xf numFmtId="171" fontId="0" fillId="0" borderId="218" xfId="2" applyNumberFormat="1" applyFont="1" applyFill="1" applyBorder="1" applyAlignment="1" applyProtection="1">
      <alignment vertical="center"/>
    </xf>
    <xf numFmtId="171" fontId="0" fillId="59" borderId="444" xfId="2" applyNumberFormat="1" applyFont="1" applyFill="1" applyBorder="1" applyAlignment="1" applyProtection="1">
      <alignment vertical="center"/>
    </xf>
    <xf numFmtId="171" fontId="0" fillId="59" borderId="445" xfId="2" applyNumberFormat="1" applyFont="1" applyFill="1" applyBorder="1" applyAlignment="1" applyProtection="1">
      <alignment vertical="center"/>
    </xf>
    <xf numFmtId="171" fontId="0" fillId="61" borderId="421" xfId="2" applyNumberFormat="1" applyFont="1" applyFill="1" applyBorder="1" applyAlignment="1" applyProtection="1">
      <alignment vertical="center"/>
    </xf>
    <xf numFmtId="171" fontId="0" fillId="61" borderId="455" xfId="2" applyNumberFormat="1" applyFont="1" applyFill="1" applyBorder="1" applyAlignment="1" applyProtection="1">
      <alignment vertical="center"/>
    </xf>
    <xf numFmtId="171" fontId="0" fillId="64" borderId="455" xfId="2" applyNumberFormat="1" applyFont="1" applyFill="1" applyBorder="1" applyAlignment="1" applyProtection="1">
      <alignment vertical="center"/>
    </xf>
    <xf numFmtId="171" fontId="0" fillId="63" borderId="455" xfId="2" applyNumberFormat="1" applyFont="1" applyFill="1" applyBorder="1" applyAlignment="1" applyProtection="1">
      <alignment vertical="center"/>
    </xf>
    <xf numFmtId="171" fontId="0" fillId="65" borderId="455" xfId="2" applyNumberFormat="1" applyFont="1" applyFill="1" applyBorder="1" applyAlignment="1" applyProtection="1">
      <alignment vertical="center"/>
    </xf>
    <xf numFmtId="171" fontId="0" fillId="60" borderId="455" xfId="2" applyNumberFormat="1" applyFont="1" applyFill="1" applyBorder="1" applyAlignment="1" applyProtection="1">
      <alignment vertical="center"/>
    </xf>
    <xf numFmtId="171" fontId="0" fillId="0" borderId="458" xfId="2" applyNumberFormat="1" applyFont="1" applyFill="1" applyBorder="1" applyAlignment="1" applyProtection="1">
      <alignment vertical="center"/>
    </xf>
    <xf numFmtId="171" fontId="31" fillId="63" borderId="355" xfId="2" applyNumberFormat="1" applyFont="1" applyFill="1" applyBorder="1" applyAlignment="1" applyProtection="1">
      <alignment vertical="center"/>
    </xf>
    <xf numFmtId="168" fontId="0" fillId="1" borderId="440" xfId="2" applyNumberFormat="1" applyFont="1" applyFill="1" applyBorder="1" applyAlignment="1" applyProtection="1">
      <alignment vertical="center"/>
    </xf>
    <xf numFmtId="171" fontId="0" fillId="0" borderId="351" xfId="2" applyNumberFormat="1" applyFont="1" applyFill="1" applyBorder="1" applyAlignment="1" applyProtection="1">
      <alignment vertical="center"/>
    </xf>
    <xf numFmtId="171" fontId="0" fillId="0" borderId="285" xfId="2" applyNumberFormat="1" applyFont="1" applyFill="1" applyBorder="1" applyAlignment="1" applyProtection="1">
      <alignment vertical="center"/>
    </xf>
    <xf numFmtId="168" fontId="0" fillId="1" borderId="455" xfId="2" applyNumberFormat="1" applyFont="1" applyFill="1" applyBorder="1" applyAlignment="1" applyProtection="1">
      <alignment vertical="center"/>
    </xf>
    <xf numFmtId="172" fontId="0" fillId="23" borderId="446" xfId="2" applyNumberFormat="1" applyFont="1" applyFill="1" applyBorder="1" applyAlignment="1" applyProtection="1">
      <alignment horizontal="center" vertical="center"/>
    </xf>
    <xf numFmtId="172" fontId="0" fillId="23" borderId="447" xfId="2" applyNumberFormat="1" applyFont="1" applyFill="1" applyBorder="1" applyAlignment="1" applyProtection="1">
      <alignment horizontal="center" vertical="center"/>
    </xf>
    <xf numFmtId="172" fontId="0" fillId="23" borderId="448" xfId="2" applyNumberFormat="1" applyFont="1" applyFill="1" applyBorder="1" applyAlignment="1" applyProtection="1">
      <alignment horizontal="center" vertical="center"/>
    </xf>
    <xf numFmtId="171" fontId="0" fillId="1" borderId="285" xfId="2" applyNumberFormat="1" applyFont="1" applyFill="1" applyBorder="1" applyAlignment="1" applyProtection="1">
      <alignment vertical="center"/>
    </xf>
    <xf numFmtId="172" fontId="0" fillId="23" borderId="441" xfId="2" applyNumberFormat="1" applyFont="1" applyFill="1" applyBorder="1" applyAlignment="1" applyProtection="1">
      <alignment horizontal="center" vertical="center"/>
    </xf>
    <xf numFmtId="172" fontId="0" fillId="23" borderId="450" xfId="2" applyNumberFormat="1" applyFont="1" applyFill="1" applyBorder="1" applyAlignment="1" applyProtection="1">
      <alignment horizontal="center" vertical="center"/>
    </xf>
    <xf numFmtId="172" fontId="0" fillId="23" borderId="451" xfId="2" applyNumberFormat="1" applyFont="1" applyFill="1" applyBorder="1" applyAlignment="1" applyProtection="1">
      <alignment horizontal="center" vertical="center"/>
    </xf>
    <xf numFmtId="171" fontId="0" fillId="1" borderId="459" xfId="2" applyNumberFormat="1" applyFont="1" applyFill="1" applyBorder="1" applyAlignment="1" applyProtection="1">
      <alignment vertical="center"/>
    </xf>
    <xf numFmtId="171" fontId="0" fillId="23" borderId="446" xfId="2" applyNumberFormat="1" applyFont="1" applyFill="1" applyBorder="1" applyAlignment="1" applyProtection="1">
      <alignment vertical="center"/>
    </xf>
    <xf numFmtId="171" fontId="0" fillId="23" borderId="441" xfId="2" applyNumberFormat="1" applyFont="1" applyFill="1" applyBorder="1" applyAlignment="1" applyProtection="1">
      <alignment vertical="center"/>
    </xf>
    <xf numFmtId="168" fontId="0" fillId="59" borderId="467" xfId="2" applyNumberFormat="1" applyFont="1" applyFill="1" applyBorder="1" applyAlignment="1" applyProtection="1">
      <alignment vertical="center"/>
    </xf>
    <xf numFmtId="171" fontId="0" fillId="0" borderId="466" xfId="2" applyNumberFormat="1" applyFont="1" applyFill="1" applyBorder="1" applyAlignment="1" applyProtection="1">
      <alignment vertical="center"/>
    </xf>
    <xf numFmtId="171" fontId="0" fillId="0" borderId="468" xfId="2" applyNumberFormat="1" applyFont="1" applyFill="1" applyBorder="1" applyAlignment="1" applyProtection="1">
      <alignment vertical="center"/>
    </xf>
    <xf numFmtId="171" fontId="0" fillId="0" borderId="467" xfId="2" applyNumberFormat="1" applyFont="1" applyFill="1" applyBorder="1" applyAlignment="1" applyProtection="1">
      <alignment vertical="center"/>
    </xf>
    <xf numFmtId="168" fontId="0" fillId="1" borderId="467" xfId="2" applyNumberFormat="1" applyFont="1" applyFill="1" applyBorder="1" applyAlignment="1" applyProtection="1">
      <alignment vertical="center"/>
    </xf>
    <xf numFmtId="168" fontId="0" fillId="59" borderId="466" xfId="2" applyNumberFormat="1" applyFont="1" applyFill="1" applyBorder="1" applyAlignment="1" applyProtection="1">
      <alignment vertical="center"/>
    </xf>
    <xf numFmtId="168" fontId="0" fillId="59" borderId="468" xfId="2" applyNumberFormat="1" applyFont="1" applyFill="1" applyBorder="1" applyAlignment="1" applyProtection="1">
      <alignment vertical="center"/>
    </xf>
    <xf numFmtId="168" fontId="0" fillId="1" borderId="466" xfId="2" applyNumberFormat="1" applyFont="1" applyFill="1" applyBorder="1" applyAlignment="1" applyProtection="1">
      <alignment vertical="center"/>
    </xf>
    <xf numFmtId="171" fontId="0" fillId="0" borderId="341" xfId="2" applyNumberFormat="1" applyFont="1" applyFill="1" applyBorder="1" applyAlignment="1" applyProtection="1">
      <alignment vertical="center"/>
    </xf>
    <xf numFmtId="168" fontId="0" fillId="1" borderId="468" xfId="2" applyNumberFormat="1" applyFont="1" applyFill="1" applyBorder="1" applyAlignment="1" applyProtection="1">
      <alignment vertical="center"/>
    </xf>
    <xf numFmtId="168" fontId="13" fillId="19" borderId="470" xfId="2" applyNumberFormat="1" applyFont="1" applyFill="1" applyBorder="1" applyAlignment="1" applyProtection="1">
      <alignment vertical="center" wrapText="1"/>
    </xf>
    <xf numFmtId="168" fontId="0" fillId="0" borderId="466" xfId="0" applyNumberFormat="1" applyBorder="1" applyAlignment="1">
      <alignment vertical="center"/>
    </xf>
    <xf numFmtId="168" fontId="0" fillId="0" borderId="466" xfId="2" applyNumberFormat="1" applyFont="1" applyFill="1" applyBorder="1" applyAlignment="1" applyProtection="1">
      <alignment vertical="center"/>
    </xf>
    <xf numFmtId="170" fontId="0" fillId="0" borderId="466" xfId="1" applyNumberFormat="1" applyFont="1" applyFill="1" applyBorder="1" applyAlignment="1" applyProtection="1">
      <alignment vertical="center"/>
    </xf>
    <xf numFmtId="168" fontId="5" fillId="16" borderId="466" xfId="0" applyNumberFormat="1" applyFont="1" applyFill="1" applyBorder="1" applyAlignment="1">
      <alignment vertical="center"/>
    </xf>
    <xf numFmtId="168" fontId="5" fillId="16" borderId="466" xfId="2" applyNumberFormat="1" applyFont="1" applyFill="1" applyBorder="1" applyAlignment="1" applyProtection="1">
      <alignment vertical="center"/>
    </xf>
    <xf numFmtId="168" fontId="5" fillId="16" borderId="466" xfId="2" applyNumberFormat="1" applyFont="1" applyFill="1" applyBorder="1" applyAlignment="1" applyProtection="1">
      <alignment horizontal="right" vertical="center"/>
    </xf>
    <xf numFmtId="168" fontId="5" fillId="18" borderId="466" xfId="0" applyNumberFormat="1" applyFont="1" applyFill="1" applyBorder="1" applyAlignment="1">
      <alignment vertical="center"/>
    </xf>
    <xf numFmtId="168" fontId="5" fillId="18" borderId="466" xfId="2" applyNumberFormat="1" applyFont="1" applyFill="1" applyBorder="1" applyAlignment="1" applyProtection="1">
      <alignment vertical="center"/>
    </xf>
    <xf numFmtId="168" fontId="5" fillId="18" borderId="466" xfId="2" applyNumberFormat="1" applyFont="1" applyFill="1" applyBorder="1" applyAlignment="1" applyProtection="1">
      <alignment horizontal="right" vertical="center"/>
    </xf>
    <xf numFmtId="168" fontId="0" fillId="0" borderId="348" xfId="2" applyNumberFormat="1" applyFont="1" applyFill="1" applyBorder="1" applyAlignment="1" applyProtection="1">
      <alignment vertical="center"/>
    </xf>
    <xf numFmtId="168" fontId="5" fillId="16" borderId="468" xfId="2" applyNumberFormat="1" applyFont="1" applyFill="1" applyBorder="1" applyAlignment="1" applyProtection="1">
      <alignment horizontal="right" vertical="center"/>
    </xf>
    <xf numFmtId="168" fontId="5" fillId="18" borderId="468" xfId="2" applyNumberFormat="1" applyFont="1" applyFill="1" applyBorder="1" applyAlignment="1" applyProtection="1">
      <alignment horizontal="right" vertical="center"/>
    </xf>
    <xf numFmtId="171" fontId="0" fillId="59" borderId="466" xfId="2" applyNumberFormat="1" applyFont="1" applyFill="1" applyBorder="1" applyAlignment="1" applyProtection="1">
      <alignment vertical="center"/>
    </xf>
    <xf numFmtId="171" fontId="0" fillId="59" borderId="468" xfId="2" applyNumberFormat="1" applyFont="1" applyFill="1" applyBorder="1" applyAlignment="1" applyProtection="1">
      <alignment vertical="center"/>
    </xf>
    <xf numFmtId="171" fontId="0" fillId="1" borderId="467" xfId="2" applyNumberFormat="1" applyFont="1" applyFill="1" applyBorder="1" applyAlignment="1" applyProtection="1">
      <alignment vertical="center"/>
    </xf>
    <xf numFmtId="171" fontId="0" fillId="0" borderId="435" xfId="2" applyNumberFormat="1" applyFont="1" applyFill="1" applyBorder="1" applyAlignment="1" applyProtection="1">
      <alignment vertical="center"/>
    </xf>
    <xf numFmtId="171" fontId="0" fillId="1" borderId="471" xfId="2" applyNumberFormat="1" applyFont="1" applyFill="1" applyBorder="1" applyAlignment="1" applyProtection="1">
      <alignment vertical="center"/>
    </xf>
    <xf numFmtId="171" fontId="0" fillId="1" borderId="469" xfId="2" applyNumberFormat="1" applyFont="1" applyFill="1" applyBorder="1" applyAlignment="1" applyProtection="1">
      <alignment vertical="center"/>
    </xf>
    <xf numFmtId="171" fontId="0" fillId="1" borderId="472" xfId="2" applyNumberFormat="1" applyFont="1" applyFill="1" applyBorder="1" applyAlignment="1" applyProtection="1">
      <alignment vertical="center"/>
    </xf>
    <xf numFmtId="0" fontId="0" fillId="0" borderId="56" xfId="0" applyBorder="1" applyAlignment="1">
      <alignment horizontal="left" vertical="center"/>
    </xf>
    <xf numFmtId="0" fontId="0" fillId="0" borderId="455" xfId="0" applyBorder="1" applyAlignment="1">
      <alignment horizontal="left" vertical="center"/>
    </xf>
    <xf numFmtId="0" fontId="0" fillId="0" borderId="61" xfId="0" applyBorder="1" applyAlignment="1">
      <alignment horizontal="left" vertical="center"/>
    </xf>
    <xf numFmtId="0" fontId="0" fillId="0" borderId="271" xfId="0" applyBorder="1" applyAlignment="1">
      <alignment horizontal="left" vertical="center"/>
    </xf>
    <xf numFmtId="0" fontId="0" fillId="0" borderId="455" xfId="0" applyBorder="1" applyAlignment="1">
      <alignment horizontal="right" vertical="center"/>
    </xf>
    <xf numFmtId="0" fontId="0" fillId="0" borderId="456" xfId="0" applyBorder="1" applyAlignment="1">
      <alignment horizontal="right" vertical="center"/>
    </xf>
    <xf numFmtId="0" fontId="0" fillId="0" borderId="65" xfId="0" applyBorder="1" applyAlignment="1">
      <alignment horizontal="left" vertical="center"/>
    </xf>
    <xf numFmtId="0" fontId="0" fillId="0" borderId="69" xfId="0" applyBorder="1" applyAlignment="1">
      <alignment horizontal="left" vertical="center"/>
    </xf>
    <xf numFmtId="0" fontId="0" fillId="0" borderId="76" xfId="0" applyBorder="1" applyAlignment="1">
      <alignment horizontal="left" vertical="center"/>
    </xf>
    <xf numFmtId="0" fontId="0" fillId="0" borderId="333" xfId="0" applyBorder="1" applyAlignment="1">
      <alignment horizontal="left" vertical="center"/>
    </xf>
    <xf numFmtId="0" fontId="0" fillId="74" borderId="355" xfId="0" applyFill="1" applyBorder="1"/>
    <xf numFmtId="0" fontId="0" fillId="74" borderId="356" xfId="0" applyFill="1" applyBorder="1"/>
    <xf numFmtId="16" fontId="0" fillId="0" borderId="0" xfId="0" applyNumberFormat="1"/>
    <xf numFmtId="0" fontId="35" fillId="0" borderId="16" xfId="0" applyFont="1" applyBorder="1" applyAlignment="1">
      <alignment horizontal="center" vertical="center" wrapText="1"/>
    </xf>
    <xf numFmtId="0" fontId="0" fillId="37" borderId="76" xfId="0" applyFill="1" applyBorder="1" applyAlignment="1">
      <alignment horizontal="left" vertical="center"/>
    </xf>
    <xf numFmtId="0" fontId="0" fillId="0" borderId="346" xfId="0" applyBorder="1" applyAlignment="1">
      <alignment horizontal="left" vertical="center"/>
    </xf>
    <xf numFmtId="0" fontId="35" fillId="0" borderId="272" xfId="0" applyFont="1" applyBorder="1" applyAlignment="1">
      <alignment horizontal="center" vertical="center" wrapText="1"/>
    </xf>
    <xf numFmtId="0" fontId="42" fillId="0" borderId="0" xfId="0" applyFont="1" applyAlignment="1">
      <alignment vertical="center"/>
    </xf>
    <xf numFmtId="0" fontId="35" fillId="0" borderId="0" xfId="0" applyFont="1" applyAlignment="1">
      <alignment vertical="center"/>
    </xf>
    <xf numFmtId="0" fontId="35" fillId="0" borderId="0" xfId="0" applyFont="1" applyAlignment="1">
      <alignment horizontal="center" vertical="center"/>
    </xf>
    <xf numFmtId="0" fontId="43" fillId="0" borderId="0" xfId="0" applyFont="1" applyAlignment="1">
      <alignment vertical="center"/>
    </xf>
    <xf numFmtId="3" fontId="42" fillId="0" borderId="0" xfId="4" applyNumberFormat="1" applyFont="1" applyBorder="1" applyAlignment="1" applyProtection="1">
      <alignment vertical="center"/>
    </xf>
    <xf numFmtId="9" fontId="42" fillId="0" borderId="0" xfId="4" applyFont="1" applyBorder="1" applyAlignment="1" applyProtection="1">
      <alignment vertical="center"/>
    </xf>
    <xf numFmtId="0" fontId="35" fillId="0" borderId="0" xfId="0" applyFont="1" applyAlignment="1">
      <alignment horizontal="right" vertical="center"/>
    </xf>
    <xf numFmtId="0" fontId="44" fillId="21" borderId="0" xfId="0" applyFont="1" applyFill="1" applyAlignment="1">
      <alignment horizontal="left" vertical="center" indent="2"/>
    </xf>
    <xf numFmtId="168" fontId="41" fillId="81" borderId="463" xfId="0" applyNumberFormat="1" applyFont="1" applyFill="1" applyBorder="1" applyAlignment="1">
      <alignment horizontal="center" vertical="center" wrapText="1"/>
    </xf>
    <xf numFmtId="168" fontId="41" fillId="81" borderId="464" xfId="0" applyNumberFormat="1" applyFont="1" applyFill="1" applyBorder="1" applyAlignment="1">
      <alignment horizontal="center" vertical="center" wrapText="1"/>
    </xf>
    <xf numFmtId="168" fontId="41" fillId="81" borderId="465" xfId="0" applyNumberFormat="1" applyFont="1" applyFill="1" applyBorder="1" applyAlignment="1">
      <alignment horizontal="center" vertical="center" wrapText="1"/>
    </xf>
    <xf numFmtId="168" fontId="35" fillId="7" borderId="201" xfId="0" applyNumberFormat="1" applyFont="1" applyFill="1" applyBorder="1" applyAlignment="1">
      <alignment horizontal="center" vertical="center" wrapText="1"/>
    </xf>
    <xf numFmtId="168" fontId="35" fillId="7" borderId="464" xfId="0" applyNumberFormat="1" applyFont="1" applyFill="1" applyBorder="1" applyAlignment="1">
      <alignment horizontal="center" vertical="center" wrapText="1"/>
    </xf>
    <xf numFmtId="168" fontId="35" fillId="7" borderId="215" xfId="0" applyNumberFormat="1" applyFont="1" applyFill="1" applyBorder="1" applyAlignment="1">
      <alignment horizontal="center" vertical="center" wrapText="1"/>
    </xf>
    <xf numFmtId="168" fontId="35" fillId="3" borderId="463" xfId="0" applyNumberFormat="1" applyFont="1" applyFill="1" applyBorder="1" applyAlignment="1">
      <alignment horizontal="center" vertical="center" wrapText="1"/>
    </xf>
    <xf numFmtId="168" fontId="35" fillId="3" borderId="464" xfId="0" applyNumberFormat="1" applyFont="1" applyFill="1" applyBorder="1" applyAlignment="1">
      <alignment horizontal="center" vertical="center" wrapText="1"/>
    </xf>
    <xf numFmtId="168" fontId="35" fillId="3" borderId="465" xfId="0" applyNumberFormat="1" applyFont="1" applyFill="1" applyBorder="1" applyAlignment="1">
      <alignment horizontal="center" vertical="center" wrapText="1"/>
    </xf>
    <xf numFmtId="168" fontId="35" fillId="14" borderId="51" xfId="0" applyNumberFormat="1" applyFont="1" applyFill="1" applyBorder="1" applyAlignment="1">
      <alignment horizontal="center" vertical="center" wrapText="1"/>
    </xf>
    <xf numFmtId="168" fontId="35" fillId="14" borderId="30" xfId="0" applyNumberFormat="1" applyFont="1" applyFill="1" applyBorder="1" applyAlignment="1">
      <alignment horizontal="center" vertical="center" wrapText="1"/>
    </xf>
    <xf numFmtId="168" fontId="35" fillId="14" borderId="31" xfId="0" applyNumberFormat="1" applyFont="1" applyFill="1" applyBorder="1" applyAlignment="1">
      <alignment horizontal="center" vertical="center" wrapText="1"/>
    </xf>
    <xf numFmtId="173" fontId="35" fillId="9" borderId="48" xfId="0" applyNumberFormat="1" applyFont="1" applyFill="1" applyBorder="1" applyAlignment="1">
      <alignment horizontal="center" vertical="center"/>
    </xf>
    <xf numFmtId="173" fontId="35" fillId="9" borderId="59" xfId="0" applyNumberFormat="1" applyFont="1" applyFill="1" applyBorder="1" applyAlignment="1">
      <alignment horizontal="center" vertical="center"/>
    </xf>
    <xf numFmtId="0" fontId="35" fillId="0" borderId="455" xfId="0" applyFont="1" applyBorder="1" applyAlignment="1">
      <alignment horizontal="left" vertical="center"/>
    </xf>
    <xf numFmtId="0" fontId="35" fillId="0" borderId="61" xfId="0" applyFont="1" applyBorder="1" applyAlignment="1">
      <alignment horizontal="left" vertical="center"/>
    </xf>
    <xf numFmtId="173" fontId="35" fillId="9" borderId="53" xfId="0" applyNumberFormat="1" applyFont="1" applyFill="1" applyBorder="1" applyAlignment="1">
      <alignment horizontal="center" vertical="center"/>
    </xf>
    <xf numFmtId="0" fontId="35" fillId="0" borderId="424" xfId="0" applyFont="1" applyBorder="1" applyAlignment="1">
      <alignment horizontal="left" vertical="center"/>
    </xf>
    <xf numFmtId="173" fontId="35" fillId="9" borderId="70" xfId="0" applyNumberFormat="1" applyFont="1" applyFill="1" applyBorder="1" applyAlignment="1">
      <alignment horizontal="center" vertical="center"/>
    </xf>
    <xf numFmtId="173" fontId="35" fillId="9" borderId="75" xfId="0" applyNumberFormat="1" applyFont="1" applyFill="1" applyBorder="1" applyAlignment="1">
      <alignment horizontal="center" vertical="center"/>
    </xf>
    <xf numFmtId="173" fontId="35" fillId="9" borderId="272" xfId="0" applyNumberFormat="1" applyFont="1" applyFill="1" applyBorder="1" applyAlignment="1">
      <alignment horizontal="center" vertical="center"/>
    </xf>
    <xf numFmtId="173" fontId="35" fillId="9" borderId="323" xfId="0" applyNumberFormat="1" applyFont="1" applyFill="1" applyBorder="1" applyAlignment="1">
      <alignment horizontal="center" vertical="center"/>
    </xf>
    <xf numFmtId="0" fontId="35" fillId="0" borderId="71" xfId="0" applyFont="1" applyBorder="1" applyAlignment="1">
      <alignment horizontal="left" vertical="center"/>
    </xf>
    <xf numFmtId="0" fontId="35" fillId="0" borderId="76" xfId="0" applyFont="1" applyBorder="1" applyAlignment="1">
      <alignment horizontal="left" vertical="center"/>
    </xf>
    <xf numFmtId="173" fontId="35" fillId="9" borderId="254" xfId="0" applyNumberFormat="1" applyFont="1" applyFill="1" applyBorder="1" applyAlignment="1">
      <alignment horizontal="center" vertical="center"/>
    </xf>
    <xf numFmtId="173" fontId="35" fillId="9" borderId="347" xfId="0" applyNumberFormat="1" applyFont="1" applyFill="1" applyBorder="1" applyAlignment="1">
      <alignment horizontal="center" vertical="center"/>
    </xf>
    <xf numFmtId="173" fontId="35" fillId="9" borderId="260" xfId="0" applyNumberFormat="1" applyFont="1" applyFill="1" applyBorder="1" applyAlignment="1">
      <alignment horizontal="center" vertical="center"/>
    </xf>
    <xf numFmtId="173" fontId="35" fillId="9" borderId="80" xfId="0" applyNumberFormat="1" applyFont="1" applyFill="1" applyBorder="1" applyAlignment="1">
      <alignment horizontal="center" vertical="center"/>
    </xf>
    <xf numFmtId="42" fontId="0" fillId="0" borderId="0" xfId="3" applyFont="1"/>
    <xf numFmtId="185" fontId="0" fillId="0" borderId="0" xfId="0" applyNumberFormat="1"/>
    <xf numFmtId="42" fontId="0" fillId="25" borderId="0" xfId="3" applyFont="1" applyFill="1"/>
    <xf numFmtId="171" fontId="0" fillId="1" borderId="429" xfId="2" applyNumberFormat="1" applyFont="1" applyFill="1" applyBorder="1" applyAlignment="1" applyProtection="1">
      <alignment vertical="center"/>
    </xf>
    <xf numFmtId="171" fontId="0" fillId="1" borderId="457" xfId="2" applyNumberFormat="1" applyFont="1" applyFill="1" applyBorder="1" applyAlignment="1" applyProtection="1">
      <alignment vertical="center"/>
    </xf>
    <xf numFmtId="171" fontId="0" fillId="1" borderId="30" xfId="2" applyNumberFormat="1" applyFont="1" applyFill="1" applyBorder="1" applyAlignment="1" applyProtection="1">
      <alignment vertical="center"/>
    </xf>
    <xf numFmtId="171" fontId="0" fillId="1" borderId="31" xfId="2" applyNumberFormat="1" applyFont="1" applyFill="1" applyBorder="1" applyAlignment="1" applyProtection="1">
      <alignment vertical="center"/>
    </xf>
    <xf numFmtId="171" fontId="0" fillId="1" borderId="46" xfId="2" applyNumberFormat="1" applyFont="1" applyFill="1" applyBorder="1" applyAlignment="1" applyProtection="1">
      <alignment vertical="center"/>
    </xf>
    <xf numFmtId="171" fontId="0" fillId="1" borderId="421" xfId="2" applyNumberFormat="1" applyFont="1" applyFill="1" applyBorder="1" applyAlignment="1" applyProtection="1">
      <alignment vertical="center"/>
    </xf>
    <xf numFmtId="171" fontId="0" fillId="1" borderId="456" xfId="2" applyNumberFormat="1" applyFont="1" applyFill="1" applyBorder="1" applyAlignment="1" applyProtection="1">
      <alignment vertical="center"/>
    </xf>
    <xf numFmtId="171" fontId="0" fillId="1" borderId="422" xfId="2" applyNumberFormat="1" applyFont="1" applyFill="1" applyBorder="1" applyAlignment="1" applyProtection="1">
      <alignment vertical="center"/>
    </xf>
    <xf numFmtId="171" fontId="0" fillId="1" borderId="423" xfId="2" applyNumberFormat="1" applyFont="1" applyFill="1" applyBorder="1" applyAlignment="1" applyProtection="1">
      <alignment vertical="center"/>
    </xf>
    <xf numFmtId="171" fontId="0" fillId="1" borderId="450" xfId="2" applyNumberFormat="1" applyFont="1" applyFill="1" applyBorder="1" applyAlignment="1" applyProtection="1">
      <alignment vertical="center"/>
    </xf>
    <xf numFmtId="171" fontId="0" fillId="1" borderId="451" xfId="2" applyNumberFormat="1" applyFont="1" applyFill="1" applyBorder="1" applyAlignment="1" applyProtection="1">
      <alignment vertical="center"/>
    </xf>
    <xf numFmtId="42" fontId="0" fillId="25" borderId="341" xfId="3" applyFont="1" applyFill="1" applyBorder="1"/>
    <xf numFmtId="42" fontId="0" fillId="25" borderId="336" xfId="3" applyFont="1" applyFill="1" applyBorder="1"/>
    <xf numFmtId="42" fontId="0" fillId="25" borderId="467" xfId="3" applyFont="1" applyFill="1" applyBorder="1"/>
    <xf numFmtId="42" fontId="0" fillId="25" borderId="468" xfId="3" applyFont="1" applyFill="1" applyBorder="1"/>
    <xf numFmtId="171" fontId="0" fillId="25" borderId="0" xfId="0" applyNumberFormat="1" applyFill="1"/>
    <xf numFmtId="9" fontId="0" fillId="83" borderId="413" xfId="4" applyFont="1" applyFill="1" applyBorder="1" applyAlignment="1">
      <alignment horizontal="center" vertical="center"/>
    </xf>
    <xf numFmtId="9" fontId="0" fillId="83" borderId="448" xfId="4" applyFont="1" applyFill="1" applyBorder="1" applyAlignment="1">
      <alignment horizontal="center" vertical="center"/>
    </xf>
    <xf numFmtId="9" fontId="0" fillId="83" borderId="441" xfId="4" applyFont="1" applyFill="1" applyBorder="1" applyAlignment="1">
      <alignment horizontal="center" vertical="center"/>
    </xf>
    <xf numFmtId="9" fontId="0" fillId="83" borderId="318" xfId="4" applyFont="1" applyFill="1" applyBorder="1" applyAlignment="1">
      <alignment horizontal="center" vertical="center"/>
    </xf>
    <xf numFmtId="42" fontId="0" fillId="0" borderId="0" xfId="3" applyFont="1" applyFill="1"/>
    <xf numFmtId="9" fontId="0" fillId="23" borderId="57" xfId="2" applyNumberFormat="1" applyFont="1" applyFill="1" applyBorder="1" applyAlignment="1" applyProtection="1">
      <alignment horizontal="center" vertical="center"/>
    </xf>
    <xf numFmtId="9" fontId="0" fillId="23" borderId="73" xfId="2" applyNumberFormat="1" applyFont="1" applyFill="1" applyBorder="1" applyAlignment="1" applyProtection="1">
      <alignment horizontal="center" vertical="center"/>
    </xf>
    <xf numFmtId="9" fontId="0" fillId="23" borderId="74" xfId="2" applyNumberFormat="1" applyFont="1" applyFill="1" applyBorder="1" applyAlignment="1" applyProtection="1">
      <alignment horizontal="center" vertical="center"/>
    </xf>
    <xf numFmtId="9" fontId="0" fillId="73" borderId="396" xfId="2" applyNumberFormat="1" applyFont="1" applyFill="1" applyBorder="1" applyAlignment="1" applyProtection="1">
      <alignment horizontal="center" vertical="center"/>
    </xf>
    <xf numFmtId="9" fontId="0" fillId="73" borderId="370" xfId="2" applyNumberFormat="1" applyFont="1" applyFill="1" applyBorder="1" applyAlignment="1" applyProtection="1">
      <alignment horizontal="center" vertical="center"/>
    </xf>
    <xf numFmtId="9" fontId="0" fillId="23" borderId="57" xfId="2" applyNumberFormat="1" applyFont="1" applyFill="1" applyBorder="1" applyAlignment="1" applyProtection="1">
      <alignment vertical="center"/>
    </xf>
    <xf numFmtId="9" fontId="0" fillId="23" borderId="73" xfId="2" applyNumberFormat="1" applyFont="1" applyFill="1" applyBorder="1" applyAlignment="1" applyProtection="1">
      <alignment vertical="center"/>
    </xf>
    <xf numFmtId="9" fontId="0" fillId="23" borderId="74" xfId="2" applyNumberFormat="1" applyFont="1" applyFill="1" applyBorder="1" applyAlignment="1" applyProtection="1">
      <alignment vertical="center"/>
    </xf>
    <xf numFmtId="9" fontId="0" fillId="23" borderId="269" xfId="2" applyNumberFormat="1" applyFont="1" applyFill="1" applyBorder="1" applyAlignment="1" applyProtection="1">
      <alignment vertical="center"/>
    </xf>
    <xf numFmtId="9" fontId="0" fillId="23" borderId="252" xfId="2" applyNumberFormat="1" applyFont="1" applyFill="1" applyBorder="1" applyAlignment="1" applyProtection="1">
      <alignment vertical="center"/>
    </xf>
    <xf numFmtId="9" fontId="0" fillId="23" borderId="270" xfId="2" applyNumberFormat="1" applyFont="1" applyFill="1" applyBorder="1" applyAlignment="1" applyProtection="1">
      <alignment vertical="center"/>
    </xf>
    <xf numFmtId="9" fontId="0" fillId="23" borderId="72" xfId="2" applyNumberFormat="1" applyFont="1" applyFill="1" applyBorder="1" applyAlignment="1" applyProtection="1">
      <alignment vertical="center"/>
    </xf>
    <xf numFmtId="9" fontId="0" fillId="23" borderId="344" xfId="2" applyNumberFormat="1" applyFont="1" applyFill="1" applyBorder="1" applyAlignment="1" applyProtection="1">
      <alignment vertical="center"/>
    </xf>
    <xf numFmtId="9" fontId="0" fillId="23" borderId="238" xfId="2" applyNumberFormat="1" applyFont="1" applyFill="1" applyBorder="1" applyAlignment="1" applyProtection="1">
      <alignment vertical="center"/>
    </xf>
    <xf numFmtId="9" fontId="0" fillId="23" borderId="345" xfId="2" applyNumberFormat="1" applyFont="1" applyFill="1" applyBorder="1" applyAlignment="1" applyProtection="1">
      <alignment vertical="center"/>
    </xf>
    <xf numFmtId="168" fontId="0" fillId="0" borderId="473" xfId="0" applyNumberFormat="1" applyBorder="1" applyAlignment="1">
      <alignment vertical="center"/>
    </xf>
    <xf numFmtId="168" fontId="0" fillId="0" borderId="455" xfId="0" applyNumberFormat="1" applyBorder="1" applyAlignment="1">
      <alignment vertical="center"/>
    </xf>
    <xf numFmtId="168" fontId="13" fillId="42" borderId="450" xfId="2" applyNumberFormat="1" applyFont="1" applyFill="1" applyBorder="1" applyAlignment="1" applyProtection="1">
      <alignment vertical="center" wrapText="1"/>
    </xf>
    <xf numFmtId="168" fontId="5" fillId="34" borderId="455" xfId="0" applyNumberFormat="1" applyFont="1" applyFill="1" applyBorder="1" applyAlignment="1">
      <alignment vertical="center"/>
    </xf>
    <xf numFmtId="168" fontId="5" fillId="34" borderId="466" xfId="2" applyNumberFormat="1" applyFont="1" applyFill="1" applyBorder="1" applyAlignment="1" applyProtection="1">
      <alignment vertical="center"/>
    </xf>
    <xf numFmtId="168" fontId="5" fillId="34" borderId="466" xfId="2" applyNumberFormat="1" applyFont="1" applyFill="1" applyBorder="1" applyAlignment="1" applyProtection="1">
      <alignment horizontal="right" vertical="center"/>
    </xf>
    <xf numFmtId="168" fontId="5" fillId="34" borderId="468" xfId="2" applyNumberFormat="1" applyFont="1" applyFill="1" applyBorder="1" applyAlignment="1" applyProtection="1">
      <alignment horizontal="right" vertical="center"/>
    </xf>
    <xf numFmtId="42" fontId="0" fillId="60" borderId="0" xfId="3" applyFont="1" applyFill="1"/>
    <xf numFmtId="0" fontId="0" fillId="60" borderId="0" xfId="0" applyFill="1"/>
    <xf numFmtId="42" fontId="0" fillId="60" borderId="0" xfId="0" applyNumberFormat="1" applyFill="1"/>
    <xf numFmtId="172" fontId="0" fillId="2" borderId="420" xfId="2" applyNumberFormat="1" applyFont="1" applyFill="1" applyBorder="1" applyAlignment="1" applyProtection="1">
      <alignment horizontal="center" vertical="center"/>
    </xf>
    <xf numFmtId="172" fontId="0" fillId="2" borderId="422" xfId="2" applyNumberFormat="1" applyFont="1" applyFill="1" applyBorder="1" applyAlignment="1" applyProtection="1">
      <alignment horizontal="center" vertical="center"/>
    </xf>
    <xf numFmtId="172" fontId="0" fillId="2" borderId="423" xfId="2" applyNumberFormat="1" applyFont="1" applyFill="1" applyBorder="1" applyAlignment="1" applyProtection="1">
      <alignment horizontal="center" vertical="center"/>
    </xf>
    <xf numFmtId="172" fontId="0" fillId="2" borderId="446" xfId="2" applyNumberFormat="1" applyFont="1" applyFill="1" applyBorder="1" applyAlignment="1" applyProtection="1">
      <alignment horizontal="center" vertical="center"/>
    </xf>
    <xf numFmtId="172" fontId="0" fillId="2" borderId="447" xfId="2" applyNumberFormat="1" applyFont="1" applyFill="1" applyBorder="1" applyAlignment="1" applyProtection="1">
      <alignment horizontal="center" vertical="center"/>
    </xf>
    <xf numFmtId="172" fontId="0" fillId="2" borderId="448" xfId="2" applyNumberFormat="1" applyFont="1" applyFill="1" applyBorder="1" applyAlignment="1" applyProtection="1">
      <alignment horizontal="center" vertical="center"/>
    </xf>
    <xf numFmtId="172" fontId="0" fillId="1" borderId="447" xfId="2" applyNumberFormat="1" applyFont="1" applyFill="1" applyBorder="1" applyAlignment="1" applyProtection="1">
      <alignment vertical="center"/>
    </xf>
    <xf numFmtId="172" fontId="0" fillId="1" borderId="448" xfId="2" applyNumberFormat="1" applyFont="1" applyFill="1" applyBorder="1" applyAlignment="1" applyProtection="1">
      <alignment vertical="center"/>
    </xf>
    <xf numFmtId="172" fontId="0" fillId="2" borderId="467" xfId="2" applyNumberFormat="1" applyFont="1" applyFill="1" applyBorder="1" applyAlignment="1" applyProtection="1">
      <alignment horizontal="center" vertical="center"/>
    </xf>
    <xf numFmtId="172" fontId="0" fillId="2" borderId="466" xfId="2" applyNumberFormat="1" applyFont="1" applyFill="1" applyBorder="1" applyAlignment="1" applyProtection="1">
      <alignment horizontal="center" vertical="center"/>
    </xf>
    <xf numFmtId="172" fontId="0" fillId="2" borderId="468" xfId="2" applyNumberFormat="1" applyFont="1" applyFill="1" applyBorder="1" applyAlignment="1" applyProtection="1">
      <alignment horizontal="center" vertical="center"/>
    </xf>
    <xf numFmtId="172" fontId="0" fillId="1" borderId="467" xfId="2" applyNumberFormat="1" applyFont="1" applyFill="1" applyBorder="1" applyAlignment="1" applyProtection="1">
      <alignment vertical="center"/>
    </xf>
    <xf numFmtId="172" fontId="0" fillId="2" borderId="449" xfId="2" applyNumberFormat="1" applyFont="1" applyFill="1" applyBorder="1" applyAlignment="1" applyProtection="1">
      <alignment horizontal="center" vertical="center"/>
    </xf>
    <xf numFmtId="172" fontId="0" fillId="2" borderId="450" xfId="2" applyNumberFormat="1" applyFont="1" applyFill="1" applyBorder="1" applyAlignment="1" applyProtection="1">
      <alignment horizontal="center" vertical="center"/>
    </xf>
    <xf numFmtId="172" fontId="0" fillId="2" borderId="451" xfId="2" applyNumberFormat="1" applyFont="1" applyFill="1" applyBorder="1" applyAlignment="1" applyProtection="1">
      <alignment horizontal="center" vertical="center"/>
    </xf>
    <xf numFmtId="9" fontId="0" fillId="23" borderId="440" xfId="2" applyNumberFormat="1" applyFont="1" applyFill="1" applyBorder="1" applyAlignment="1" applyProtection="1">
      <alignment horizontal="center" vertical="center"/>
    </xf>
    <xf numFmtId="9" fontId="0" fillId="23" borderId="435" xfId="2" applyNumberFormat="1" applyFont="1" applyFill="1" applyBorder="1" applyAlignment="1" applyProtection="1">
      <alignment horizontal="center" vertical="center"/>
    </xf>
    <xf numFmtId="9" fontId="0" fillId="23" borderId="457" xfId="2" applyNumberFormat="1" applyFont="1" applyFill="1" applyBorder="1" applyAlignment="1" applyProtection="1">
      <alignment horizontal="center" vertical="center"/>
    </xf>
    <xf numFmtId="168" fontId="0" fillId="23" borderId="467" xfId="2" applyNumberFormat="1" applyFont="1" applyFill="1" applyBorder="1" applyAlignment="1" applyProtection="1">
      <alignment vertical="center"/>
    </xf>
    <xf numFmtId="168" fontId="0" fillId="23" borderId="466" xfId="2" applyNumberFormat="1" applyFont="1" applyFill="1" applyBorder="1" applyAlignment="1" applyProtection="1">
      <alignment vertical="center"/>
    </xf>
    <xf numFmtId="168" fontId="0" fillId="23" borderId="468" xfId="2" applyNumberFormat="1" applyFont="1" applyFill="1" applyBorder="1" applyAlignment="1" applyProtection="1">
      <alignment vertical="center"/>
    </xf>
    <xf numFmtId="172" fontId="0" fillId="2" borderId="366" xfId="2" applyNumberFormat="1" applyFont="1" applyFill="1" applyBorder="1" applyAlignment="1" applyProtection="1">
      <alignment horizontal="center" vertical="center"/>
    </xf>
    <xf numFmtId="172" fontId="0" fillId="2" borderId="30" xfId="2" applyNumberFormat="1" applyFont="1" applyFill="1" applyBorder="1" applyAlignment="1" applyProtection="1">
      <alignment horizontal="center" vertical="center"/>
    </xf>
    <xf numFmtId="172" fontId="0" fillId="2" borderId="31" xfId="2" applyNumberFormat="1" applyFont="1" applyFill="1" applyBorder="1" applyAlignment="1" applyProtection="1">
      <alignment horizontal="center" vertical="center"/>
    </xf>
    <xf numFmtId="172" fontId="0" fillId="2" borderId="241" xfId="2" applyNumberFormat="1" applyFont="1" applyFill="1" applyBorder="1" applyAlignment="1" applyProtection="1">
      <alignment horizontal="center" vertical="center"/>
    </xf>
    <xf numFmtId="172" fontId="0" fillId="2" borderId="238" xfId="2" applyNumberFormat="1" applyFont="1" applyFill="1" applyBorder="1" applyAlignment="1" applyProtection="1">
      <alignment horizontal="center" vertical="center"/>
    </xf>
    <xf numFmtId="172" fontId="0" fillId="2" borderId="245" xfId="2" applyNumberFormat="1" applyFont="1" applyFill="1" applyBorder="1" applyAlignment="1" applyProtection="1">
      <alignment horizontal="center" vertical="center"/>
    </xf>
    <xf numFmtId="172" fontId="0" fillId="2" borderId="261" xfId="2" applyNumberFormat="1" applyFont="1" applyFill="1" applyBorder="1" applyAlignment="1" applyProtection="1">
      <alignment horizontal="center" vertical="center"/>
    </xf>
    <xf numFmtId="172" fontId="0" fillId="2" borderId="262" xfId="2" applyNumberFormat="1" applyFont="1" applyFill="1" applyBorder="1" applyAlignment="1" applyProtection="1">
      <alignment horizontal="center" vertical="center"/>
    </xf>
    <xf numFmtId="172" fontId="0" fillId="2" borderId="294" xfId="2" applyNumberFormat="1" applyFont="1" applyFill="1" applyBorder="1" applyAlignment="1" applyProtection="1">
      <alignment horizontal="center" vertical="center"/>
    </xf>
    <xf numFmtId="171" fontId="0" fillId="43" borderId="316" xfId="2" applyNumberFormat="1" applyFont="1" applyFill="1" applyBorder="1" applyAlignment="1" applyProtection="1">
      <alignment vertical="center"/>
    </xf>
    <xf numFmtId="171" fontId="0" fillId="43" borderId="318" xfId="2" applyNumberFormat="1" applyFont="1" applyFill="1" applyBorder="1" applyAlignment="1" applyProtection="1">
      <alignment vertical="center"/>
    </xf>
    <xf numFmtId="172" fontId="0" fillId="43" borderId="449" xfId="2" applyNumberFormat="1" applyFont="1" applyFill="1" applyBorder="1" applyAlignment="1" applyProtection="1">
      <alignment horizontal="center" vertical="center"/>
    </xf>
    <xf numFmtId="172" fontId="0" fillId="43" borderId="450" xfId="2" applyNumberFormat="1" applyFont="1" applyFill="1" applyBorder="1" applyAlignment="1" applyProtection="1">
      <alignment horizontal="center" vertical="center"/>
    </xf>
    <xf numFmtId="172" fontId="0" fillId="43" borderId="451" xfId="2" applyNumberFormat="1" applyFont="1" applyFill="1" applyBorder="1" applyAlignment="1" applyProtection="1">
      <alignment horizontal="center" vertical="center"/>
    </xf>
    <xf numFmtId="171" fontId="0" fillId="84" borderId="441" xfId="2" applyNumberFormat="1" applyFont="1" applyFill="1" applyBorder="1" applyAlignment="1" applyProtection="1">
      <alignment vertical="center"/>
    </xf>
    <xf numFmtId="171" fontId="0" fillId="43" borderId="450" xfId="2" applyNumberFormat="1" applyFont="1" applyFill="1" applyBorder="1" applyAlignment="1" applyProtection="1">
      <alignment vertical="center"/>
    </xf>
    <xf numFmtId="171" fontId="0" fillId="43" borderId="451" xfId="2" applyNumberFormat="1" applyFont="1" applyFill="1" applyBorder="1" applyAlignment="1" applyProtection="1">
      <alignment vertical="center"/>
    </xf>
    <xf numFmtId="171" fontId="0" fillId="43" borderId="411" xfId="2" applyNumberFormat="1" applyFont="1" applyFill="1" applyBorder="1" applyAlignment="1" applyProtection="1">
      <alignment vertical="center"/>
    </xf>
    <xf numFmtId="171" fontId="0" fillId="43" borderId="414" xfId="2" applyNumberFormat="1" applyFont="1" applyFill="1" applyBorder="1" applyAlignment="1" applyProtection="1">
      <alignment vertical="center"/>
    </xf>
    <xf numFmtId="172" fontId="0" fillId="43" borderId="467" xfId="2" applyNumberFormat="1" applyFont="1" applyFill="1" applyBorder="1" applyAlignment="1" applyProtection="1">
      <alignment horizontal="center" vertical="center"/>
    </xf>
    <xf numFmtId="172" fontId="0" fillId="43" borderId="466" xfId="2" applyNumberFormat="1" applyFont="1" applyFill="1" applyBorder="1" applyAlignment="1" applyProtection="1">
      <alignment horizontal="center" vertical="center"/>
    </xf>
    <xf numFmtId="172" fontId="0" fillId="43" borderId="468" xfId="2" applyNumberFormat="1" applyFont="1" applyFill="1" applyBorder="1" applyAlignment="1" applyProtection="1">
      <alignment horizontal="center" vertical="center"/>
    </xf>
    <xf numFmtId="171" fontId="0" fillId="84" borderId="467" xfId="2" applyNumberFormat="1" applyFont="1" applyFill="1" applyBorder="1" applyAlignment="1" applyProtection="1">
      <alignment vertical="center"/>
    </xf>
    <xf numFmtId="171" fontId="0" fillId="43" borderId="466" xfId="2" applyNumberFormat="1" applyFont="1" applyFill="1" applyBorder="1" applyAlignment="1" applyProtection="1">
      <alignment vertical="center"/>
    </xf>
    <xf numFmtId="171" fontId="0" fillId="43" borderId="468" xfId="2" applyNumberFormat="1" applyFont="1" applyFill="1" applyBorder="1" applyAlignment="1" applyProtection="1">
      <alignment vertical="center"/>
    </xf>
    <xf numFmtId="0" fontId="0" fillId="25" borderId="340" xfId="0" applyFill="1" applyBorder="1"/>
    <xf numFmtId="1" fontId="33" fillId="2" borderId="446" xfId="0" applyNumberFormat="1" applyFont="1" applyFill="1" applyBorder="1" applyAlignment="1" applyProtection="1">
      <alignment horizontal="center" vertical="center"/>
      <protection locked="0"/>
    </xf>
    <xf numFmtId="173" fontId="0" fillId="2" borderId="447" xfId="2" applyNumberFormat="1" applyFont="1" applyFill="1" applyBorder="1" applyAlignment="1" applyProtection="1">
      <alignment horizontal="center" vertical="center"/>
      <protection locked="0"/>
    </xf>
    <xf numFmtId="173" fontId="0" fillId="2" borderId="448" xfId="2" applyNumberFormat="1" applyFont="1" applyFill="1" applyBorder="1" applyAlignment="1" applyProtection="1">
      <alignment horizontal="center" vertical="center"/>
      <protection locked="0"/>
    </xf>
    <xf numFmtId="1" fontId="33" fillId="2" borderId="447" xfId="0" applyNumberFormat="1" applyFont="1" applyFill="1" applyBorder="1" applyAlignment="1" applyProtection="1">
      <alignment horizontal="center" vertical="center"/>
      <protection locked="0"/>
    </xf>
    <xf numFmtId="173" fontId="0" fillId="2" borderId="446" xfId="2" applyNumberFormat="1" applyFont="1" applyFill="1" applyBorder="1" applyAlignment="1" applyProtection="1">
      <alignment horizontal="center" vertical="center"/>
      <protection locked="0"/>
    </xf>
    <xf numFmtId="173" fontId="0" fillId="2" borderId="450" xfId="2" applyNumberFormat="1" applyFont="1" applyFill="1" applyBorder="1" applyAlignment="1" applyProtection="1">
      <alignment horizontal="center" vertical="center"/>
      <protection locked="0"/>
    </xf>
    <xf numFmtId="173" fontId="0" fillId="2" borderId="421" xfId="2" applyNumberFormat="1" applyFont="1" applyFill="1" applyBorder="1" applyAlignment="1" applyProtection="1">
      <alignment horizontal="center" vertical="center"/>
      <protection locked="0"/>
    </xf>
    <xf numFmtId="173" fontId="0" fillId="2" borderId="455" xfId="2" applyNumberFormat="1" applyFont="1" applyFill="1" applyBorder="1" applyAlignment="1" applyProtection="1">
      <alignment horizontal="center" vertical="center"/>
      <protection locked="0"/>
    </xf>
    <xf numFmtId="173" fontId="0" fillId="37" borderId="447" xfId="2" applyNumberFormat="1" applyFont="1" applyFill="1" applyBorder="1" applyAlignment="1" applyProtection="1">
      <alignment horizontal="center" vertical="center"/>
      <protection locked="0"/>
    </xf>
    <xf numFmtId="173" fontId="0" fillId="2" borderId="444" xfId="2" applyNumberFormat="1" applyFont="1" applyFill="1" applyBorder="1" applyAlignment="1" applyProtection="1">
      <alignment horizontal="center" vertical="center"/>
      <protection locked="0"/>
    </xf>
    <xf numFmtId="0" fontId="45" fillId="0" borderId="0" xfId="0" applyFont="1"/>
    <xf numFmtId="4" fontId="45" fillId="0" borderId="0" xfId="0" applyNumberFormat="1" applyFont="1"/>
    <xf numFmtId="188" fontId="45" fillId="0" borderId="0" xfId="0" applyNumberFormat="1" applyFont="1"/>
    <xf numFmtId="0" fontId="46" fillId="0" borderId="0" xfId="0" applyFont="1"/>
    <xf numFmtId="0" fontId="45" fillId="25" borderId="0" xfId="0" applyFont="1" applyFill="1"/>
    <xf numFmtId="0" fontId="45" fillId="85" borderId="447" xfId="0" applyFont="1" applyFill="1" applyBorder="1" applyAlignment="1">
      <alignment horizontal="center" vertical="center"/>
    </xf>
    <xf numFmtId="0" fontId="45" fillId="25" borderId="0" xfId="0" applyFont="1" applyFill="1" applyAlignment="1">
      <alignment horizontal="center" vertical="center"/>
    </xf>
    <xf numFmtId="0" fontId="46" fillId="31" borderId="474" xfId="0" applyFont="1" applyFill="1" applyBorder="1" applyAlignment="1">
      <alignment horizontal="center" vertical="center" wrapText="1"/>
    </xf>
    <xf numFmtId="0" fontId="47" fillId="31" borderId="475" xfId="0" applyFont="1" applyFill="1" applyBorder="1" applyAlignment="1">
      <alignment horizontal="left" vertical="center"/>
    </xf>
    <xf numFmtId="168" fontId="47" fillId="31" borderId="447" xfId="7" applyNumberFormat="1" applyFont="1" applyFill="1" applyBorder="1" applyAlignment="1">
      <alignment horizontal="center" vertical="center"/>
    </xf>
    <xf numFmtId="9" fontId="48" fillId="8" borderId="447" xfId="0" applyNumberFormat="1" applyFont="1" applyFill="1" applyBorder="1" applyAlignment="1">
      <alignment wrapText="1"/>
    </xf>
    <xf numFmtId="9" fontId="46" fillId="25" borderId="0" xfId="0" applyNumberFormat="1" applyFont="1" applyFill="1"/>
    <xf numFmtId="1" fontId="45" fillId="2" borderId="476" xfId="0" applyNumberFormat="1" applyFont="1" applyFill="1" applyBorder="1" applyAlignment="1">
      <alignment horizontal="center" vertical="center" wrapText="1"/>
    </xf>
    <xf numFmtId="175" fontId="49" fillId="2" borderId="477" xfId="0" applyNumberFormat="1" applyFont="1" applyFill="1" applyBorder="1"/>
    <xf numFmtId="168" fontId="40" fillId="2" borderId="447" xfId="7" applyNumberFormat="1" applyFont="1" applyFill="1" applyBorder="1" applyAlignment="1" applyProtection="1">
      <alignment vertical="center"/>
      <protection locked="0"/>
    </xf>
    <xf numFmtId="168" fontId="46" fillId="61" borderId="447" xfId="7" applyNumberFormat="1" applyFont="1" applyFill="1" applyBorder="1" applyAlignment="1" applyProtection="1">
      <alignment vertical="center"/>
      <protection locked="0"/>
    </xf>
    <xf numFmtId="168" fontId="46" fillId="0" borderId="0" xfId="7" applyNumberFormat="1" applyFont="1" applyAlignment="1" applyProtection="1">
      <alignment vertical="center"/>
      <protection locked="0"/>
    </xf>
    <xf numFmtId="189" fontId="50" fillId="0" borderId="0" xfId="0" applyNumberFormat="1" applyFont="1"/>
    <xf numFmtId="1" fontId="40" fillId="25" borderId="476" xfId="0" applyNumberFormat="1" applyFont="1" applyFill="1" applyBorder="1" applyAlignment="1">
      <alignment vertical="center" wrapText="1"/>
    </xf>
    <xf numFmtId="175" fontId="49" fillId="25" borderId="478" xfId="0" applyNumberFormat="1" applyFont="1" applyFill="1" applyBorder="1" applyAlignment="1">
      <alignment wrapText="1"/>
    </xf>
    <xf numFmtId="168" fontId="40" fillId="25" borderId="447" xfId="7" applyNumberFormat="1" applyFont="1" applyFill="1" applyBorder="1" applyAlignment="1" applyProtection="1">
      <alignment vertical="center"/>
      <protection locked="0"/>
    </xf>
    <xf numFmtId="168" fontId="46" fillId="25" borderId="447" xfId="7" applyNumberFormat="1" applyFont="1" applyFill="1" applyBorder="1" applyAlignment="1" applyProtection="1">
      <alignment vertical="center"/>
      <protection locked="0"/>
    </xf>
    <xf numFmtId="1" fontId="40" fillId="25" borderId="476" xfId="0" applyNumberFormat="1" applyFont="1" applyFill="1" applyBorder="1" applyAlignment="1">
      <alignment horizontal="center" vertical="center" wrapText="1"/>
    </xf>
    <xf numFmtId="175" fontId="49" fillId="2" borderId="478" xfId="0" applyNumberFormat="1" applyFont="1" applyFill="1" applyBorder="1"/>
    <xf numFmtId="168" fontId="46" fillId="0" borderId="447" xfId="7" applyNumberFormat="1" applyFont="1" applyBorder="1" applyAlignment="1" applyProtection="1">
      <alignment vertical="center"/>
      <protection locked="0"/>
    </xf>
    <xf numFmtId="0" fontId="45" fillId="0" borderId="0" xfId="0" applyFont="1" applyAlignment="1">
      <alignment horizontal="center" wrapText="1"/>
    </xf>
    <xf numFmtId="0" fontId="45" fillId="0" borderId="0" xfId="0" applyFont="1" applyAlignment="1">
      <alignment horizontal="center" vertical="center" wrapText="1"/>
    </xf>
    <xf numFmtId="175" fontId="49" fillId="2" borderId="477" xfId="0" applyNumberFormat="1" applyFont="1" applyFill="1" applyBorder="1" applyAlignment="1">
      <alignment horizontal="left"/>
    </xf>
    <xf numFmtId="168" fontId="46" fillId="25" borderId="0" xfId="7" applyNumberFormat="1" applyFont="1" applyFill="1" applyAlignment="1" applyProtection="1">
      <alignment vertical="center"/>
      <protection locked="0"/>
    </xf>
    <xf numFmtId="187" fontId="45" fillId="25" borderId="0" xfId="0" applyNumberFormat="1" applyFont="1" applyFill="1"/>
    <xf numFmtId="1" fontId="45" fillId="25" borderId="476" xfId="0" applyNumberFormat="1" applyFont="1" applyFill="1" applyBorder="1" applyAlignment="1">
      <alignment horizontal="center" vertical="center" wrapText="1"/>
    </xf>
    <xf numFmtId="175" fontId="49" fillId="25" borderId="477" xfId="0" applyNumberFormat="1" applyFont="1" applyFill="1" applyBorder="1" applyAlignment="1">
      <alignment horizontal="left"/>
    </xf>
    <xf numFmtId="168" fontId="46" fillId="25" borderId="447" xfId="7" applyNumberFormat="1" applyFont="1" applyFill="1" applyBorder="1" applyAlignment="1" applyProtection="1">
      <alignment horizontal="center" vertical="center"/>
      <protection locked="0"/>
    </xf>
    <xf numFmtId="175" fontId="51" fillId="25" borderId="477" xfId="0" applyNumberFormat="1" applyFont="1" applyFill="1" applyBorder="1" applyAlignment="1">
      <alignment horizontal="left"/>
    </xf>
    <xf numFmtId="168" fontId="52" fillId="25" borderId="447" xfId="7" applyNumberFormat="1" applyFont="1" applyFill="1" applyBorder="1" applyAlignment="1" applyProtection="1">
      <alignment vertical="center"/>
      <protection locked="0"/>
    </xf>
    <xf numFmtId="187" fontId="45" fillId="25" borderId="0" xfId="0" applyNumberFormat="1" applyFont="1" applyFill="1" applyAlignment="1">
      <alignment vertical="center" wrapText="1"/>
    </xf>
    <xf numFmtId="0" fontId="45" fillId="25" borderId="0" xfId="0" applyFont="1" applyFill="1" applyAlignment="1">
      <alignment vertical="center" wrapText="1"/>
    </xf>
    <xf numFmtId="1" fontId="45" fillId="25" borderId="479" xfId="0" applyNumberFormat="1" applyFont="1" applyFill="1" applyBorder="1" applyAlignment="1">
      <alignment horizontal="center" vertical="center" wrapText="1"/>
    </xf>
    <xf numFmtId="0" fontId="45" fillId="25" borderId="447" xfId="0" applyFont="1" applyFill="1" applyBorder="1" applyAlignment="1" applyProtection="1">
      <alignment wrapText="1"/>
      <protection locked="0"/>
    </xf>
    <xf numFmtId="0" fontId="52" fillId="25" borderId="0" xfId="0" applyFont="1" applyFill="1"/>
    <xf numFmtId="1" fontId="45" fillId="2" borderId="447" xfId="0" applyNumberFormat="1" applyFont="1" applyFill="1" applyBorder="1" applyAlignment="1">
      <alignment horizontal="center" vertical="center" wrapText="1"/>
    </xf>
    <xf numFmtId="175" fontId="49" fillId="2" borderId="447" xfId="0" applyNumberFormat="1" applyFont="1" applyFill="1" applyBorder="1" applyAlignment="1">
      <alignment horizontal="left"/>
    </xf>
    <xf numFmtId="168" fontId="46" fillId="2" borderId="447" xfId="7" applyNumberFormat="1" applyFont="1" applyFill="1" applyBorder="1" applyAlignment="1" applyProtection="1">
      <alignment vertical="center"/>
      <protection locked="0"/>
    </xf>
    <xf numFmtId="0" fontId="45" fillId="25" borderId="447" xfId="0" applyFont="1" applyFill="1" applyBorder="1"/>
    <xf numFmtId="0" fontId="45" fillId="0" borderId="447" xfId="0" applyFont="1" applyBorder="1" applyAlignment="1">
      <alignment horizontal="center"/>
    </xf>
    <xf numFmtId="0" fontId="53" fillId="0" borderId="447" xfId="0" applyFont="1" applyBorder="1"/>
    <xf numFmtId="168" fontId="54" fillId="2" borderId="447" xfId="0" applyNumberFormat="1" applyFont="1" applyFill="1" applyBorder="1"/>
    <xf numFmtId="168" fontId="46" fillId="0" borderId="0" xfId="0" applyNumberFormat="1" applyFont="1"/>
    <xf numFmtId="1" fontId="40" fillId="25" borderId="447" xfId="0" applyNumberFormat="1" applyFont="1" applyFill="1" applyBorder="1" applyAlignment="1">
      <alignment horizontal="center" vertical="center" wrapText="1"/>
    </xf>
    <xf numFmtId="175" fontId="51" fillId="25" borderId="447" xfId="0" applyNumberFormat="1" applyFont="1" applyFill="1" applyBorder="1" applyAlignment="1">
      <alignment horizontal="left"/>
    </xf>
    <xf numFmtId="0" fontId="45" fillId="0" borderId="0" xfId="0" applyFont="1" applyAlignment="1">
      <alignment horizontal="left"/>
    </xf>
    <xf numFmtId="1" fontId="45" fillId="25" borderId="480" xfId="0" applyNumberFormat="1" applyFont="1" applyFill="1" applyBorder="1" applyAlignment="1">
      <alignment horizontal="center" vertical="center" wrapText="1"/>
    </xf>
    <xf numFmtId="175" fontId="51" fillId="25" borderId="477" xfId="0" applyNumberFormat="1" applyFont="1" applyFill="1" applyBorder="1" applyAlignment="1">
      <alignment horizontal="left" vertical="center"/>
    </xf>
    <xf numFmtId="1" fontId="0" fillId="2" borderId="481" xfId="0" applyNumberFormat="1" applyFill="1" applyBorder="1" applyAlignment="1">
      <alignment horizontal="center" vertical="center" wrapText="1"/>
    </xf>
    <xf numFmtId="175" fontId="55" fillId="2" borderId="447" xfId="0" applyNumberFormat="1" applyFont="1" applyFill="1" applyBorder="1" applyAlignment="1">
      <alignment horizontal="left"/>
    </xf>
    <xf numFmtId="168" fontId="52" fillId="2" borderId="447" xfId="7" applyNumberFormat="1" applyFont="1" applyFill="1" applyBorder="1" applyAlignment="1" applyProtection="1">
      <alignment vertical="center"/>
      <protection locked="0"/>
    </xf>
    <xf numFmtId="0" fontId="0" fillId="0" borderId="447" xfId="0" applyBorder="1" applyAlignment="1">
      <alignment horizontal="center"/>
    </xf>
    <xf numFmtId="175" fontId="51" fillId="25" borderId="447" xfId="0" applyNumberFormat="1" applyFont="1" applyFill="1" applyBorder="1" applyAlignment="1">
      <alignment horizontal="left" vertical="center"/>
    </xf>
    <xf numFmtId="0" fontId="45" fillId="0" borderId="0" xfId="0" applyFont="1" applyAlignment="1" applyProtection="1">
      <alignment horizontal="left" vertical="center"/>
      <protection locked="0"/>
    </xf>
    <xf numFmtId="1" fontId="45" fillId="0" borderId="447" xfId="0" applyNumberFormat="1" applyFont="1" applyBorder="1" applyAlignment="1">
      <alignment horizontal="center" vertical="center" wrapText="1"/>
    </xf>
    <xf numFmtId="175" fontId="49" fillId="25" borderId="447" xfId="0" applyNumberFormat="1" applyFont="1" applyFill="1" applyBorder="1" applyAlignment="1">
      <alignment horizontal="left"/>
    </xf>
    <xf numFmtId="168" fontId="52" fillId="25" borderId="0" xfId="7" applyNumberFormat="1" applyFont="1" applyFill="1" applyAlignment="1" applyProtection="1">
      <alignment vertical="center"/>
      <protection locked="0"/>
    </xf>
    <xf numFmtId="0" fontId="45" fillId="0" borderId="81" xfId="0" applyFont="1" applyBorder="1"/>
    <xf numFmtId="0" fontId="45" fillId="2" borderId="447" xfId="0" applyFont="1" applyFill="1" applyBorder="1"/>
    <xf numFmtId="0" fontId="45" fillId="0" borderId="447" xfId="0" applyFont="1" applyBorder="1"/>
    <xf numFmtId="0" fontId="0" fillId="0" borderId="447" xfId="0" applyBorder="1"/>
    <xf numFmtId="164" fontId="7" fillId="2" borderId="447" xfId="6" applyNumberFormat="1" applyFont="1" applyFill="1" applyBorder="1" applyProtection="1">
      <protection locked="0"/>
    </xf>
    <xf numFmtId="181" fontId="7" fillId="2" borderId="447" xfId="7" applyNumberFormat="1" applyFill="1" applyBorder="1" applyProtection="1">
      <protection locked="0"/>
    </xf>
    <xf numFmtId="0" fontId="0" fillId="25" borderId="447" xfId="0" applyFill="1" applyBorder="1" applyAlignment="1">
      <alignment horizontal="center"/>
    </xf>
    <xf numFmtId="181" fontId="7" fillId="0" borderId="447" xfId="7" applyNumberFormat="1" applyBorder="1"/>
    <xf numFmtId="168" fontId="7" fillId="2" borderId="447" xfId="7" applyNumberFormat="1" applyFill="1" applyBorder="1" applyAlignment="1" applyProtection="1">
      <alignment vertical="center"/>
      <protection locked="0"/>
    </xf>
    <xf numFmtId="168" fontId="7" fillId="86" borderId="447" xfId="7" applyNumberFormat="1" applyFill="1" applyBorder="1" applyAlignment="1" applyProtection="1">
      <alignment vertical="center"/>
      <protection locked="0"/>
    </xf>
    <xf numFmtId="177" fontId="7" fillId="2" borderId="447" xfId="1" applyNumberFormat="1" applyFont="1" applyFill="1" applyBorder="1" applyAlignment="1" applyProtection="1">
      <alignment horizontal="right" vertical="center"/>
      <protection locked="0"/>
    </xf>
    <xf numFmtId="168" fontId="31" fillId="2" borderId="447" xfId="2" applyNumberFormat="1" applyFont="1" applyFill="1" applyBorder="1" applyAlignment="1" applyProtection="1">
      <alignment vertical="center"/>
      <protection locked="0"/>
    </xf>
    <xf numFmtId="0" fontId="0" fillId="0" borderId="447" xfId="0" applyBorder="1" applyAlignment="1" applyProtection="1">
      <alignment horizontal="left" vertical="center"/>
      <protection locked="0"/>
    </xf>
    <xf numFmtId="0" fontId="15" fillId="0" borderId="447" xfId="19" applyFont="1" applyBorder="1" applyAlignment="1" applyProtection="1">
      <alignment vertical="center"/>
      <protection locked="0"/>
    </xf>
    <xf numFmtId="0" fontId="56" fillId="0" borderId="0" xfId="0" applyFont="1"/>
    <xf numFmtId="0" fontId="56" fillId="25" borderId="0" xfId="0" applyFont="1" applyFill="1"/>
    <xf numFmtId="2" fontId="46" fillId="8" borderId="482" xfId="0" applyNumberFormat="1" applyFont="1" applyFill="1" applyBorder="1"/>
    <xf numFmtId="0" fontId="47" fillId="87" borderId="0" xfId="0" applyFont="1" applyFill="1" applyAlignment="1">
      <alignment horizontal="left" vertical="center"/>
    </xf>
    <xf numFmtId="1" fontId="40" fillId="88" borderId="476" xfId="0" applyNumberFormat="1" applyFont="1" applyFill="1" applyBorder="1" applyAlignment="1">
      <alignment vertical="center" wrapText="1"/>
    </xf>
    <xf numFmtId="175" fontId="49" fillId="88" borderId="477" xfId="0" applyNumberFormat="1" applyFont="1" applyFill="1" applyBorder="1"/>
    <xf numFmtId="168" fontId="40" fillId="88" borderId="447" xfId="7" applyNumberFormat="1" applyFont="1" applyFill="1" applyBorder="1" applyAlignment="1" applyProtection="1">
      <alignment vertical="center"/>
      <protection locked="0"/>
    </xf>
    <xf numFmtId="168" fontId="46" fillId="88" borderId="447" xfId="7" applyNumberFormat="1" applyFont="1" applyFill="1" applyBorder="1" applyAlignment="1" applyProtection="1">
      <alignment vertical="center"/>
      <protection locked="0"/>
    </xf>
    <xf numFmtId="175" fontId="49" fillId="25" borderId="0" xfId="0" applyNumberFormat="1" applyFont="1" applyFill="1" applyAlignment="1">
      <alignment horizontal="left"/>
    </xf>
    <xf numFmtId="175" fontId="49" fillId="25" borderId="478" xfId="0" applyNumberFormat="1" applyFont="1" applyFill="1" applyBorder="1"/>
    <xf numFmtId="1" fontId="56" fillId="88" borderId="476" xfId="0" applyNumberFormat="1" applyFont="1" applyFill="1" applyBorder="1" applyAlignment="1">
      <alignment horizontal="center" vertical="center" wrapText="1"/>
    </xf>
    <xf numFmtId="175" fontId="49" fillId="88" borderId="477" xfId="0" applyNumberFormat="1" applyFont="1" applyFill="1" applyBorder="1" applyAlignment="1">
      <alignment horizontal="left"/>
    </xf>
    <xf numFmtId="168" fontId="57" fillId="2" borderId="447" xfId="7" applyNumberFormat="1" applyFont="1" applyFill="1" applyBorder="1" applyAlignment="1" applyProtection="1">
      <alignment vertical="center"/>
      <protection locked="0"/>
    </xf>
    <xf numFmtId="1" fontId="56" fillId="89" borderId="476" xfId="0" applyNumberFormat="1" applyFont="1" applyFill="1" applyBorder="1" applyAlignment="1">
      <alignment horizontal="center" vertical="center" wrapText="1"/>
    </xf>
    <xf numFmtId="175" fontId="49" fillId="89" borderId="447" xfId="0" applyNumberFormat="1" applyFont="1" applyFill="1" applyBorder="1" applyAlignment="1">
      <alignment horizontal="left"/>
    </xf>
    <xf numFmtId="168" fontId="40" fillId="89" borderId="447" xfId="7" applyNumberFormat="1" applyFont="1" applyFill="1" applyBorder="1" applyAlignment="1" applyProtection="1">
      <alignment vertical="center"/>
      <protection locked="0"/>
    </xf>
    <xf numFmtId="168" fontId="57" fillId="88" borderId="447" xfId="7" applyNumberFormat="1" applyFont="1" applyFill="1" applyBorder="1" applyAlignment="1" applyProtection="1">
      <alignment vertical="center"/>
      <protection locked="0"/>
    </xf>
    <xf numFmtId="1" fontId="56" fillId="25" borderId="479" xfId="0" applyNumberFormat="1" applyFont="1" applyFill="1" applyBorder="1" applyAlignment="1">
      <alignment horizontal="center" vertical="center" wrapText="1"/>
    </xf>
    <xf numFmtId="0" fontId="56" fillId="25" borderId="447" xfId="0" applyFont="1" applyFill="1" applyBorder="1" applyAlignment="1" applyProtection="1">
      <alignment wrapText="1"/>
      <protection locked="0"/>
    </xf>
    <xf numFmtId="0" fontId="40" fillId="0" borderId="0" xfId="0" applyFont="1"/>
    <xf numFmtId="175" fontId="49" fillId="88" borderId="478" xfId="0" applyNumberFormat="1" applyFont="1" applyFill="1" applyBorder="1" applyAlignment="1">
      <alignment horizontal="left"/>
    </xf>
    <xf numFmtId="1" fontId="56" fillId="88" borderId="483" xfId="0" applyNumberFormat="1" applyFont="1" applyFill="1" applyBorder="1" applyAlignment="1">
      <alignment horizontal="center" vertical="center" wrapText="1"/>
    </xf>
    <xf numFmtId="1" fontId="56" fillId="89" borderId="447" xfId="0" applyNumberFormat="1" applyFont="1" applyFill="1" applyBorder="1" applyAlignment="1">
      <alignment horizontal="center" vertical="center" wrapText="1"/>
    </xf>
    <xf numFmtId="175" fontId="49" fillId="89" borderId="482" xfId="0" applyNumberFormat="1" applyFont="1" applyFill="1" applyBorder="1" applyAlignment="1">
      <alignment horizontal="left"/>
    </xf>
    <xf numFmtId="168" fontId="40" fillId="89" borderId="484" xfId="7" applyNumberFormat="1" applyFont="1" applyFill="1" applyBorder="1" applyAlignment="1" applyProtection="1">
      <alignment vertical="center"/>
      <protection locked="0"/>
    </xf>
    <xf numFmtId="0" fontId="58" fillId="0" borderId="0" xfId="0" applyFont="1"/>
    <xf numFmtId="0" fontId="58" fillId="25" borderId="0" xfId="0" applyFont="1" applyFill="1"/>
    <xf numFmtId="1" fontId="56" fillId="25" borderId="447" xfId="0" applyNumberFormat="1" applyFont="1" applyFill="1" applyBorder="1" applyAlignment="1">
      <alignment horizontal="center" vertical="center" wrapText="1"/>
    </xf>
    <xf numFmtId="175" fontId="49" fillId="25" borderId="482" xfId="0" applyNumberFormat="1" applyFont="1" applyFill="1" applyBorder="1" applyAlignment="1">
      <alignment horizontal="left"/>
    </xf>
    <xf numFmtId="175" fontId="49" fillId="25" borderId="477" xfId="0" applyNumberFormat="1" applyFont="1" applyFill="1" applyBorder="1" applyAlignment="1">
      <alignment horizontal="left" vertical="center"/>
    </xf>
    <xf numFmtId="1" fontId="40" fillId="25" borderId="485" xfId="0" applyNumberFormat="1" applyFont="1" applyFill="1" applyBorder="1" applyAlignment="1">
      <alignment horizontal="center" vertical="center" wrapText="1"/>
    </xf>
    <xf numFmtId="0" fontId="56" fillId="25" borderId="447" xfId="0" applyFont="1" applyFill="1" applyBorder="1" applyAlignment="1" applyProtection="1">
      <alignment horizontal="left" vertical="center"/>
      <protection locked="0"/>
    </xf>
    <xf numFmtId="3" fontId="56" fillId="25" borderId="447" xfId="0" applyNumberFormat="1" applyFont="1" applyFill="1" applyBorder="1"/>
    <xf numFmtId="1" fontId="56" fillId="90" borderId="447" xfId="0" applyNumberFormat="1" applyFont="1" applyFill="1" applyBorder="1" applyAlignment="1">
      <alignment horizontal="center" vertical="center" wrapText="1"/>
    </xf>
    <xf numFmtId="175" fontId="49" fillId="90" borderId="486" xfId="0" applyNumberFormat="1" applyFont="1" applyFill="1" applyBorder="1" applyAlignment="1">
      <alignment horizontal="left"/>
    </xf>
    <xf numFmtId="168" fontId="46" fillId="90" borderId="447" xfId="0" applyNumberFormat="1" applyFont="1" applyFill="1" applyBorder="1"/>
    <xf numFmtId="175" fontId="49" fillId="25" borderId="486" xfId="0" applyNumberFormat="1" applyFont="1" applyFill="1" applyBorder="1" applyAlignment="1">
      <alignment horizontal="left"/>
    </xf>
    <xf numFmtId="168" fontId="46" fillId="90" borderId="447" xfId="7" applyNumberFormat="1" applyFont="1" applyFill="1" applyBorder="1" applyAlignment="1" applyProtection="1">
      <alignment vertical="center"/>
      <protection locked="0"/>
    </xf>
    <xf numFmtId="175" fontId="49" fillId="90" borderId="447" xfId="0" applyNumberFormat="1" applyFont="1" applyFill="1" applyBorder="1" applyAlignment="1">
      <alignment horizontal="left"/>
    </xf>
    <xf numFmtId="168" fontId="54" fillId="90" borderId="447" xfId="0" applyNumberFormat="1" applyFont="1" applyFill="1" applyBorder="1"/>
    <xf numFmtId="0" fontId="59" fillId="0" borderId="0" xfId="0" applyFont="1"/>
    <xf numFmtId="1" fontId="56" fillId="25" borderId="487" xfId="0" applyNumberFormat="1" applyFont="1" applyFill="1" applyBorder="1" applyAlignment="1">
      <alignment horizontal="center" vertical="center" wrapText="1"/>
    </xf>
    <xf numFmtId="175" fontId="49" fillId="25" borderId="487" xfId="0" applyNumberFormat="1" applyFont="1" applyFill="1" applyBorder="1" applyAlignment="1">
      <alignment horizontal="left"/>
    </xf>
    <xf numFmtId="168" fontId="40" fillId="25" borderId="487" xfId="7" applyNumberFormat="1" applyFont="1" applyFill="1" applyBorder="1" applyAlignment="1" applyProtection="1">
      <alignment vertical="center"/>
      <protection locked="0"/>
    </xf>
    <xf numFmtId="1" fontId="56" fillId="25" borderId="435" xfId="0" applyNumberFormat="1" applyFont="1" applyFill="1" applyBorder="1" applyAlignment="1">
      <alignment horizontal="center" vertical="center" wrapText="1"/>
    </xf>
    <xf numFmtId="175" fontId="49" fillId="25" borderId="435" xfId="0" applyNumberFormat="1" applyFont="1" applyFill="1" applyBorder="1" applyAlignment="1">
      <alignment horizontal="left"/>
    </xf>
    <xf numFmtId="168" fontId="40" fillId="25" borderId="435" xfId="7" applyNumberFormat="1" applyFont="1" applyFill="1" applyBorder="1" applyAlignment="1" applyProtection="1">
      <alignment vertical="center"/>
      <protection locked="0"/>
    </xf>
    <xf numFmtId="175" fontId="49" fillId="25" borderId="488" xfId="0" applyNumberFormat="1" applyFont="1" applyFill="1" applyBorder="1" applyAlignment="1">
      <alignment horizontal="left"/>
    </xf>
    <xf numFmtId="1" fontId="40" fillId="25" borderId="480" xfId="0" applyNumberFormat="1" applyFont="1" applyFill="1" applyBorder="1" applyAlignment="1">
      <alignment horizontal="center" vertical="center" wrapText="1"/>
    </xf>
    <xf numFmtId="175" fontId="49" fillId="25" borderId="447" xfId="0" applyNumberFormat="1" applyFont="1" applyFill="1" applyBorder="1" applyAlignment="1">
      <alignment horizontal="left" vertical="center"/>
    </xf>
    <xf numFmtId="0" fontId="40" fillId="25" borderId="447" xfId="0" applyFont="1" applyFill="1" applyBorder="1" applyAlignment="1">
      <alignment horizontal="left" vertical="center" wrapText="1"/>
    </xf>
    <xf numFmtId="175" fontId="49" fillId="25" borderId="489" xfId="0" applyNumberFormat="1" applyFont="1" applyFill="1" applyBorder="1" applyAlignment="1">
      <alignment horizontal="left" vertical="center"/>
    </xf>
    <xf numFmtId="168" fontId="40" fillId="25" borderId="0" xfId="7" applyNumberFormat="1" applyFont="1" applyFill="1" applyAlignment="1" applyProtection="1">
      <alignment vertical="center"/>
      <protection locked="0"/>
    </xf>
    <xf numFmtId="168" fontId="46" fillId="89" borderId="447" xfId="7" applyNumberFormat="1" applyFont="1" applyFill="1" applyBorder="1" applyAlignment="1" applyProtection="1">
      <alignment vertical="center"/>
      <protection locked="0"/>
    </xf>
    <xf numFmtId="0" fontId="56" fillId="25" borderId="447" xfId="0" applyFont="1" applyFill="1" applyBorder="1"/>
    <xf numFmtId="0" fontId="56" fillId="0" borderId="447" xfId="0" applyFont="1" applyBorder="1"/>
    <xf numFmtId="0" fontId="56" fillId="0" borderId="435" xfId="0" applyFont="1" applyBorder="1"/>
    <xf numFmtId="0" fontId="56" fillId="89" borderId="447" xfId="0" applyFont="1" applyFill="1" applyBorder="1"/>
    <xf numFmtId="0" fontId="56" fillId="89" borderId="0" xfId="0" applyFont="1" applyFill="1"/>
    <xf numFmtId="3" fontId="57" fillId="2" borderId="447" xfId="0" applyNumberFormat="1" applyFont="1" applyFill="1" applyBorder="1"/>
    <xf numFmtId="0" fontId="56" fillId="2" borderId="447" xfId="0" applyFont="1" applyFill="1" applyBorder="1" applyAlignment="1" applyProtection="1">
      <alignment vertical="center"/>
      <protection locked="0"/>
    </xf>
    <xf numFmtId="0" fontId="56" fillId="0" borderId="0" xfId="0" applyFont="1" applyProtection="1">
      <protection locked="0"/>
    </xf>
    <xf numFmtId="0" fontId="56" fillId="0" borderId="447" xfId="0" applyFont="1" applyBorder="1" applyAlignment="1" applyProtection="1">
      <alignment horizontal="left"/>
      <protection locked="0"/>
    </xf>
    <xf numFmtId="164" fontId="40" fillId="0" borderId="0" xfId="16" applyFont="1" applyBorder="1"/>
    <xf numFmtId="164" fontId="56" fillId="0" borderId="0" xfId="0" applyNumberFormat="1" applyFont="1"/>
    <xf numFmtId="0" fontId="45" fillId="85" borderId="484" xfId="0" applyFont="1" applyFill="1" applyBorder="1" applyAlignment="1">
      <alignment horizontal="center" vertical="center"/>
    </xf>
    <xf numFmtId="9" fontId="48" fillId="8" borderId="218" xfId="0" applyNumberFormat="1" applyFont="1" applyFill="1" applyBorder="1" applyAlignment="1">
      <alignment wrapText="1"/>
    </xf>
    <xf numFmtId="175" fontId="15" fillId="2" borderId="447" xfId="0" applyNumberFormat="1" applyFont="1" applyFill="1" applyBorder="1" applyAlignment="1">
      <alignment horizontal="left"/>
    </xf>
    <xf numFmtId="168" fontId="57" fillId="61" borderId="447" xfId="7" applyNumberFormat="1" applyFont="1" applyFill="1" applyBorder="1" applyAlignment="1" applyProtection="1">
      <alignment vertical="center"/>
      <protection locked="0"/>
    </xf>
    <xf numFmtId="175" fontId="51" fillId="25" borderId="478" xfId="0" applyNumberFormat="1" applyFont="1" applyFill="1" applyBorder="1" applyAlignment="1">
      <alignment horizontal="left" vertical="center" wrapText="1"/>
    </xf>
    <xf numFmtId="175" fontId="51" fillId="25" borderId="490" xfId="0" applyNumberFormat="1" applyFont="1" applyFill="1" applyBorder="1" applyAlignment="1">
      <alignment horizontal="left" wrapText="1"/>
    </xf>
    <xf numFmtId="175" fontId="51" fillId="25" borderId="490" xfId="0" applyNumberFormat="1" applyFont="1" applyFill="1" applyBorder="1" applyAlignment="1">
      <alignment horizontal="left"/>
    </xf>
    <xf numFmtId="175" fontId="15" fillId="2" borderId="491" xfId="0" applyNumberFormat="1" applyFont="1" applyFill="1" applyBorder="1" applyAlignment="1">
      <alignment horizontal="left"/>
    </xf>
    <xf numFmtId="168" fontId="31" fillId="2" borderId="491" xfId="2" applyNumberFormat="1" applyFont="1" applyFill="1" applyBorder="1" applyAlignment="1" applyProtection="1">
      <alignment vertical="center"/>
      <protection locked="0"/>
    </xf>
    <xf numFmtId="168" fontId="57" fillId="61" borderId="491" xfId="7" applyNumberFormat="1" applyFont="1" applyFill="1" applyBorder="1" applyAlignment="1" applyProtection="1">
      <alignment vertical="center"/>
      <protection locked="0"/>
    </xf>
    <xf numFmtId="1" fontId="45" fillId="25" borderId="491" xfId="0" applyNumberFormat="1" applyFont="1" applyFill="1" applyBorder="1" applyAlignment="1">
      <alignment horizontal="center" vertical="center" wrapText="1"/>
    </xf>
    <xf numFmtId="175" fontId="49" fillId="25" borderId="444" xfId="0" applyNumberFormat="1" applyFont="1" applyFill="1" applyBorder="1" applyAlignment="1">
      <alignment horizontal="left"/>
    </xf>
    <xf numFmtId="168" fontId="52" fillId="25" borderId="491" xfId="7" applyNumberFormat="1" applyFont="1" applyFill="1" applyBorder="1" applyAlignment="1" applyProtection="1">
      <alignment vertical="center"/>
      <protection locked="0"/>
    </xf>
    <xf numFmtId="168" fontId="46" fillId="0" borderId="491" xfId="7" applyNumberFormat="1" applyFont="1" applyBorder="1" applyAlignment="1" applyProtection="1">
      <alignment vertical="center"/>
      <protection locked="0"/>
    </xf>
    <xf numFmtId="175" fontId="51" fillId="25" borderId="490" xfId="0" applyNumberFormat="1" applyFont="1" applyFill="1" applyBorder="1" applyAlignment="1">
      <alignment horizontal="left" vertical="center"/>
    </xf>
    <xf numFmtId="175" fontId="51" fillId="25" borderId="478" xfId="0" applyNumberFormat="1" applyFont="1" applyFill="1" applyBorder="1" applyAlignment="1">
      <alignment horizontal="left"/>
    </xf>
    <xf numFmtId="168" fontId="57" fillId="0" borderId="447" xfId="7" applyNumberFormat="1" applyFont="1" applyBorder="1" applyAlignment="1" applyProtection="1">
      <alignment vertical="center"/>
      <protection locked="0"/>
    </xf>
    <xf numFmtId="1" fontId="40" fillId="25" borderId="483" xfId="0" applyNumberFormat="1" applyFont="1" applyFill="1" applyBorder="1" applyAlignment="1">
      <alignment horizontal="center" vertical="center" wrapText="1"/>
    </xf>
    <xf numFmtId="175" fontId="49" fillId="25" borderId="490" xfId="0" applyNumberFormat="1" applyFont="1" applyFill="1" applyBorder="1" applyAlignment="1">
      <alignment horizontal="left"/>
    </xf>
    <xf numFmtId="168" fontId="57" fillId="0" borderId="491" xfId="7" applyNumberFormat="1" applyFont="1" applyBorder="1" applyAlignment="1" applyProtection="1">
      <alignment vertical="center"/>
      <protection locked="0"/>
    </xf>
    <xf numFmtId="1" fontId="45" fillId="25" borderId="484" xfId="0" applyNumberFormat="1" applyFont="1" applyFill="1" applyBorder="1" applyAlignment="1">
      <alignment horizontal="center" vertical="center" wrapText="1"/>
    </xf>
    <xf numFmtId="175" fontId="49" fillId="25" borderId="491" xfId="0" applyNumberFormat="1" applyFont="1" applyFill="1" applyBorder="1" applyAlignment="1">
      <alignment horizontal="left"/>
    </xf>
    <xf numFmtId="168" fontId="40" fillId="25" borderId="491" xfId="7" applyNumberFormat="1" applyFont="1" applyFill="1" applyBorder="1" applyAlignment="1" applyProtection="1">
      <alignment vertical="center"/>
      <protection locked="0"/>
    </xf>
    <xf numFmtId="1" fontId="56" fillId="25" borderId="491" xfId="0" applyNumberFormat="1" applyFont="1" applyFill="1" applyBorder="1" applyAlignment="1">
      <alignment horizontal="center" vertical="center" wrapText="1"/>
    </xf>
    <xf numFmtId="175" fontId="51" fillId="25" borderId="492" xfId="0" applyNumberFormat="1" applyFont="1" applyFill="1" applyBorder="1" applyAlignment="1">
      <alignment horizontal="left"/>
    </xf>
    <xf numFmtId="0" fontId="5" fillId="91" borderId="481" xfId="0" applyFont="1" applyFill="1" applyBorder="1" applyAlignment="1">
      <alignment horizontal="center" vertical="center" wrapText="1"/>
    </xf>
    <xf numFmtId="0" fontId="14" fillId="91" borderId="447" xfId="0" applyFont="1" applyFill="1" applyBorder="1" applyAlignment="1">
      <alignment horizontal="left" vertical="center"/>
    </xf>
    <xf numFmtId="168" fontId="5" fillId="91" borderId="447" xfId="2" applyNumberFormat="1" applyFont="1" applyFill="1" applyBorder="1" applyAlignment="1" applyProtection="1">
      <alignment horizontal="center" vertical="center"/>
    </xf>
    <xf numFmtId="1" fontId="0" fillId="25" borderId="481" xfId="0" applyNumberFormat="1" applyFill="1" applyBorder="1" applyAlignment="1">
      <alignment horizontal="center" vertical="center" wrapText="1"/>
    </xf>
    <xf numFmtId="175" fontId="15" fillId="25" borderId="447" xfId="0" applyNumberFormat="1" applyFont="1" applyFill="1" applyBorder="1" applyAlignment="1">
      <alignment horizontal="left"/>
    </xf>
    <xf numFmtId="168" fontId="31" fillId="25" borderId="447" xfId="2" applyNumberFormat="1" applyFont="1" applyFill="1" applyBorder="1" applyAlignment="1" applyProtection="1">
      <alignment vertical="center"/>
      <protection locked="0"/>
    </xf>
    <xf numFmtId="0" fontId="5" fillId="31" borderId="481" xfId="0" applyFont="1" applyFill="1" applyBorder="1" applyAlignment="1">
      <alignment horizontal="center" vertical="center" wrapText="1"/>
    </xf>
    <xf numFmtId="0" fontId="14" fillId="31" borderId="447" xfId="0" applyFont="1" applyFill="1" applyBorder="1" applyAlignment="1">
      <alignment horizontal="left" vertical="center"/>
    </xf>
    <xf numFmtId="168" fontId="5" fillId="31" borderId="447" xfId="2" applyNumberFormat="1" applyFont="1" applyFill="1" applyBorder="1" applyAlignment="1" applyProtection="1">
      <alignment horizontal="center" vertical="center"/>
    </xf>
    <xf numFmtId="175" fontId="15" fillId="2" borderId="447" xfId="0" applyNumberFormat="1" applyFont="1" applyFill="1" applyBorder="1" applyAlignment="1">
      <alignment horizontal="left" wrapText="1"/>
    </xf>
    <xf numFmtId="1" fontId="0" fillId="0" borderId="481" xfId="0" applyNumberFormat="1" applyBorder="1" applyAlignment="1">
      <alignment horizontal="center" vertical="center" wrapText="1"/>
    </xf>
    <xf numFmtId="175" fontId="15" fillId="0" borderId="447" xfId="0" applyNumberFormat="1" applyFont="1" applyBorder="1" applyAlignment="1">
      <alignment horizontal="left"/>
    </xf>
    <xf numFmtId="1" fontId="0" fillId="2" borderId="0" xfId="0" applyNumberFormat="1" applyFill="1" applyAlignment="1">
      <alignment horizontal="center" vertical="center" wrapText="1"/>
    </xf>
    <xf numFmtId="0" fontId="60" fillId="0" borderId="0" xfId="0" applyFont="1"/>
    <xf numFmtId="0" fontId="7" fillId="0" borderId="0" xfId="0" applyFont="1" applyProtection="1">
      <protection locked="0"/>
    </xf>
    <xf numFmtId="0" fontId="29" fillId="0" borderId="0" xfId="0" applyFont="1" applyAlignment="1">
      <alignment horizontal="left" vertical="center"/>
    </xf>
    <xf numFmtId="0" fontId="29" fillId="0" borderId="0" xfId="0" applyFont="1" applyProtection="1">
      <protection locked="0"/>
    </xf>
    <xf numFmtId="0" fontId="7" fillId="0" borderId="0" xfId="0" applyFont="1"/>
    <xf numFmtId="0" fontId="0" fillId="92" borderId="0" xfId="0" applyFill="1" applyAlignment="1">
      <alignment horizontal="center"/>
    </xf>
    <xf numFmtId="0" fontId="0" fillId="2" borderId="0" xfId="0" applyFill="1" applyAlignment="1">
      <alignment horizontal="center"/>
    </xf>
    <xf numFmtId="0" fontId="7" fillId="25" borderId="0" xfId="0" applyFont="1" applyFill="1" applyAlignment="1" applyProtection="1">
      <alignment horizontal="left" vertical="center" wrapText="1"/>
      <protection locked="0"/>
    </xf>
    <xf numFmtId="0" fontId="0" fillId="92" borderId="0" xfId="0"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9" fontId="0" fillId="0" borderId="0" xfId="0" applyNumberFormat="1" applyAlignment="1">
      <alignment horizontal="center"/>
    </xf>
    <xf numFmtId="0" fontId="0" fillId="25" borderId="0" xfId="0" applyFill="1" applyAlignment="1" applyProtection="1">
      <alignment horizontal="center"/>
      <protection locked="0"/>
    </xf>
    <xf numFmtId="175" fontId="61" fillId="0" borderId="447" xfId="0" applyNumberFormat="1" applyFont="1" applyBorder="1" applyAlignment="1">
      <alignment horizontal="left"/>
    </xf>
    <xf numFmtId="0" fontId="7" fillId="25" borderId="0" xfId="0" applyFont="1" applyFill="1" applyAlignment="1" applyProtection="1">
      <alignment horizontal="left" vertical="center"/>
      <protection locked="0"/>
    </xf>
    <xf numFmtId="181" fontId="7" fillId="25" borderId="0" xfId="7" applyNumberFormat="1" applyFill="1" applyProtection="1">
      <protection locked="0"/>
    </xf>
    <xf numFmtId="181" fontId="0" fillId="25" borderId="0" xfId="0" applyNumberFormat="1" applyFill="1" applyAlignment="1" applyProtection="1">
      <alignment horizontal="left" vertical="center" wrapText="1"/>
      <protection locked="0"/>
    </xf>
    <xf numFmtId="0" fontId="62" fillId="25" borderId="0" xfId="0" applyFont="1" applyFill="1" applyProtection="1">
      <protection locked="0"/>
    </xf>
    <xf numFmtId="0" fontId="7" fillId="25" borderId="0" xfId="0" applyFont="1" applyFill="1" applyProtection="1">
      <protection locked="0"/>
    </xf>
    <xf numFmtId="3" fontId="0" fillId="25" borderId="0" xfId="0" applyNumberFormat="1" applyFill="1" applyAlignment="1" applyProtection="1">
      <alignment horizontal="left"/>
      <protection locked="0"/>
    </xf>
    <xf numFmtId="6" fontId="7" fillId="25" borderId="0" xfId="0" applyNumberFormat="1" applyFont="1" applyFill="1" applyProtection="1">
      <protection locked="0"/>
    </xf>
    <xf numFmtId="0" fontId="5" fillId="25" borderId="0" xfId="0" applyFont="1" applyFill="1" applyProtection="1">
      <protection locked="0"/>
    </xf>
    <xf numFmtId="181" fontId="7" fillId="93" borderId="0" xfId="7" applyNumberFormat="1" applyFill="1"/>
    <xf numFmtId="181" fontId="0" fillId="2" borderId="0" xfId="0" applyNumberFormat="1" applyFill="1"/>
    <xf numFmtId="181" fontId="0" fillId="25" borderId="0" xfId="0" applyNumberFormat="1" applyFill="1" applyAlignment="1" applyProtection="1">
      <alignment horizontal="center"/>
      <protection locked="0"/>
    </xf>
    <xf numFmtId="181" fontId="0" fillId="25" borderId="0" xfId="0" applyNumberFormat="1" applyFill="1" applyProtection="1">
      <protection locked="0"/>
    </xf>
    <xf numFmtId="0" fontId="7" fillId="25" borderId="0" xfId="0" applyFont="1" applyFill="1" applyAlignment="1" applyProtection="1">
      <alignment wrapText="1"/>
      <protection locked="0"/>
    </xf>
    <xf numFmtId="175" fontId="63" fillId="0" borderId="0" xfId="0" applyNumberFormat="1" applyFont="1" applyAlignment="1">
      <alignment horizontal="left"/>
    </xf>
    <xf numFmtId="9" fontId="0" fillId="25" borderId="0" xfId="0" applyNumberFormat="1" applyFill="1" applyAlignment="1" applyProtection="1">
      <alignment horizontal="right"/>
      <protection locked="0"/>
    </xf>
    <xf numFmtId="187" fontId="0" fillId="2" borderId="0" xfId="0" applyNumberFormat="1" applyFill="1" applyAlignment="1" applyProtection="1">
      <alignment horizontal="center"/>
      <protection locked="0"/>
    </xf>
    <xf numFmtId="10" fontId="0" fillId="25" borderId="0" xfId="0" applyNumberFormat="1" applyFill="1" applyProtection="1">
      <protection locked="0"/>
    </xf>
    <xf numFmtId="6" fontId="0" fillId="2" borderId="0" xfId="0" applyNumberFormat="1" applyFill="1" applyAlignment="1" applyProtection="1">
      <alignment horizontal="center"/>
      <protection locked="0"/>
    </xf>
    <xf numFmtId="175" fontId="61" fillId="60" borderId="447" xfId="0" applyNumberFormat="1" applyFont="1" applyFill="1" applyBorder="1" applyAlignment="1">
      <alignment horizontal="left"/>
    </xf>
    <xf numFmtId="0" fontId="64" fillId="0" borderId="0" xfId="0" applyFont="1"/>
    <xf numFmtId="181" fontId="65" fillId="25" borderId="0" xfId="7" applyNumberFormat="1" applyFont="1" applyFill="1" applyProtection="1">
      <protection locked="0"/>
    </xf>
    <xf numFmtId="9" fontId="0" fillId="0" borderId="0" xfId="0" applyNumberFormat="1"/>
    <xf numFmtId="181" fontId="7" fillId="92" borderId="0" xfId="7" applyNumberFormat="1" applyFill="1"/>
    <xf numFmtId="181" fontId="7" fillId="25" borderId="236" xfId="7" applyNumberFormat="1" applyFill="1" applyBorder="1" applyProtection="1">
      <protection locked="0"/>
    </xf>
    <xf numFmtId="181" fontId="7" fillId="92" borderId="0" xfId="7" applyNumberFormat="1" applyFill="1" applyAlignment="1">
      <alignment horizontal="center"/>
    </xf>
    <xf numFmtId="0" fontId="7" fillId="0" borderId="0" xfId="0" applyFont="1" applyAlignment="1">
      <alignment vertical="center"/>
    </xf>
    <xf numFmtId="0" fontId="7" fillId="0" borderId="0" xfId="0" applyFont="1" applyAlignment="1">
      <alignment wrapText="1"/>
    </xf>
    <xf numFmtId="9" fontId="0" fillId="0" borderId="0" xfId="0" applyNumberFormat="1" applyAlignment="1">
      <alignment vertical="center"/>
    </xf>
    <xf numFmtId="181" fontId="7" fillId="92" borderId="0" xfId="7" applyNumberFormat="1" applyFill="1" applyAlignment="1">
      <alignment horizontal="center" vertical="center"/>
    </xf>
    <xf numFmtId="9" fontId="0" fillId="25" borderId="0" xfId="0" applyNumberFormat="1" applyFill="1"/>
    <xf numFmtId="6" fontId="0" fillId="25" borderId="0" xfId="0" applyNumberFormat="1" applyFill="1" applyAlignment="1">
      <alignment horizontal="center"/>
    </xf>
    <xf numFmtId="181" fontId="65" fillId="92" borderId="0" xfId="7" applyNumberFormat="1" applyFont="1" applyFill="1" applyProtection="1">
      <protection locked="0"/>
    </xf>
    <xf numFmtId="9" fontId="5" fillId="0" borderId="0" xfId="0" applyNumberFormat="1" applyFont="1" applyAlignment="1">
      <alignment horizontal="center"/>
    </xf>
    <xf numFmtId="42" fontId="0" fillId="2" borderId="0" xfId="3" applyFont="1" applyFill="1" applyAlignment="1">
      <alignment horizontal="center"/>
    </xf>
    <xf numFmtId="0" fontId="8" fillId="44" borderId="447" xfId="0" applyFont="1" applyFill="1" applyBorder="1"/>
    <xf numFmtId="0" fontId="7" fillId="25" borderId="0" xfId="0" applyFont="1" applyFill="1" applyAlignment="1">
      <alignment horizontal="left" vertical="center" wrapText="1"/>
    </xf>
    <xf numFmtId="181" fontId="7" fillId="25" borderId="0" xfId="7" applyNumberFormat="1" applyFill="1"/>
    <xf numFmtId="175" fontId="15" fillId="0" borderId="0" xfId="0" applyNumberFormat="1" applyFont="1" applyAlignment="1">
      <alignment horizontal="left"/>
    </xf>
    <xf numFmtId="9" fontId="0" fillId="25" borderId="0" xfId="0" applyNumberFormat="1" applyFill="1" applyProtection="1">
      <protection locked="0"/>
    </xf>
    <xf numFmtId="42" fontId="0" fillId="2" borderId="0" xfId="3" applyFont="1" applyFill="1" applyAlignment="1" applyProtection="1">
      <alignment horizontal="center"/>
      <protection locked="0"/>
    </xf>
    <xf numFmtId="0" fontId="5" fillId="25" borderId="0" xfId="0" applyFont="1" applyFill="1" applyAlignment="1">
      <alignment vertical="center" wrapText="1"/>
    </xf>
    <xf numFmtId="6" fontId="23" fillId="25" borderId="0" xfId="0" applyNumberFormat="1" applyFont="1" applyFill="1" applyAlignment="1">
      <alignment horizontal="right" vertical="center" wrapText="1"/>
    </xf>
    <xf numFmtId="42" fontId="23" fillId="2" borderId="0" xfId="3" applyFont="1" applyFill="1" applyAlignment="1">
      <alignment horizontal="center" vertical="center" wrapText="1"/>
    </xf>
    <xf numFmtId="0" fontId="7" fillId="0" borderId="0" xfId="0" applyFont="1" applyAlignment="1">
      <alignment vertical="center" wrapText="1"/>
    </xf>
    <xf numFmtId="175" fontId="61" fillId="0" borderId="447" xfId="0" applyNumberFormat="1" applyFont="1" applyBorder="1" applyAlignment="1">
      <alignment horizontal="left" vertical="center"/>
    </xf>
    <xf numFmtId="0" fontId="7" fillId="25" borderId="0" xfId="0" applyFont="1" applyFill="1" applyAlignment="1">
      <alignment horizontal="left" wrapText="1"/>
    </xf>
    <xf numFmtId="181" fontId="7" fillId="25" borderId="0" xfId="7" applyNumberFormat="1" applyFill="1" applyAlignment="1" applyProtection="1">
      <alignment vertical="center"/>
      <protection locked="0"/>
    </xf>
    <xf numFmtId="9" fontId="0" fillId="25" borderId="0" xfId="0" applyNumberFormat="1" applyFill="1" applyAlignment="1">
      <alignment horizontal="right" vertical="center"/>
    </xf>
    <xf numFmtId="181" fontId="7" fillId="93" borderId="0" xfId="7" applyNumberFormat="1" applyFill="1" applyAlignment="1">
      <alignment vertical="center"/>
    </xf>
    <xf numFmtId="42" fontId="0" fillId="2" borderId="0" xfId="3" applyFont="1" applyFill="1" applyAlignment="1" applyProtection="1">
      <alignment horizontal="center" vertical="center"/>
      <protection locked="0"/>
    </xf>
    <xf numFmtId="175" fontId="63" fillId="25" borderId="0" xfId="0" applyNumberFormat="1" applyFont="1" applyFill="1" applyAlignment="1">
      <alignment horizontal="left" vertical="center"/>
    </xf>
    <xf numFmtId="181" fontId="7" fillId="25" borderId="0" xfId="7" applyNumberFormat="1" applyFill="1" applyAlignment="1">
      <alignment vertical="center"/>
    </xf>
    <xf numFmtId="6" fontId="0" fillId="25" borderId="0" xfId="0" applyNumberFormat="1" applyFill="1" applyAlignment="1" applyProtection="1">
      <alignment horizontal="center" vertical="center"/>
      <protection locked="0"/>
    </xf>
    <xf numFmtId="175" fontId="61" fillId="25" borderId="447" xfId="0" applyNumberFormat="1" applyFont="1" applyFill="1" applyBorder="1" applyAlignment="1">
      <alignment horizontal="left" vertical="center"/>
    </xf>
    <xf numFmtId="0" fontId="7" fillId="0" borderId="447" xfId="0" applyFont="1" applyBorder="1" applyAlignment="1">
      <alignment vertical="center"/>
    </xf>
    <xf numFmtId="6" fontId="0" fillId="0" borderId="447" xfId="0" applyNumberFormat="1" applyBorder="1" applyAlignment="1">
      <alignment horizontal="center"/>
    </xf>
    <xf numFmtId="0" fontId="7" fillId="0" borderId="447" xfId="0" applyFont="1" applyBorder="1" applyAlignment="1">
      <alignment horizontal="left"/>
    </xf>
    <xf numFmtId="0" fontId="7" fillId="0" borderId="447" xfId="0" applyFont="1" applyBorder="1"/>
    <xf numFmtId="0" fontId="2" fillId="0" borderId="435" xfId="0" applyFont="1" applyBorder="1" applyAlignment="1">
      <alignment horizontal="center"/>
    </xf>
    <xf numFmtId="6" fontId="2" fillId="61" borderId="435" xfId="0" applyNumberFormat="1" applyFont="1" applyFill="1" applyBorder="1" applyAlignment="1">
      <alignment horizontal="center"/>
    </xf>
    <xf numFmtId="175" fontId="61" fillId="25" borderId="447" xfId="0" applyNumberFormat="1" applyFont="1" applyFill="1" applyBorder="1" applyAlignment="1">
      <alignment horizontal="left"/>
    </xf>
    <xf numFmtId="6" fontId="0" fillId="25" borderId="0" xfId="0" applyNumberFormat="1" applyFill="1" applyAlignment="1" applyProtection="1">
      <alignment horizontal="center"/>
      <protection locked="0"/>
    </xf>
    <xf numFmtId="6" fontId="0" fillId="25" borderId="0" xfId="0" applyNumberFormat="1" applyFill="1" applyProtection="1">
      <protection locked="0"/>
    </xf>
    <xf numFmtId="181" fontId="7" fillId="61" borderId="0" xfId="7" applyNumberFormat="1" applyFill="1" applyProtection="1">
      <protection locked="0"/>
    </xf>
    <xf numFmtId="9" fontId="0" fillId="0" borderId="0" xfId="0" applyNumberFormat="1" applyProtection="1">
      <protection locked="0"/>
    </xf>
    <xf numFmtId="181" fontId="7" fillId="0" borderId="0" xfId="7" applyNumberFormat="1" applyProtection="1">
      <protection locked="0"/>
    </xf>
    <xf numFmtId="42" fontId="0" fillId="61" borderId="0" xfId="3" applyFont="1" applyFill="1" applyProtection="1">
      <protection locked="0"/>
    </xf>
    <xf numFmtId="0" fontId="7" fillId="0" borderId="0" xfId="0" applyFont="1" applyAlignment="1" applyProtection="1">
      <alignment vertical="center" wrapText="1"/>
      <protection locked="0"/>
    </xf>
    <xf numFmtId="9" fontId="0" fillId="0" borderId="0" xfId="0" applyNumberFormat="1" applyAlignment="1" applyProtection="1">
      <alignment vertical="center"/>
      <protection locked="0"/>
    </xf>
    <xf numFmtId="181" fontId="7" fillId="61" borderId="0" xfId="7" applyNumberFormat="1" applyFill="1" applyAlignment="1" applyProtection="1">
      <alignment vertical="center"/>
      <protection locked="0"/>
    </xf>
    <xf numFmtId="0" fontId="0" fillId="0" borderId="0" xfId="0" applyAlignment="1" applyProtection="1">
      <alignment vertical="center"/>
      <protection locked="0"/>
    </xf>
    <xf numFmtId="0" fontId="7" fillId="25" borderId="0" xfId="0" applyFont="1" applyFill="1" applyAlignment="1">
      <alignment horizontal="left"/>
    </xf>
    <xf numFmtId="42" fontId="0" fillId="0" borderId="0" xfId="3" applyFont="1" applyProtection="1">
      <protection locked="0"/>
    </xf>
    <xf numFmtId="42" fontId="0" fillId="0" borderId="0" xfId="3" applyFont="1" applyFill="1" applyAlignment="1" applyProtection="1">
      <alignment horizontal="center"/>
      <protection locked="0"/>
    </xf>
    <xf numFmtId="0" fontId="62" fillId="0" borderId="0" xfId="0" applyFont="1" applyProtection="1">
      <protection locked="0"/>
    </xf>
    <xf numFmtId="0" fontId="7" fillId="0" borderId="0" xfId="0" applyFont="1" applyAlignment="1" applyProtection="1">
      <alignment wrapText="1"/>
      <protection locked="0"/>
    </xf>
    <xf numFmtId="42" fontId="0" fillId="93" borderId="0" xfId="3" applyFont="1" applyFill="1" applyProtection="1">
      <protection locked="0"/>
    </xf>
    <xf numFmtId="42" fontId="0" fillId="2" borderId="0" xfId="0" applyNumberFormat="1" applyFill="1" applyProtection="1">
      <protection locked="0"/>
    </xf>
    <xf numFmtId="181" fontId="7" fillId="93" borderId="0" xfId="7" applyNumberFormat="1" applyFill="1" applyProtection="1">
      <protection locked="0"/>
    </xf>
    <xf numFmtId="6" fontId="23" fillId="25" borderId="0" xfId="0" applyNumberFormat="1" applyFont="1" applyFill="1" applyAlignment="1">
      <alignment horizontal="center" vertical="center" wrapText="1"/>
    </xf>
    <xf numFmtId="175" fontId="61" fillId="44" borderId="447" xfId="0" applyNumberFormat="1" applyFont="1" applyFill="1" applyBorder="1" applyAlignment="1">
      <alignment horizontal="left" vertical="center"/>
    </xf>
    <xf numFmtId="175" fontId="63" fillId="0" borderId="0" xfId="0" applyNumberFormat="1" applyFont="1" applyAlignment="1">
      <alignment horizontal="left" vertical="center"/>
    </xf>
    <xf numFmtId="0" fontId="0" fillId="25" borderId="0" xfId="0" applyFill="1" applyAlignment="1" applyProtection="1">
      <alignment vertical="center"/>
      <protection locked="0"/>
    </xf>
    <xf numFmtId="181" fontId="7" fillId="0" borderId="0" xfId="7" applyNumberFormat="1" applyAlignment="1">
      <alignment vertical="center"/>
    </xf>
    <xf numFmtId="181" fontId="0" fillId="2" borderId="0" xfId="0" applyNumberFormat="1" applyFill="1" applyAlignment="1" applyProtection="1">
      <alignment vertical="center"/>
      <protection locked="0"/>
    </xf>
    <xf numFmtId="9" fontId="0" fillId="25" borderId="0" xfId="0" applyNumberFormat="1" applyFill="1" applyAlignment="1" applyProtection="1">
      <alignment vertical="center"/>
      <protection locked="0"/>
    </xf>
    <xf numFmtId="0" fontId="31" fillId="25" borderId="0" xfId="0" applyFont="1" applyFill="1" applyProtection="1">
      <protection locked="0"/>
    </xf>
    <xf numFmtId="0" fontId="62" fillId="2" borderId="214" xfId="0" applyFont="1" applyFill="1" applyBorder="1" applyAlignment="1" applyProtection="1">
      <alignment vertical="center"/>
      <protection locked="0"/>
    </xf>
    <xf numFmtId="0" fontId="7" fillId="0" borderId="272" xfId="0" applyFont="1" applyBorder="1" applyAlignment="1" applyProtection="1">
      <alignment vertical="center" wrapText="1"/>
      <protection locked="0"/>
    </xf>
    <xf numFmtId="0" fontId="0" fillId="0" borderId="0" xfId="0" applyAlignment="1" applyProtection="1">
      <alignment horizontal="right" vertical="center"/>
      <protection locked="0"/>
    </xf>
    <xf numFmtId="0" fontId="7" fillId="0" borderId="364" xfId="0" applyFont="1" applyBorder="1" applyProtection="1">
      <protection locked="0"/>
    </xf>
    <xf numFmtId="0" fontId="0" fillId="0" borderId="0" xfId="0" applyAlignment="1" applyProtection="1">
      <alignment horizontal="right"/>
      <protection locked="0"/>
    </xf>
    <xf numFmtId="0" fontId="7" fillId="0" borderId="254" xfId="0" applyFont="1" applyBorder="1" applyAlignment="1" applyProtection="1">
      <alignment wrapText="1"/>
      <protection locked="0"/>
    </xf>
    <xf numFmtId="0" fontId="5" fillId="2" borderId="81" xfId="0" applyFont="1" applyFill="1" applyBorder="1" applyAlignment="1">
      <alignment horizontal="center" vertical="center" wrapText="1"/>
    </xf>
    <xf numFmtId="0" fontId="13" fillId="2" borderId="214" xfId="0" applyFont="1" applyFill="1" applyBorder="1" applyAlignment="1">
      <alignment horizontal="center" vertical="center"/>
    </xf>
    <xf numFmtId="0" fontId="68" fillId="37" borderId="81" xfId="0" applyFont="1" applyFill="1" applyBorder="1" applyAlignment="1">
      <alignment horizontal="center" vertical="center" wrapText="1"/>
    </xf>
    <xf numFmtId="0" fontId="68" fillId="94" borderId="82" xfId="0" applyFont="1" applyFill="1" applyBorder="1" applyAlignment="1">
      <alignment horizontal="center" vertical="center" wrapText="1"/>
    </xf>
    <xf numFmtId="0" fontId="68" fillId="95" borderId="81" xfId="0" applyFont="1" applyFill="1" applyBorder="1" applyAlignment="1">
      <alignment horizontal="center" vertical="center" wrapText="1"/>
    </xf>
    <xf numFmtId="0" fontId="68" fillId="96" borderId="80"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0" fillId="0" borderId="440" xfId="0" applyBorder="1"/>
    <xf numFmtId="42" fontId="0" fillId="0" borderId="435" xfId="18" applyFont="1" applyBorder="1" applyAlignment="1">
      <alignment horizontal="center"/>
    </xf>
    <xf numFmtId="42" fontId="0" fillId="0" borderId="435" xfId="20" applyFont="1" applyBorder="1" applyAlignment="1">
      <alignment horizontal="center"/>
    </xf>
    <xf numFmtId="42" fontId="0" fillId="0" borderId="444" xfId="18" applyFont="1" applyBorder="1" applyAlignment="1">
      <alignment horizontal="center"/>
    </xf>
    <xf numFmtId="42" fontId="0" fillId="0" borderId="457" xfId="0" applyNumberFormat="1" applyBorder="1" applyAlignment="1">
      <alignment horizontal="center"/>
    </xf>
    <xf numFmtId="0" fontId="0" fillId="0" borderId="446" xfId="0" applyBorder="1"/>
    <xf numFmtId="42" fontId="69" fillId="0" borderId="0" xfId="20" applyFont="1" applyBorder="1" applyAlignment="1">
      <alignment horizontal="center" vertical="center"/>
    </xf>
    <xf numFmtId="42" fontId="0" fillId="0" borderId="447" xfId="18" applyFont="1" applyBorder="1" applyAlignment="1">
      <alignment horizontal="center"/>
    </xf>
    <xf numFmtId="42" fontId="0" fillId="0" borderId="448" xfId="0" applyNumberFormat="1" applyBorder="1" applyAlignment="1">
      <alignment horizontal="center"/>
    </xf>
    <xf numFmtId="42" fontId="0" fillId="0" borderId="447" xfId="0" applyNumberFormat="1" applyBorder="1" applyAlignment="1">
      <alignment horizontal="center"/>
    </xf>
    <xf numFmtId="42" fontId="70" fillId="0" borderId="447" xfId="0" applyNumberFormat="1" applyFont="1" applyBorder="1" applyAlignment="1">
      <alignment horizontal="center"/>
    </xf>
    <xf numFmtId="42" fontId="31" fillId="0" borderId="447" xfId="18" applyFont="1" applyBorder="1" applyAlignment="1">
      <alignment horizontal="center"/>
    </xf>
    <xf numFmtId="42" fontId="70" fillId="0" borderId="435" xfId="18" applyFont="1" applyBorder="1" applyAlignment="1">
      <alignment horizontal="center"/>
    </xf>
    <xf numFmtId="42" fontId="70" fillId="0" borderId="447" xfId="18" applyFont="1" applyBorder="1" applyAlignment="1">
      <alignment horizontal="center"/>
    </xf>
    <xf numFmtId="0" fontId="0" fillId="0" borderId="449" xfId="0" applyBorder="1"/>
    <xf numFmtId="42" fontId="0" fillId="0" borderId="451" xfId="0" applyNumberFormat="1" applyBorder="1" applyAlignment="1">
      <alignment horizontal="center"/>
    </xf>
    <xf numFmtId="0" fontId="2" fillId="2" borderId="27" xfId="0" applyFont="1" applyFill="1" applyBorder="1"/>
    <xf numFmtId="42" fontId="2" fillId="9" borderId="215" xfId="18" applyFont="1" applyFill="1" applyBorder="1"/>
    <xf numFmtId="42" fontId="41" fillId="94" borderId="81" xfId="18" applyFont="1" applyFill="1" applyBorder="1"/>
    <xf numFmtId="42" fontId="41" fillId="95" borderId="80" xfId="18" applyFont="1" applyFill="1" applyBorder="1"/>
    <xf numFmtId="42" fontId="41" fillId="97" borderId="428" xfId="18" applyFont="1" applyFill="1" applyBorder="1"/>
    <xf numFmtId="42" fontId="2" fillId="2" borderId="428" xfId="18" applyFont="1" applyFill="1" applyBorder="1"/>
    <xf numFmtId="0" fontId="7" fillId="2" borderId="449" xfId="0" applyFont="1" applyFill="1" applyBorder="1"/>
    <xf numFmtId="0" fontId="46" fillId="31" borderId="493" xfId="0" applyFont="1" applyFill="1" applyBorder="1" applyAlignment="1">
      <alignment horizontal="center" vertical="center" wrapText="1"/>
    </xf>
    <xf numFmtId="0" fontId="47" fillId="31" borderId="494" xfId="0" applyFont="1" applyFill="1" applyBorder="1" applyAlignment="1">
      <alignment horizontal="left" vertical="center"/>
    </xf>
    <xf numFmtId="4" fontId="46" fillId="8" borderId="444" xfId="0" applyNumberFormat="1" applyFont="1" applyFill="1" applyBorder="1"/>
    <xf numFmtId="175" fontId="49" fillId="88" borderId="490" xfId="0" applyNumberFormat="1" applyFont="1" applyFill="1" applyBorder="1" applyAlignment="1">
      <alignment horizontal="left"/>
    </xf>
    <xf numFmtId="168" fontId="56" fillId="0" borderId="0" xfId="0" applyNumberFormat="1" applyFont="1"/>
    <xf numFmtId="1" fontId="56" fillId="86" borderId="447" xfId="0" applyNumberFormat="1" applyFont="1" applyFill="1" applyBorder="1" applyAlignment="1">
      <alignment horizontal="center" vertical="center" wrapText="1"/>
    </xf>
    <xf numFmtId="175" fontId="49" fillId="86" borderId="495" xfId="0" applyNumberFormat="1" applyFont="1" applyFill="1" applyBorder="1" applyAlignment="1">
      <alignment horizontal="left"/>
    </xf>
    <xf numFmtId="168" fontId="40" fillId="86" borderId="496" xfId="7" applyNumberFormat="1" applyFont="1" applyFill="1" applyBorder="1" applyAlignment="1" applyProtection="1">
      <alignment vertical="center"/>
      <protection locked="0"/>
    </xf>
    <xf numFmtId="168" fontId="40" fillId="86" borderId="447" xfId="0" applyNumberFormat="1" applyFont="1" applyFill="1" applyBorder="1"/>
    <xf numFmtId="175" fontId="49" fillId="25" borderId="497" xfId="0" applyNumberFormat="1" applyFont="1" applyFill="1" applyBorder="1" applyAlignment="1">
      <alignment horizontal="left" vertical="center"/>
    </xf>
    <xf numFmtId="175" fontId="49" fillId="88" borderId="497" xfId="0" applyNumberFormat="1" applyFont="1" applyFill="1" applyBorder="1" applyAlignment="1">
      <alignment horizontal="left"/>
    </xf>
    <xf numFmtId="175" fontId="49" fillId="25" borderId="497" xfId="0" applyNumberFormat="1" applyFont="1" applyFill="1" applyBorder="1" applyAlignment="1">
      <alignment horizontal="left"/>
    </xf>
    <xf numFmtId="1" fontId="56" fillId="88" borderId="498" xfId="0" applyNumberFormat="1" applyFont="1" applyFill="1" applyBorder="1" applyAlignment="1">
      <alignment horizontal="center" vertical="center" wrapText="1"/>
    </xf>
    <xf numFmtId="175" fontId="49" fillId="88" borderId="499" xfId="0" applyNumberFormat="1" applyFont="1" applyFill="1" applyBorder="1" applyAlignment="1">
      <alignment horizontal="left"/>
    </xf>
    <xf numFmtId="1" fontId="40" fillId="0" borderId="500" xfId="0" applyNumberFormat="1" applyFont="1" applyBorder="1" applyAlignment="1">
      <alignment horizontal="center" vertical="center" wrapText="1"/>
    </xf>
    <xf numFmtId="175" fontId="49" fillId="90" borderId="492" xfId="0" applyNumberFormat="1" applyFont="1" applyFill="1" applyBorder="1" applyAlignment="1">
      <alignment horizontal="left"/>
    </xf>
    <xf numFmtId="175" fontId="49" fillId="25" borderId="492" xfId="0" applyNumberFormat="1" applyFont="1" applyFill="1" applyBorder="1" applyAlignment="1">
      <alignment horizontal="left"/>
    </xf>
    <xf numFmtId="168" fontId="40" fillId="90" borderId="447" xfId="7" applyNumberFormat="1" applyFont="1" applyFill="1" applyBorder="1" applyAlignment="1" applyProtection="1">
      <alignment vertical="center"/>
      <protection locked="0"/>
    </xf>
    <xf numFmtId="168" fontId="56" fillId="90" borderId="447" xfId="0" applyNumberFormat="1" applyFont="1" applyFill="1" applyBorder="1"/>
    <xf numFmtId="1" fontId="56" fillId="25" borderId="501" xfId="0" applyNumberFormat="1" applyFont="1" applyFill="1" applyBorder="1" applyAlignment="1">
      <alignment horizontal="center" vertical="center" wrapText="1"/>
    </xf>
    <xf numFmtId="175" fontId="49" fillId="25" borderId="501" xfId="0" applyNumberFormat="1" applyFont="1" applyFill="1" applyBorder="1" applyAlignment="1">
      <alignment horizontal="left"/>
    </xf>
    <xf numFmtId="168" fontId="40" fillId="25" borderId="501" xfId="7" applyNumberFormat="1" applyFont="1" applyFill="1" applyBorder="1" applyAlignment="1" applyProtection="1">
      <alignment vertical="center"/>
      <protection locked="0"/>
    </xf>
    <xf numFmtId="175" fontId="49" fillId="25" borderId="502" xfId="0" applyNumberFormat="1" applyFont="1" applyFill="1" applyBorder="1" applyAlignment="1">
      <alignment horizontal="left" vertical="center"/>
    </xf>
    <xf numFmtId="168" fontId="59" fillId="25" borderId="0" xfId="7" applyNumberFormat="1" applyFont="1" applyFill="1" applyAlignment="1" applyProtection="1">
      <alignment vertical="center"/>
      <protection locked="0"/>
    </xf>
    <xf numFmtId="0" fontId="56" fillId="2" borderId="0" xfId="0" applyFont="1" applyFill="1"/>
    <xf numFmtId="175" fontId="49" fillId="86" borderId="447" xfId="0" applyNumberFormat="1" applyFont="1" applyFill="1" applyBorder="1" applyAlignment="1">
      <alignment horizontal="left"/>
    </xf>
    <xf numFmtId="3" fontId="56" fillId="25" borderId="0" xfId="0" applyNumberFormat="1" applyFont="1" applyFill="1"/>
    <xf numFmtId="1" fontId="56" fillId="61" borderId="447" xfId="0" applyNumberFormat="1" applyFont="1" applyFill="1" applyBorder="1" applyAlignment="1">
      <alignment horizontal="center" vertical="center" wrapText="1"/>
    </xf>
    <xf numFmtId="175" fontId="49" fillId="61" borderId="447" xfId="0" applyNumberFormat="1" applyFont="1" applyFill="1" applyBorder="1" applyAlignment="1">
      <alignment horizontal="left"/>
    </xf>
    <xf numFmtId="164" fontId="40" fillId="0" borderId="0" xfId="16" applyFont="1" applyFill="1" applyBorder="1" applyAlignment="1">
      <alignment horizontal="center" vertical="center" wrapText="1"/>
    </xf>
    <xf numFmtId="0" fontId="5" fillId="0" borderId="0" xfId="0" applyFont="1"/>
    <xf numFmtId="0" fontId="64" fillId="25" borderId="0" xfId="0" applyFont="1" applyFill="1"/>
    <xf numFmtId="0" fontId="5" fillId="31" borderId="474" xfId="0" applyFont="1" applyFill="1" applyBorder="1" applyAlignment="1">
      <alignment horizontal="center" vertical="center" wrapText="1"/>
    </xf>
    <xf numFmtId="0" fontId="14" fillId="31" borderId="475" xfId="0" applyFont="1" applyFill="1" applyBorder="1" applyAlignment="1">
      <alignment horizontal="left" vertical="center"/>
    </xf>
    <xf numFmtId="168" fontId="14" fillId="31" borderId="447" xfId="7" applyNumberFormat="1" applyFont="1" applyFill="1" applyBorder="1" applyAlignment="1">
      <alignment horizontal="center" vertical="center"/>
    </xf>
    <xf numFmtId="4" fontId="5" fillId="8" borderId="501" xfId="0" applyNumberFormat="1" applyFont="1" applyFill="1" applyBorder="1"/>
    <xf numFmtId="0" fontId="14" fillId="87" borderId="0" xfId="0" applyFont="1" applyFill="1" applyAlignment="1">
      <alignment horizontal="left" vertical="center"/>
    </xf>
    <xf numFmtId="1" fontId="64" fillId="88" borderId="476" xfId="0" applyNumberFormat="1" applyFont="1" applyFill="1" applyBorder="1" applyAlignment="1">
      <alignment horizontal="center" vertical="center" wrapText="1"/>
    </xf>
    <xf numFmtId="175" fontId="15" fillId="88" borderId="497" xfId="0" applyNumberFormat="1" applyFont="1" applyFill="1" applyBorder="1" applyAlignment="1">
      <alignment horizontal="left"/>
    </xf>
    <xf numFmtId="168" fontId="7" fillId="88" borderId="447" xfId="7" applyNumberFormat="1" applyFill="1" applyBorder="1" applyAlignment="1" applyProtection="1">
      <alignment vertical="center"/>
      <protection locked="0"/>
    </xf>
    <xf numFmtId="168" fontId="11" fillId="88" borderId="447" xfId="7" applyNumberFormat="1" applyFont="1" applyFill="1" applyBorder="1" applyAlignment="1" applyProtection="1">
      <alignment vertical="center"/>
      <protection locked="0"/>
    </xf>
    <xf numFmtId="175" fontId="15" fillId="25" borderId="0" xfId="0" applyNumberFormat="1" applyFont="1" applyFill="1" applyAlignment="1">
      <alignment horizontal="left"/>
    </xf>
    <xf numFmtId="1" fontId="7" fillId="25" borderId="476" xfId="0" applyNumberFormat="1" applyFont="1" applyFill="1" applyBorder="1" applyAlignment="1">
      <alignment horizontal="center" vertical="center" wrapText="1"/>
    </xf>
    <xf numFmtId="175" fontId="55" fillId="25" borderId="497" xfId="0" applyNumberFormat="1" applyFont="1" applyFill="1" applyBorder="1" applyAlignment="1">
      <alignment horizontal="left"/>
    </xf>
    <xf numFmtId="168" fontId="27" fillId="25" borderId="447" xfId="7" applyNumberFormat="1" applyFont="1" applyFill="1" applyBorder="1" applyAlignment="1" applyProtection="1">
      <alignment vertical="center"/>
      <protection locked="0"/>
    </xf>
    <xf numFmtId="0" fontId="27" fillId="0" borderId="0" xfId="0" applyFont="1"/>
    <xf numFmtId="168" fontId="5" fillId="88" borderId="447" xfId="7" applyNumberFormat="1" applyFont="1" applyFill="1" applyBorder="1" applyAlignment="1" applyProtection="1">
      <alignment vertical="center"/>
      <protection locked="0"/>
    </xf>
    <xf numFmtId="1" fontId="64" fillId="88" borderId="483" xfId="0" applyNumberFormat="1" applyFont="1" applyFill="1" applyBorder="1" applyAlignment="1">
      <alignment horizontal="center" vertical="center" wrapText="1"/>
    </xf>
    <xf numFmtId="0" fontId="71" fillId="0" borderId="0" xfId="0" applyFont="1"/>
    <xf numFmtId="1" fontId="0" fillId="86" borderId="447" xfId="0" applyNumberFormat="1" applyFill="1" applyBorder="1" applyAlignment="1">
      <alignment horizontal="center" vertical="center" wrapText="1"/>
    </xf>
    <xf numFmtId="175" fontId="15" fillId="86" borderId="501" xfId="0" applyNumberFormat="1" applyFont="1" applyFill="1" applyBorder="1" applyAlignment="1">
      <alignment horizontal="left"/>
    </xf>
    <xf numFmtId="168" fontId="27" fillId="86" borderId="455" xfId="7" applyNumberFormat="1" applyFont="1" applyFill="1" applyBorder="1" applyAlignment="1" applyProtection="1">
      <alignment vertical="center"/>
      <protection locked="0"/>
    </xf>
    <xf numFmtId="168" fontId="7" fillId="86" borderId="447" xfId="0" applyNumberFormat="1" applyFont="1" applyFill="1" applyBorder="1"/>
    <xf numFmtId="0" fontId="72" fillId="0" borderId="0" xfId="0" applyFont="1"/>
    <xf numFmtId="0" fontId="72" fillId="25" borderId="0" xfId="0" applyFont="1" applyFill="1"/>
    <xf numFmtId="1" fontId="0" fillId="25" borderId="447" xfId="0" applyNumberFormat="1" applyFill="1" applyBorder="1" applyAlignment="1">
      <alignment horizontal="center" vertical="center" wrapText="1"/>
    </xf>
    <xf numFmtId="175" fontId="15" fillId="88" borderId="478" xfId="0" applyNumberFormat="1" applyFont="1" applyFill="1" applyBorder="1" applyAlignment="1">
      <alignment horizontal="left"/>
    </xf>
    <xf numFmtId="175" fontId="55" fillId="25" borderId="497" xfId="0" applyNumberFormat="1" applyFont="1" applyFill="1" applyBorder="1" applyAlignment="1">
      <alignment horizontal="left" vertical="center"/>
    </xf>
    <xf numFmtId="168" fontId="7" fillId="25" borderId="447" xfId="7" applyNumberFormat="1" applyFill="1" applyBorder="1" applyAlignment="1" applyProtection="1">
      <alignment vertical="center"/>
      <protection locked="0"/>
    </xf>
    <xf numFmtId="1" fontId="64" fillId="88" borderId="498" xfId="0" applyNumberFormat="1" applyFont="1" applyFill="1" applyBorder="1" applyAlignment="1">
      <alignment horizontal="center" vertical="center" wrapText="1"/>
    </xf>
    <xf numFmtId="175" fontId="15" fillId="88" borderId="499" xfId="0" applyNumberFormat="1" applyFont="1" applyFill="1" applyBorder="1" applyAlignment="1">
      <alignment horizontal="left"/>
    </xf>
    <xf numFmtId="1" fontId="27" fillId="0" borderId="500" xfId="0" applyNumberFormat="1" applyFont="1" applyBorder="1" applyAlignment="1">
      <alignment horizontal="center" vertical="center" wrapText="1"/>
    </xf>
    <xf numFmtId="1" fontId="64" fillId="90" borderId="447" xfId="0" applyNumberFormat="1" applyFont="1" applyFill="1" applyBorder="1" applyAlignment="1">
      <alignment horizontal="center" vertical="center" wrapText="1"/>
    </xf>
    <xf numFmtId="175" fontId="15" fillId="90" borderId="492" xfId="0" applyNumberFormat="1" applyFont="1" applyFill="1" applyBorder="1" applyAlignment="1">
      <alignment horizontal="left"/>
    </xf>
    <xf numFmtId="168" fontId="5" fillId="90" borderId="447" xfId="0" applyNumberFormat="1" applyFont="1" applyFill="1" applyBorder="1"/>
    <xf numFmtId="1" fontId="20" fillId="25" borderId="447" xfId="0" applyNumberFormat="1" applyFont="1" applyFill="1" applyBorder="1" applyAlignment="1">
      <alignment horizontal="center" vertical="center" wrapText="1"/>
    </xf>
    <xf numFmtId="175" fontId="55" fillId="25" borderId="492" xfId="0" applyNumberFormat="1" applyFont="1" applyFill="1" applyBorder="1" applyAlignment="1">
      <alignment horizontal="left"/>
    </xf>
    <xf numFmtId="1" fontId="7" fillId="25" borderId="447" xfId="0" applyNumberFormat="1" applyFont="1" applyFill="1" applyBorder="1" applyAlignment="1">
      <alignment horizontal="center" vertical="center" wrapText="1"/>
    </xf>
    <xf numFmtId="168" fontId="27" fillId="90" borderId="447" xfId="7" applyNumberFormat="1" applyFont="1" applyFill="1" applyBorder="1" applyAlignment="1" applyProtection="1">
      <alignment vertical="center"/>
      <protection locked="0"/>
    </xf>
    <xf numFmtId="1" fontId="27" fillId="25" borderId="447" xfId="0" applyNumberFormat="1" applyFont="1" applyFill="1" applyBorder="1" applyAlignment="1">
      <alignment horizontal="center" vertical="center" wrapText="1"/>
    </xf>
    <xf numFmtId="175" fontId="15" fillId="90" borderId="447" xfId="0" applyNumberFormat="1" applyFont="1" applyFill="1" applyBorder="1" applyAlignment="1">
      <alignment horizontal="left"/>
    </xf>
    <xf numFmtId="168" fontId="10" fillId="90" borderId="447" xfId="0" applyNumberFormat="1" applyFont="1" applyFill="1" applyBorder="1"/>
    <xf numFmtId="175" fontId="55" fillId="25" borderId="447" xfId="0" applyNumberFormat="1" applyFont="1" applyFill="1" applyBorder="1" applyAlignment="1">
      <alignment horizontal="left"/>
    </xf>
    <xf numFmtId="175" fontId="55" fillId="25" borderId="435" xfId="0" applyNumberFormat="1" applyFont="1" applyFill="1" applyBorder="1" applyAlignment="1">
      <alignment horizontal="left"/>
    </xf>
    <xf numFmtId="168" fontId="7" fillId="90" borderId="447" xfId="7" applyNumberFormat="1" applyFill="1" applyBorder="1" applyAlignment="1" applyProtection="1">
      <alignment vertical="center"/>
      <protection locked="0"/>
    </xf>
    <xf numFmtId="1" fontId="20" fillId="25" borderId="501" xfId="0" applyNumberFormat="1" applyFont="1" applyFill="1" applyBorder="1" applyAlignment="1">
      <alignment horizontal="center" vertical="center" wrapText="1"/>
    </xf>
    <xf numFmtId="175" fontId="55" fillId="25" borderId="501" xfId="0" applyNumberFormat="1" applyFont="1" applyFill="1" applyBorder="1" applyAlignment="1">
      <alignment horizontal="left"/>
    </xf>
    <xf numFmtId="168" fontId="27" fillId="25" borderId="501" xfId="7" applyNumberFormat="1" applyFont="1" applyFill="1" applyBorder="1" applyAlignment="1" applyProtection="1">
      <alignment vertical="center"/>
      <protection locked="0"/>
    </xf>
    <xf numFmtId="168" fontId="5" fillId="90" borderId="447" xfId="7" applyNumberFormat="1" applyFont="1" applyFill="1" applyBorder="1" applyAlignment="1" applyProtection="1">
      <alignment vertical="center"/>
      <protection locked="0"/>
    </xf>
    <xf numFmtId="1" fontId="20" fillId="25" borderId="435" xfId="0" applyNumberFormat="1" applyFont="1" applyFill="1" applyBorder="1" applyAlignment="1">
      <alignment horizontal="center" vertical="center" wrapText="1"/>
    </xf>
    <xf numFmtId="168" fontId="27" fillId="25" borderId="435" xfId="7" applyNumberFormat="1" applyFont="1" applyFill="1" applyBorder="1" applyAlignment="1" applyProtection="1">
      <alignment vertical="center"/>
      <protection locked="0"/>
    </xf>
    <xf numFmtId="168" fontId="26" fillId="90" borderId="447" xfId="7" applyNumberFormat="1" applyFont="1" applyFill="1" applyBorder="1" applyAlignment="1" applyProtection="1">
      <alignment vertical="center"/>
      <protection locked="0"/>
    </xf>
    <xf numFmtId="175" fontId="55" fillId="25" borderId="502" xfId="0" applyNumberFormat="1" applyFont="1" applyFill="1" applyBorder="1" applyAlignment="1">
      <alignment horizontal="left" vertical="center"/>
    </xf>
    <xf numFmtId="168" fontId="27" fillId="25" borderId="0" xfId="7" applyNumberFormat="1" applyFont="1" applyFill="1" applyAlignment="1" applyProtection="1">
      <alignment vertical="center"/>
      <protection locked="0"/>
    </xf>
    <xf numFmtId="0" fontId="64" fillId="2" borderId="0" xfId="0" applyFont="1" applyFill="1"/>
    <xf numFmtId="175" fontId="15" fillId="86" borderId="447" xfId="0" applyNumberFormat="1" applyFont="1" applyFill="1" applyBorder="1" applyAlignment="1">
      <alignment horizontal="left"/>
    </xf>
    <xf numFmtId="0" fontId="64" fillId="25" borderId="447" xfId="0" applyFont="1" applyFill="1" applyBorder="1"/>
    <xf numFmtId="0" fontId="71" fillId="0" borderId="435" xfId="0" applyFont="1" applyBorder="1"/>
    <xf numFmtId="0" fontId="71" fillId="0" borderId="447" xfId="0" applyFont="1" applyBorder="1"/>
    <xf numFmtId="168" fontId="11" fillId="90" borderId="447" xfId="7" applyNumberFormat="1" applyFont="1" applyFill="1" applyBorder="1" applyAlignment="1" applyProtection="1">
      <alignment vertical="center"/>
      <protection locked="0"/>
    </xf>
    <xf numFmtId="164" fontId="73" fillId="0" borderId="0" xfId="16" applyFont="1" applyFill="1" applyBorder="1" applyAlignment="1">
      <alignment horizontal="center" vertical="center" wrapText="1"/>
    </xf>
    <xf numFmtId="164" fontId="7" fillId="0" borderId="0" xfId="16" applyFont="1" applyBorder="1"/>
    <xf numFmtId="164" fontId="64" fillId="0" borderId="0" xfId="0" applyNumberFormat="1" applyFont="1"/>
    <xf numFmtId="0" fontId="47" fillId="31" borderId="447" xfId="0" applyFont="1" applyFill="1" applyBorder="1" applyAlignment="1">
      <alignment horizontal="center" vertical="center"/>
    </xf>
    <xf numFmtId="9" fontId="46" fillId="8" borderId="501" xfId="0" applyNumberFormat="1" applyFont="1" applyFill="1" applyBorder="1"/>
    <xf numFmtId="175" fontId="49" fillId="88" borderId="497" xfId="0" applyNumberFormat="1" applyFont="1" applyFill="1" applyBorder="1"/>
    <xf numFmtId="175" fontId="49" fillId="88" borderId="447" xfId="0" applyNumberFormat="1" applyFont="1" applyFill="1" applyBorder="1"/>
    <xf numFmtId="175" fontId="49" fillId="88" borderId="447" xfId="0" applyNumberFormat="1" applyFont="1" applyFill="1" applyBorder="1" applyAlignment="1">
      <alignment horizontal="left"/>
    </xf>
    <xf numFmtId="175" fontId="49" fillId="25" borderId="503" xfId="0" applyNumberFormat="1" applyFont="1" applyFill="1" applyBorder="1" applyAlignment="1">
      <alignment horizontal="left"/>
    </xf>
    <xf numFmtId="1" fontId="40" fillId="25" borderId="479" xfId="0" applyNumberFormat="1" applyFont="1" applyFill="1" applyBorder="1" applyAlignment="1">
      <alignment horizontal="center" vertical="center" wrapText="1"/>
    </xf>
    <xf numFmtId="175" fontId="49" fillId="25" borderId="484" xfId="0" applyNumberFormat="1" applyFont="1" applyFill="1" applyBorder="1" applyAlignment="1">
      <alignment horizontal="left"/>
    </xf>
    <xf numFmtId="1" fontId="40" fillId="25" borderId="491" xfId="0" applyNumberFormat="1" applyFont="1" applyFill="1" applyBorder="1" applyAlignment="1">
      <alignment horizontal="center" vertical="center" wrapText="1"/>
    </xf>
    <xf numFmtId="175" fontId="49" fillId="25" borderId="218" xfId="0" applyNumberFormat="1" applyFont="1" applyFill="1" applyBorder="1" applyAlignment="1">
      <alignment horizontal="left"/>
    </xf>
    <xf numFmtId="0" fontId="0" fillId="0" borderId="491" xfId="0" applyBorder="1"/>
    <xf numFmtId="0" fontId="0" fillId="0" borderId="484" xfId="0" applyBorder="1"/>
    <xf numFmtId="0" fontId="0" fillId="0" borderId="435" xfId="0" applyBorder="1"/>
    <xf numFmtId="175" fontId="49" fillId="89" borderId="458" xfId="0" applyNumberFormat="1" applyFont="1" applyFill="1" applyBorder="1" applyAlignment="1">
      <alignment horizontal="left"/>
    </xf>
    <xf numFmtId="175" fontId="49" fillId="89" borderId="491" xfId="0" applyNumberFormat="1" applyFont="1" applyFill="1" applyBorder="1" applyAlignment="1">
      <alignment horizontal="left"/>
    </xf>
    <xf numFmtId="168" fontId="40" fillId="89" borderId="435" xfId="7" applyNumberFormat="1" applyFont="1" applyFill="1" applyBorder="1" applyAlignment="1" applyProtection="1">
      <alignment vertical="center"/>
      <protection locked="0"/>
    </xf>
    <xf numFmtId="168" fontId="46" fillId="88" borderId="491" xfId="7" applyNumberFormat="1" applyFont="1" applyFill="1" applyBorder="1" applyAlignment="1" applyProtection="1">
      <alignment vertical="center"/>
      <protection locked="0"/>
    </xf>
    <xf numFmtId="0" fontId="56" fillId="25" borderId="484" xfId="0" applyFont="1" applyFill="1" applyBorder="1" applyAlignment="1" applyProtection="1">
      <alignment wrapText="1"/>
      <protection locked="0"/>
    </xf>
    <xf numFmtId="0" fontId="56" fillId="25" borderId="491" xfId="0" applyFont="1" applyFill="1" applyBorder="1" applyAlignment="1" applyProtection="1">
      <alignment wrapText="1"/>
      <protection locked="0"/>
    </xf>
    <xf numFmtId="1" fontId="56" fillId="88" borderId="491" xfId="0" applyNumberFormat="1" applyFont="1" applyFill="1" applyBorder="1" applyAlignment="1">
      <alignment horizontal="center" vertical="center" wrapText="1"/>
    </xf>
    <xf numFmtId="175" fontId="49" fillId="88" borderId="492" xfId="0" applyNumberFormat="1" applyFont="1" applyFill="1" applyBorder="1" applyAlignment="1">
      <alignment horizontal="left"/>
    </xf>
    <xf numFmtId="1" fontId="56" fillId="0" borderId="480" xfId="0" applyNumberFormat="1" applyFont="1" applyBorder="1" applyAlignment="1">
      <alignment horizontal="center" vertical="center" wrapText="1"/>
    </xf>
    <xf numFmtId="175" fontId="49" fillId="0" borderId="0" xfId="0" applyNumberFormat="1" applyFont="1" applyAlignment="1">
      <alignment horizontal="left"/>
    </xf>
    <xf numFmtId="175" fontId="49" fillId="0" borderId="447" xfId="0" applyNumberFormat="1" applyFont="1" applyBorder="1" applyAlignment="1">
      <alignment horizontal="left"/>
    </xf>
    <xf numFmtId="168" fontId="40" fillId="0" borderId="455" xfId="7" applyNumberFormat="1" applyFont="1" applyBorder="1" applyAlignment="1" applyProtection="1">
      <alignment vertical="center"/>
      <protection locked="0"/>
    </xf>
    <xf numFmtId="1" fontId="56" fillId="88" borderId="447" xfId="0" applyNumberFormat="1" applyFont="1" applyFill="1" applyBorder="1" applyAlignment="1">
      <alignment horizontal="center" vertical="center" wrapText="1"/>
    </xf>
    <xf numFmtId="175" fontId="49" fillId="88" borderId="455" xfId="0" applyNumberFormat="1" applyFont="1" applyFill="1" applyBorder="1" applyAlignment="1">
      <alignment horizontal="left"/>
    </xf>
    <xf numFmtId="175" fontId="49" fillId="25" borderId="478" xfId="0" applyNumberFormat="1" applyFont="1" applyFill="1" applyBorder="1" applyAlignment="1">
      <alignment horizontal="left" vertical="center"/>
    </xf>
    <xf numFmtId="1" fontId="40" fillId="25" borderId="504" xfId="0" applyNumberFormat="1" applyFont="1" applyFill="1" applyBorder="1" applyAlignment="1">
      <alignment horizontal="center" vertical="center" wrapText="1"/>
    </xf>
    <xf numFmtId="0" fontId="56" fillId="25" borderId="455" xfId="0" applyFont="1" applyFill="1" applyBorder="1" applyAlignment="1" applyProtection="1">
      <alignment horizontal="left" vertical="center"/>
      <protection locked="0"/>
    </xf>
    <xf numFmtId="175" fontId="49" fillId="0" borderId="497" xfId="0" applyNumberFormat="1" applyFont="1" applyBorder="1" applyAlignment="1">
      <alignment horizontal="left"/>
    </xf>
    <xf numFmtId="168" fontId="40" fillId="0" borderId="447" xfId="7" applyNumberFormat="1" applyFont="1" applyBorder="1" applyAlignment="1" applyProtection="1">
      <alignment vertical="center"/>
      <protection locked="0"/>
    </xf>
    <xf numFmtId="1" fontId="56" fillId="0" borderId="435" xfId="0" applyNumberFormat="1" applyFont="1" applyBorder="1" applyAlignment="1">
      <alignment horizontal="center" vertical="center" wrapText="1"/>
    </xf>
    <xf numFmtId="175" fontId="49" fillId="0" borderId="435" xfId="0" applyNumberFormat="1" applyFont="1" applyBorder="1" applyAlignment="1">
      <alignment horizontal="left"/>
    </xf>
    <xf numFmtId="168" fontId="40" fillId="0" borderId="435" xfId="7" applyNumberFormat="1" applyFont="1" applyBorder="1" applyAlignment="1" applyProtection="1">
      <alignment vertical="center"/>
      <protection locked="0"/>
    </xf>
    <xf numFmtId="175" fontId="49" fillId="25" borderId="455" xfId="0" applyNumberFormat="1" applyFont="1" applyFill="1" applyBorder="1" applyAlignment="1">
      <alignment horizontal="left"/>
    </xf>
    <xf numFmtId="175" fontId="49" fillId="25" borderId="505" xfId="0" applyNumberFormat="1" applyFont="1" applyFill="1" applyBorder="1" applyAlignment="1">
      <alignment horizontal="left" vertical="center"/>
    </xf>
    <xf numFmtId="0" fontId="75" fillId="0" borderId="0" xfId="0" applyFont="1"/>
    <xf numFmtId="175" fontId="49" fillId="88" borderId="506" xfId="0" applyNumberFormat="1" applyFont="1" applyFill="1" applyBorder="1" applyAlignment="1">
      <alignment horizontal="left"/>
    </xf>
    <xf numFmtId="168" fontId="40" fillId="88" borderId="501" xfId="7" applyNumberFormat="1" applyFont="1" applyFill="1" applyBorder="1" applyAlignment="1" applyProtection="1">
      <alignment vertical="center"/>
      <protection locked="0"/>
    </xf>
    <xf numFmtId="168" fontId="59" fillId="88" borderId="501" xfId="7" applyNumberFormat="1" applyFont="1" applyFill="1" applyBorder="1" applyAlignment="1" applyProtection="1">
      <alignment vertical="center"/>
      <protection locked="0"/>
    </xf>
    <xf numFmtId="175" fontId="49" fillId="89" borderId="501" xfId="0" applyNumberFormat="1" applyFont="1" applyFill="1" applyBorder="1" applyAlignment="1">
      <alignment horizontal="left"/>
    </xf>
    <xf numFmtId="168" fontId="40" fillId="89" borderId="455" xfId="7" applyNumberFormat="1" applyFont="1" applyFill="1" applyBorder="1" applyAlignment="1" applyProtection="1">
      <alignment vertical="center"/>
      <protection locked="0"/>
    </xf>
    <xf numFmtId="168" fontId="46" fillId="89" borderId="81" xfId="0" applyNumberFormat="1" applyFont="1" applyFill="1" applyBorder="1"/>
    <xf numFmtId="0" fontId="56" fillId="25" borderId="0" xfId="0" applyFont="1" applyFill="1" applyProtection="1">
      <protection locked="0"/>
    </xf>
    <xf numFmtId="0" fontId="40" fillId="25" borderId="0" xfId="0" applyFont="1" applyFill="1"/>
    <xf numFmtId="168" fontId="57" fillId="90" borderId="447" xfId="7" applyNumberFormat="1" applyFont="1" applyFill="1" applyBorder="1" applyAlignment="1" applyProtection="1">
      <alignment vertical="center"/>
      <protection locked="0"/>
    </xf>
    <xf numFmtId="168" fontId="57" fillId="90" borderId="447" xfId="0" applyNumberFormat="1" applyFont="1" applyFill="1" applyBorder="1"/>
    <xf numFmtId="168" fontId="46" fillId="25" borderId="0" xfId="0" applyNumberFormat="1" applyFont="1" applyFill="1"/>
    <xf numFmtId="168" fontId="57" fillId="89" borderId="447" xfId="7" applyNumberFormat="1" applyFont="1" applyFill="1" applyBorder="1" applyAlignment="1" applyProtection="1">
      <alignment vertical="center"/>
      <protection locked="0"/>
    </xf>
    <xf numFmtId="1" fontId="56" fillId="25" borderId="0" xfId="0" applyNumberFormat="1" applyFont="1" applyFill="1" applyAlignment="1">
      <alignment horizontal="center" vertical="center" wrapText="1"/>
    </xf>
    <xf numFmtId="42" fontId="56" fillId="25" borderId="0" xfId="0" applyNumberFormat="1" applyFont="1" applyFill="1"/>
    <xf numFmtId="168" fontId="59" fillId="25" borderId="447" xfId="7" applyNumberFormat="1" applyFont="1" applyFill="1" applyBorder="1" applyAlignment="1" applyProtection="1">
      <alignment vertical="center"/>
      <protection locked="0"/>
    </xf>
    <xf numFmtId="0" fontId="14" fillId="98" borderId="447" xfId="0" quotePrefix="1" applyFont="1" applyFill="1" applyBorder="1" applyAlignment="1" applyProtection="1">
      <alignment horizontal="right" vertical="center"/>
      <protection locked="0"/>
    </xf>
    <xf numFmtId="0" fontId="14" fillId="98" borderId="447" xfId="0" applyFont="1" applyFill="1" applyBorder="1" applyAlignment="1" applyProtection="1">
      <alignment vertical="center"/>
      <protection locked="0"/>
    </xf>
    <xf numFmtId="42" fontId="31" fillId="0" borderId="0" xfId="3" applyFont="1"/>
    <xf numFmtId="0" fontId="76" fillId="99" borderId="447" xfId="0" quotePrefix="1" applyFont="1" applyFill="1" applyBorder="1" applyAlignment="1" applyProtection="1">
      <alignment horizontal="right" vertical="center"/>
      <protection locked="0"/>
    </xf>
    <xf numFmtId="0" fontId="76" fillId="99" borderId="447" xfId="0" applyFont="1" applyFill="1" applyBorder="1" applyAlignment="1" applyProtection="1">
      <alignment vertical="center"/>
      <protection locked="0"/>
    </xf>
    <xf numFmtId="0" fontId="15" fillId="0" borderId="447" xfId="19" quotePrefix="1" applyFont="1" applyBorder="1" applyAlignment="1" applyProtection="1">
      <alignment horizontal="right" vertical="center"/>
      <protection locked="0"/>
    </xf>
    <xf numFmtId="0" fontId="15" fillId="0" borderId="447" xfId="21" quotePrefix="1" applyFont="1" applyBorder="1" applyAlignment="1" applyProtection="1">
      <alignment horizontal="right" vertical="center"/>
      <protection locked="0"/>
    </xf>
    <xf numFmtId="0" fontId="15" fillId="0" borderId="447" xfId="21" applyFont="1" applyBorder="1" applyAlignment="1" applyProtection="1">
      <alignment vertical="center"/>
      <protection locked="0"/>
    </xf>
    <xf numFmtId="42" fontId="2" fillId="0" borderId="0" xfId="0" applyNumberFormat="1" applyFont="1"/>
    <xf numFmtId="0" fontId="15" fillId="0" borderId="0" xfId="19" applyFont="1" applyAlignment="1" applyProtection="1">
      <alignment vertical="center"/>
      <protection locked="0"/>
    </xf>
    <xf numFmtId="0" fontId="15" fillId="0" borderId="447" xfId="0" quotePrefix="1" applyFont="1" applyBorder="1" applyAlignment="1" applyProtection="1">
      <alignment horizontal="right" vertical="center"/>
      <protection locked="0"/>
    </xf>
    <xf numFmtId="0" fontId="15" fillId="0" borderId="447" xfId="0" applyFont="1" applyBorder="1" applyAlignment="1" applyProtection="1">
      <alignment vertical="center"/>
      <protection locked="0"/>
    </xf>
    <xf numFmtId="42" fontId="0" fillId="0" borderId="0" xfId="3" applyFont="1" applyBorder="1"/>
    <xf numFmtId="0" fontId="31" fillId="0" borderId="0" xfId="0" applyFont="1"/>
    <xf numFmtId="1" fontId="56" fillId="0" borderId="447" xfId="0" applyNumberFormat="1" applyFont="1" applyBorder="1" applyAlignment="1">
      <alignment horizontal="center" vertical="center" wrapText="1"/>
    </xf>
    <xf numFmtId="175" fontId="49" fillId="0" borderId="447" xfId="0" applyNumberFormat="1" applyFont="1" applyBorder="1" applyAlignment="1">
      <alignment horizontal="left" vertical="center"/>
    </xf>
    <xf numFmtId="0" fontId="77" fillId="0" borderId="0" xfId="0" applyFont="1"/>
    <xf numFmtId="187" fontId="0" fillId="0" borderId="0" xfId="0" applyNumberFormat="1"/>
    <xf numFmtId="0" fontId="0" fillId="2" borderId="455" xfId="0" applyFill="1" applyBorder="1" applyProtection="1">
      <protection locked="0"/>
    </xf>
    <xf numFmtId="171" fontId="0" fillId="2" borderId="453" xfId="2" applyNumberFormat="1" applyFont="1" applyFill="1" applyBorder="1" applyAlignment="1" applyProtection="1">
      <alignment vertical="center"/>
      <protection locked="0"/>
    </xf>
    <xf numFmtId="0" fontId="31" fillId="2" borderId="447" xfId="0" applyFont="1" applyFill="1" applyBorder="1" applyAlignment="1" applyProtection="1">
      <alignment horizontal="left" vertical="center"/>
      <protection locked="0"/>
    </xf>
    <xf numFmtId="0" fontId="0" fillId="2" borderId="348" xfId="0" applyFill="1" applyBorder="1" applyAlignment="1" applyProtection="1">
      <alignment horizontal="left" vertical="center"/>
      <protection locked="0"/>
    </xf>
    <xf numFmtId="0" fontId="0" fillId="2" borderId="447" xfId="0" applyFill="1" applyBorder="1" applyAlignment="1" applyProtection="1">
      <alignment horizontal="left" vertical="center"/>
      <protection locked="0"/>
    </xf>
    <xf numFmtId="0" fontId="31" fillId="2" borderId="455" xfId="0" applyFont="1" applyFill="1" applyBorder="1" applyAlignment="1" applyProtection="1">
      <alignment horizontal="center" vertical="center"/>
      <protection locked="0"/>
    </xf>
    <xf numFmtId="0" fontId="31" fillId="2" borderId="446" xfId="0" applyFont="1" applyFill="1" applyBorder="1" applyAlignment="1" applyProtection="1">
      <alignment horizontal="left" vertical="center"/>
      <protection locked="0"/>
    </xf>
    <xf numFmtId="0" fontId="31" fillId="2" borderId="455" xfId="0" applyFont="1" applyFill="1" applyBorder="1" applyAlignment="1" applyProtection="1">
      <alignment horizontal="left" vertical="center"/>
      <protection locked="0"/>
    </xf>
    <xf numFmtId="171" fontId="0" fillId="2" borderId="453" xfId="7" applyNumberFormat="1" applyFont="1" applyFill="1" applyBorder="1" applyAlignment="1" applyProtection="1">
      <alignment vertical="center"/>
      <protection locked="0"/>
    </xf>
    <xf numFmtId="0" fontId="31" fillId="2" borderId="449" xfId="0" applyFont="1" applyFill="1" applyBorder="1" applyAlignment="1" applyProtection="1">
      <alignment horizontal="left" vertical="center"/>
      <protection locked="0"/>
    </xf>
    <xf numFmtId="0" fontId="0" fillId="2" borderId="450" xfId="0" applyFill="1" applyBorder="1" applyAlignment="1" applyProtection="1">
      <alignment horizontal="left" vertical="center"/>
      <protection locked="0"/>
    </xf>
    <xf numFmtId="0" fontId="31" fillId="2" borderId="456" xfId="0" applyFont="1" applyFill="1" applyBorder="1" applyAlignment="1" applyProtection="1">
      <alignment horizontal="left" vertical="center"/>
      <protection locked="0"/>
    </xf>
    <xf numFmtId="0" fontId="31" fillId="2" borderId="421" xfId="0" applyFont="1" applyFill="1" applyBorder="1" applyAlignment="1" applyProtection="1">
      <alignment horizontal="center" vertical="center"/>
      <protection locked="0"/>
    </xf>
    <xf numFmtId="171" fontId="0" fillId="2" borderId="347" xfId="7" applyNumberFormat="1" applyFont="1" applyFill="1" applyBorder="1" applyAlignment="1" applyProtection="1">
      <alignment vertical="center"/>
      <protection locked="0"/>
    </xf>
    <xf numFmtId="171" fontId="0" fillId="2" borderId="348" xfId="7" applyNumberFormat="1" applyFont="1" applyFill="1" applyBorder="1" applyAlignment="1" applyProtection="1">
      <alignment vertical="center"/>
      <protection locked="0"/>
    </xf>
    <xf numFmtId="171" fontId="0" fillId="2" borderId="454" xfId="7" applyNumberFormat="1" applyFont="1" applyFill="1" applyBorder="1" applyAlignment="1" applyProtection="1">
      <alignment vertical="center"/>
      <protection locked="0"/>
    </xf>
    <xf numFmtId="171" fontId="0" fillId="2" borderId="447" xfId="7" applyNumberFormat="1" applyFont="1" applyFill="1" applyBorder="1" applyAlignment="1" applyProtection="1">
      <alignment vertical="center"/>
      <protection locked="0"/>
    </xf>
    <xf numFmtId="0" fontId="0" fillId="2" borderId="455" xfId="0" applyFill="1" applyBorder="1" applyAlignment="1" applyProtection="1">
      <alignment horizontal="left" vertical="center"/>
      <protection locked="0"/>
    </xf>
    <xf numFmtId="0" fontId="40" fillId="2" borderId="446" xfId="8" applyFont="1" applyFill="1" applyBorder="1" applyAlignment="1" applyProtection="1">
      <alignment vertical="center" wrapText="1"/>
      <protection locked="0"/>
    </xf>
    <xf numFmtId="171" fontId="0" fillId="2" borderId="407" xfId="7" applyNumberFormat="1" applyFont="1" applyFill="1" applyBorder="1" applyAlignment="1" applyProtection="1">
      <alignment vertical="center"/>
      <protection locked="0"/>
    </xf>
    <xf numFmtId="0" fontId="40" fillId="2" borderId="341" xfId="8" applyFont="1" applyFill="1" applyBorder="1" applyAlignment="1" applyProtection="1">
      <alignment vertical="center" wrapText="1"/>
      <protection locked="0"/>
    </xf>
    <xf numFmtId="0" fontId="0" fillId="2" borderId="421" xfId="0" applyFill="1" applyBorder="1" applyAlignment="1" applyProtection="1">
      <alignment horizontal="left" vertical="center"/>
      <protection locked="0"/>
    </xf>
    <xf numFmtId="0" fontId="40" fillId="2" borderId="446" xfId="0" applyFont="1" applyFill="1" applyBorder="1" applyAlignment="1" applyProtection="1">
      <alignment vertical="center"/>
      <protection locked="0"/>
    </xf>
    <xf numFmtId="0" fontId="31" fillId="2" borderId="446" xfId="0" applyFont="1" applyFill="1" applyBorder="1" applyProtection="1">
      <protection locked="0"/>
    </xf>
    <xf numFmtId="0" fontId="0" fillId="2" borderId="447" xfId="0" applyFill="1" applyBorder="1" applyProtection="1">
      <protection locked="0"/>
    </xf>
    <xf numFmtId="0" fontId="31" fillId="2" borderId="455" xfId="0" applyFont="1" applyFill="1" applyBorder="1" applyAlignment="1" applyProtection="1">
      <alignment horizontal="center"/>
      <protection locked="0"/>
    </xf>
    <xf numFmtId="0" fontId="40" fillId="2" borderId="446" xfId="0" applyFont="1" applyFill="1" applyBorder="1" applyProtection="1">
      <protection locked="0"/>
    </xf>
    <xf numFmtId="171" fontId="0" fillId="2" borderId="455" xfId="2" applyNumberFormat="1" applyFont="1" applyFill="1" applyBorder="1" applyAlignment="1" applyProtection="1">
      <alignment vertical="center"/>
      <protection locked="0"/>
    </xf>
    <xf numFmtId="0" fontId="40" fillId="2" borderId="447" xfId="0" applyFont="1" applyFill="1" applyBorder="1" applyAlignment="1" applyProtection="1">
      <alignment vertical="center"/>
      <protection locked="0"/>
    </xf>
    <xf numFmtId="0" fontId="40" fillId="2" borderId="341" xfId="0" applyFont="1" applyFill="1" applyBorder="1" applyAlignment="1" applyProtection="1">
      <alignment horizontal="left" vertical="center"/>
      <protection locked="0"/>
    </xf>
    <xf numFmtId="0" fontId="40" fillId="2" borderId="446" xfId="0" applyFont="1" applyFill="1" applyBorder="1" applyAlignment="1" applyProtection="1">
      <alignment horizontal="left" vertical="center"/>
      <protection locked="0"/>
    </xf>
    <xf numFmtId="0" fontId="30" fillId="2" borderId="447" xfId="0" applyFont="1" applyFill="1" applyBorder="1" applyAlignment="1" applyProtection="1">
      <alignment horizontal="left" vertical="center"/>
      <protection locked="0"/>
    </xf>
    <xf numFmtId="0" fontId="30" fillId="2" borderId="507" xfId="0" applyFont="1" applyFill="1" applyBorder="1" applyAlignment="1" applyProtection="1">
      <alignment horizontal="left" vertical="center"/>
      <protection locked="0"/>
    </xf>
    <xf numFmtId="0" fontId="30" fillId="2" borderId="455" xfId="0" applyFont="1" applyFill="1" applyBorder="1" applyProtection="1">
      <protection locked="0"/>
    </xf>
    <xf numFmtId="0" fontId="30" fillId="2" borderId="446" xfId="0" applyFont="1" applyFill="1" applyBorder="1" applyAlignment="1" applyProtection="1">
      <alignment horizontal="left" vertical="center"/>
      <protection locked="0"/>
    </xf>
    <xf numFmtId="42" fontId="0" fillId="2" borderId="410" xfId="0" applyNumberFormat="1" applyFill="1" applyBorder="1" applyProtection="1">
      <protection locked="0"/>
    </xf>
    <xf numFmtId="168" fontId="7" fillId="2" borderId="447" xfId="2" applyNumberFormat="1" applyFont="1" applyFill="1" applyBorder="1" applyAlignment="1" applyProtection="1">
      <alignment vertical="center"/>
      <protection locked="0"/>
    </xf>
    <xf numFmtId="168" fontId="31" fillId="2" borderId="447" xfId="7" applyNumberFormat="1" applyFont="1" applyFill="1" applyBorder="1" applyAlignment="1" applyProtection="1">
      <alignment vertical="center"/>
      <protection locked="0"/>
    </xf>
    <xf numFmtId="0" fontId="0" fillId="2" borderId="446" xfId="0" applyFill="1" applyBorder="1" applyAlignment="1" applyProtection="1">
      <alignment horizontal="left" vertical="center"/>
      <protection locked="0"/>
    </xf>
    <xf numFmtId="171" fontId="0" fillId="2" borderId="447" xfId="2" applyNumberFormat="1" applyFont="1" applyFill="1" applyBorder="1" applyAlignment="1" applyProtection="1">
      <alignment vertical="center"/>
      <protection locked="0"/>
    </xf>
    <xf numFmtId="0" fontId="0" fillId="53" borderId="447" xfId="0" applyFill="1" applyBorder="1" applyAlignment="1" applyProtection="1">
      <alignment horizontal="left" vertical="center"/>
      <protection locked="0"/>
    </xf>
    <xf numFmtId="0" fontId="0" fillId="53" borderId="447" xfId="0" applyFill="1" applyBorder="1" applyProtection="1">
      <protection locked="0"/>
    </xf>
    <xf numFmtId="171" fontId="0" fillId="2" borderId="455" xfId="7" applyNumberFormat="1" applyFont="1" applyFill="1" applyBorder="1" applyAlignment="1" applyProtection="1">
      <alignment vertical="center"/>
      <protection locked="0"/>
    </xf>
    <xf numFmtId="0" fontId="0" fillId="2" borderId="459" xfId="0" applyFill="1" applyBorder="1" applyAlignment="1" applyProtection="1">
      <alignment horizontal="left" vertical="center"/>
      <protection locked="0"/>
    </xf>
    <xf numFmtId="0" fontId="0" fillId="2" borderId="450" xfId="0" applyFill="1" applyBorder="1" applyProtection="1">
      <protection locked="0"/>
    </xf>
    <xf numFmtId="0" fontId="0" fillId="2" borderId="456" xfId="0" applyFill="1" applyBorder="1" applyProtection="1">
      <protection locked="0"/>
    </xf>
    <xf numFmtId="171" fontId="0" fillId="2" borderId="450" xfId="7" applyNumberFormat="1" applyFont="1" applyFill="1" applyBorder="1" applyAlignment="1" applyProtection="1">
      <alignment vertical="center"/>
      <protection locked="0"/>
    </xf>
    <xf numFmtId="171" fontId="0" fillId="2" borderId="456" xfId="7" applyNumberFormat="1" applyFont="1" applyFill="1" applyBorder="1" applyAlignment="1" applyProtection="1">
      <alignment vertical="center"/>
      <protection locked="0"/>
    </xf>
    <xf numFmtId="0" fontId="0" fillId="2" borderId="458" xfId="0" applyFill="1" applyBorder="1" applyProtection="1">
      <protection locked="0"/>
    </xf>
    <xf numFmtId="0" fontId="0" fillId="2" borderId="438" xfId="0" applyFill="1" applyBorder="1" applyAlignment="1" applyProtection="1">
      <alignment horizontal="left" vertical="center"/>
      <protection locked="0"/>
    </xf>
    <xf numFmtId="0" fontId="0" fillId="53" borderId="348" xfId="0" applyFill="1" applyBorder="1" applyAlignment="1" applyProtection="1">
      <alignment horizontal="left" vertical="center"/>
      <protection locked="0"/>
    </xf>
    <xf numFmtId="0" fontId="0" fillId="53" borderId="348" xfId="0" applyFill="1" applyBorder="1" applyProtection="1">
      <protection locked="0"/>
    </xf>
    <xf numFmtId="0" fontId="0" fillId="2" borderId="449" xfId="0" applyFill="1" applyBorder="1" applyAlignment="1" applyProtection="1">
      <alignment horizontal="left" vertical="center"/>
      <protection locked="0"/>
    </xf>
    <xf numFmtId="0" fontId="0" fillId="53" borderId="446" xfId="0" applyFill="1" applyBorder="1" applyAlignment="1" applyProtection="1">
      <alignment horizontal="left" vertical="center"/>
      <protection locked="0"/>
    </xf>
    <xf numFmtId="171" fontId="1" fillId="2" borderId="447" xfId="7" applyNumberFormat="1" applyFont="1" applyFill="1" applyBorder="1" applyAlignment="1" applyProtection="1">
      <alignment vertical="center"/>
      <protection locked="0"/>
    </xf>
    <xf numFmtId="171" fontId="1" fillId="2" borderId="447" xfId="2" applyNumberFormat="1" applyFont="1" applyFill="1" applyBorder="1" applyAlignment="1" applyProtection="1">
      <alignment vertical="center"/>
      <protection locked="0"/>
    </xf>
    <xf numFmtId="171" fontId="1" fillId="2" borderId="455" xfId="2" applyNumberFormat="1" applyFont="1" applyFill="1" applyBorder="1" applyAlignment="1" applyProtection="1">
      <alignment vertical="center"/>
      <protection locked="0"/>
    </xf>
    <xf numFmtId="9" fontId="0" fillId="2" borderId="446" xfId="0" applyNumberFormat="1" applyFill="1" applyBorder="1" applyAlignment="1" applyProtection="1">
      <alignment horizontal="center" vertical="center"/>
      <protection locked="0"/>
    </xf>
    <xf numFmtId="166" fontId="0" fillId="2" borderId="351" xfId="9" applyFont="1" applyFill="1" applyBorder="1" applyAlignment="1" applyProtection="1">
      <alignment horizontal="center" vertical="center"/>
      <protection locked="0"/>
    </xf>
    <xf numFmtId="166" fontId="0" fillId="2" borderId="438" xfId="9" applyFont="1" applyFill="1" applyBorder="1" applyAlignment="1" applyProtection="1">
      <alignment horizontal="center" vertical="center"/>
      <protection locked="0"/>
    </xf>
    <xf numFmtId="0" fontId="0" fillId="2" borderId="508" xfId="0" applyFill="1" applyBorder="1" applyAlignment="1" applyProtection="1">
      <alignment horizontal="left" vertical="center"/>
      <protection locked="0"/>
    </xf>
    <xf numFmtId="171" fontId="20" fillId="2" borderId="450" xfId="2" applyNumberFormat="1" applyFont="1" applyFill="1" applyBorder="1" applyAlignment="1" applyProtection="1">
      <alignment vertical="center"/>
      <protection locked="0"/>
    </xf>
    <xf numFmtId="168" fontId="0" fillId="53" borderId="448" xfId="2" applyNumberFormat="1" applyFont="1" applyFill="1" applyBorder="1" applyAlignment="1" applyProtection="1">
      <alignment vertical="center"/>
      <protection locked="0"/>
    </xf>
    <xf numFmtId="168" fontId="0" fillId="2" borderId="447" xfId="7" applyNumberFormat="1" applyFont="1" applyFill="1" applyBorder="1" applyAlignment="1" applyProtection="1">
      <alignment vertical="center"/>
      <protection locked="0"/>
    </xf>
    <xf numFmtId="0" fontId="0" fillId="2" borderId="453" xfId="0" applyFill="1" applyBorder="1" applyAlignment="1" applyProtection="1">
      <alignment horizontal="left" vertical="center"/>
      <protection locked="0"/>
    </xf>
    <xf numFmtId="168" fontId="7" fillId="2" borderId="410" xfId="7" applyNumberFormat="1" applyFill="1" applyBorder="1" applyAlignment="1" applyProtection="1">
      <alignment horizontal="right" vertical="center"/>
      <protection locked="0"/>
    </xf>
    <xf numFmtId="0" fontId="0" fillId="2" borderId="442"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168" fontId="7" fillId="2" borderId="338" xfId="7" applyNumberFormat="1" applyFill="1" applyBorder="1" applyAlignment="1" applyProtection="1">
      <alignment vertical="center"/>
      <protection locked="0"/>
    </xf>
    <xf numFmtId="173" fontId="0" fillId="2" borderId="341" xfId="2" applyNumberFormat="1" applyFont="1" applyFill="1" applyBorder="1" applyAlignment="1" applyProtection="1">
      <alignment horizontal="center" vertical="center"/>
      <protection locked="0"/>
    </xf>
    <xf numFmtId="0" fontId="46" fillId="31" borderId="509" xfId="0" applyFont="1" applyFill="1" applyBorder="1" applyAlignment="1">
      <alignment horizontal="center" vertical="center" wrapText="1"/>
    </xf>
    <xf numFmtId="0" fontId="47" fillId="31" borderId="510" xfId="0" applyFont="1" applyFill="1" applyBorder="1" applyAlignment="1">
      <alignment horizontal="left" vertical="center"/>
    </xf>
    <xf numFmtId="168" fontId="47" fillId="31" borderId="491" xfId="7" applyNumberFormat="1" applyFont="1" applyFill="1" applyBorder="1" applyAlignment="1">
      <alignment horizontal="center" vertical="center"/>
    </xf>
    <xf numFmtId="9" fontId="46" fillId="8" borderId="444" xfId="0" applyNumberFormat="1" applyFont="1" applyFill="1" applyBorder="1"/>
    <xf numFmtId="1" fontId="40" fillId="88" borderId="511" xfId="0" applyNumberFormat="1" applyFont="1" applyFill="1" applyBorder="1" applyAlignment="1">
      <alignment vertical="center" wrapText="1"/>
    </xf>
    <xf numFmtId="168" fontId="40" fillId="88" borderId="491" xfId="7" applyNumberFormat="1" applyFont="1" applyFill="1" applyBorder="1" applyAlignment="1" applyProtection="1">
      <alignment vertical="center"/>
      <protection locked="0"/>
    </xf>
    <xf numFmtId="1" fontId="40" fillId="25" borderId="511" xfId="0" applyNumberFormat="1" applyFont="1" applyFill="1" applyBorder="1" applyAlignment="1">
      <alignment horizontal="center" vertical="center" wrapText="1"/>
    </xf>
    <xf numFmtId="175" fontId="49" fillId="25" borderId="512" xfId="0" applyNumberFormat="1" applyFont="1" applyFill="1" applyBorder="1"/>
    <xf numFmtId="1" fontId="45" fillId="88" borderId="511" xfId="0" applyNumberFormat="1" applyFont="1" applyFill="1" applyBorder="1" applyAlignment="1">
      <alignment horizontal="center" vertical="center" wrapText="1"/>
    </xf>
    <xf numFmtId="175" fontId="51" fillId="25" borderId="497" xfId="0" applyNumberFormat="1" applyFont="1" applyFill="1" applyBorder="1" applyAlignment="1">
      <alignment horizontal="left"/>
    </xf>
    <xf numFmtId="168" fontId="45" fillId="0" borderId="0" xfId="0" applyNumberFormat="1" applyFont="1"/>
    <xf numFmtId="3" fontId="45" fillId="0" borderId="0" xfId="0" applyNumberFormat="1" applyFont="1"/>
    <xf numFmtId="1" fontId="45" fillId="89" borderId="511" xfId="0" applyNumberFormat="1" applyFont="1" applyFill="1" applyBorder="1" applyAlignment="1">
      <alignment horizontal="center" vertical="center" wrapText="1"/>
    </xf>
    <xf numFmtId="168" fontId="40" fillId="89" borderId="491" xfId="7" applyNumberFormat="1" applyFont="1" applyFill="1" applyBorder="1" applyAlignment="1" applyProtection="1">
      <alignment vertical="center"/>
      <protection locked="0"/>
    </xf>
    <xf numFmtId="168" fontId="46" fillId="89" borderId="491" xfId="7" applyNumberFormat="1" applyFont="1" applyFill="1" applyBorder="1" applyAlignment="1" applyProtection="1">
      <alignment vertical="center"/>
      <protection locked="0"/>
    </xf>
    <xf numFmtId="1" fontId="45" fillId="25" borderId="513" xfId="0" applyNumberFormat="1" applyFont="1" applyFill="1" applyBorder="1" applyAlignment="1">
      <alignment horizontal="center" vertical="center" wrapText="1"/>
    </xf>
    <xf numFmtId="0" fontId="56" fillId="2" borderId="491" xfId="0" applyFont="1" applyFill="1" applyBorder="1" applyAlignment="1" applyProtection="1">
      <alignment wrapText="1"/>
      <protection locked="0"/>
    </xf>
    <xf numFmtId="168" fontId="52" fillId="2" borderId="491" xfId="7" applyNumberFormat="1" applyFont="1" applyFill="1" applyBorder="1" applyAlignment="1" applyProtection="1">
      <alignment vertical="center"/>
      <protection locked="0"/>
    </xf>
    <xf numFmtId="0" fontId="52" fillId="0" borderId="0" xfId="0" applyFont="1"/>
    <xf numFmtId="175" fontId="49" fillId="88" borderId="512" xfId="0" applyNumberFormat="1" applyFont="1" applyFill="1" applyBorder="1" applyAlignment="1">
      <alignment horizontal="left"/>
    </xf>
    <xf numFmtId="1" fontId="45" fillId="88" borderId="483" xfId="0" applyNumberFormat="1" applyFont="1" applyFill="1" applyBorder="1" applyAlignment="1">
      <alignment horizontal="center" vertical="center" wrapText="1"/>
    </xf>
    <xf numFmtId="0" fontId="53" fillId="0" borderId="0" xfId="0" applyFont="1"/>
    <xf numFmtId="1" fontId="45" fillId="89" borderId="491" xfId="0" applyNumberFormat="1" applyFont="1" applyFill="1" applyBorder="1" applyAlignment="1">
      <alignment horizontal="center" vertical="center" wrapText="1"/>
    </xf>
    <xf numFmtId="175" fontId="49" fillId="89" borderId="444" xfId="0" applyNumberFormat="1" applyFont="1" applyFill="1" applyBorder="1" applyAlignment="1">
      <alignment horizontal="left"/>
    </xf>
    <xf numFmtId="168" fontId="52" fillId="89" borderId="484" xfId="7" applyNumberFormat="1" applyFont="1" applyFill="1" applyBorder="1" applyAlignment="1" applyProtection="1">
      <alignment vertical="center"/>
      <protection locked="0"/>
    </xf>
    <xf numFmtId="175" fontId="51" fillId="25" borderId="497" xfId="0" applyNumberFormat="1" applyFont="1" applyFill="1" applyBorder="1" applyAlignment="1">
      <alignment horizontal="left" vertical="center"/>
    </xf>
    <xf numFmtId="175" fontId="51" fillId="25" borderId="491" xfId="0" applyNumberFormat="1" applyFont="1" applyFill="1" applyBorder="1" applyAlignment="1">
      <alignment horizontal="left" vertical="center"/>
    </xf>
    <xf numFmtId="1" fontId="45" fillId="88" borderId="498" xfId="0" applyNumberFormat="1" applyFont="1" applyFill="1" applyBorder="1" applyAlignment="1">
      <alignment horizontal="center" vertical="center" wrapText="1"/>
    </xf>
    <xf numFmtId="175" fontId="49" fillId="88" borderId="514" xfId="0" applyNumberFormat="1" applyFont="1" applyFill="1" applyBorder="1" applyAlignment="1">
      <alignment horizontal="left"/>
    </xf>
    <xf numFmtId="0" fontId="45" fillId="0" borderId="491" xfId="0" applyFont="1" applyBorder="1"/>
    <xf numFmtId="1" fontId="52" fillId="0" borderId="491" xfId="0" applyNumberFormat="1" applyFont="1" applyBorder="1" applyAlignment="1">
      <alignment horizontal="center" vertical="center" wrapText="1"/>
    </xf>
    <xf numFmtId="175" fontId="51" fillId="25" borderId="491" xfId="0" applyNumberFormat="1" applyFont="1" applyFill="1" applyBorder="1" applyAlignment="1">
      <alignment horizontal="left"/>
    </xf>
    <xf numFmtId="1" fontId="45" fillId="90" borderId="515" xfId="0" applyNumberFormat="1" applyFont="1" applyFill="1" applyBorder="1" applyAlignment="1">
      <alignment horizontal="center" vertical="center" wrapText="1"/>
    </xf>
    <xf numFmtId="175" fontId="49" fillId="90" borderId="516" xfId="0" applyNumberFormat="1" applyFont="1" applyFill="1" applyBorder="1" applyAlignment="1">
      <alignment horizontal="left"/>
    </xf>
    <xf numFmtId="168" fontId="46" fillId="90" borderId="515" xfId="0" applyNumberFormat="1" applyFont="1" applyFill="1" applyBorder="1"/>
    <xf numFmtId="1" fontId="45" fillId="90" borderId="491" xfId="0" applyNumberFormat="1" applyFont="1" applyFill="1" applyBorder="1" applyAlignment="1">
      <alignment horizontal="center" vertical="center" wrapText="1"/>
    </xf>
    <xf numFmtId="168" fontId="46" fillId="90" borderId="491" xfId="7" applyNumberFormat="1" applyFont="1" applyFill="1" applyBorder="1" applyAlignment="1" applyProtection="1">
      <alignment vertical="center"/>
      <protection locked="0"/>
    </xf>
    <xf numFmtId="1" fontId="52" fillId="25" borderId="491" xfId="0" applyNumberFormat="1" applyFont="1" applyFill="1" applyBorder="1" applyAlignment="1">
      <alignment horizontal="center" vertical="center" wrapText="1"/>
    </xf>
    <xf numFmtId="175" fontId="49" fillId="90" borderId="491" xfId="0" applyNumberFormat="1" applyFont="1" applyFill="1" applyBorder="1" applyAlignment="1">
      <alignment horizontal="left"/>
    </xf>
    <xf numFmtId="168" fontId="54" fillId="90" borderId="491" xfId="0" applyNumberFormat="1" applyFont="1" applyFill="1" applyBorder="1"/>
    <xf numFmtId="1" fontId="56" fillId="25" borderId="444" xfId="0" applyNumberFormat="1" applyFont="1" applyFill="1" applyBorder="1" applyAlignment="1">
      <alignment horizontal="center" vertical="center" wrapText="1"/>
    </xf>
    <xf numFmtId="175" fontId="51" fillId="25" borderId="444" xfId="0" applyNumberFormat="1" applyFont="1" applyFill="1" applyBorder="1" applyAlignment="1">
      <alignment horizontal="left"/>
    </xf>
    <xf numFmtId="168" fontId="52" fillId="25" borderId="444" xfId="7" applyNumberFormat="1" applyFont="1" applyFill="1" applyBorder="1" applyAlignment="1" applyProtection="1">
      <alignment vertical="center"/>
      <protection locked="0"/>
    </xf>
    <xf numFmtId="1" fontId="56" fillId="25" borderId="515" xfId="0" applyNumberFormat="1" applyFont="1" applyFill="1" applyBorder="1" applyAlignment="1">
      <alignment horizontal="center" vertical="center" wrapText="1"/>
    </xf>
    <xf numFmtId="0" fontId="56" fillId="0" borderId="491" xfId="0" applyFont="1" applyBorder="1" applyAlignment="1" applyProtection="1">
      <alignment horizontal="left"/>
      <protection locked="0"/>
    </xf>
    <xf numFmtId="42" fontId="45" fillId="0" borderId="0" xfId="3" applyFont="1"/>
    <xf numFmtId="1" fontId="40" fillId="25" borderId="517" xfId="0" applyNumberFormat="1" applyFont="1" applyFill="1" applyBorder="1" applyAlignment="1">
      <alignment horizontal="center" vertical="center" wrapText="1"/>
    </xf>
    <xf numFmtId="0" fontId="56" fillId="0" borderId="491" xfId="0" applyFont="1" applyBorder="1"/>
    <xf numFmtId="168" fontId="48" fillId="90" borderId="491" xfId="7" applyNumberFormat="1" applyFont="1" applyFill="1" applyBorder="1" applyAlignment="1" applyProtection="1">
      <alignment vertical="center"/>
      <protection locked="0"/>
    </xf>
    <xf numFmtId="0" fontId="52" fillId="25" borderId="491" xfId="0" applyFont="1" applyFill="1" applyBorder="1" applyAlignment="1">
      <alignment horizontal="left" vertical="center" wrapText="1"/>
    </xf>
    <xf numFmtId="175" fontId="51" fillId="2" borderId="497" xfId="0" applyNumberFormat="1" applyFont="1" applyFill="1" applyBorder="1" applyAlignment="1">
      <alignment horizontal="left" vertical="center"/>
    </xf>
    <xf numFmtId="175" fontId="51" fillId="25" borderId="518" xfId="0" applyNumberFormat="1" applyFont="1" applyFill="1" applyBorder="1" applyAlignment="1">
      <alignment horizontal="left" vertical="center"/>
    </xf>
    <xf numFmtId="168" fontId="46" fillId="25" borderId="491" xfId="7" applyNumberFormat="1" applyFont="1" applyFill="1" applyBorder="1" applyAlignment="1" applyProtection="1">
      <alignment vertical="center"/>
      <protection locked="0"/>
    </xf>
    <xf numFmtId="0" fontId="45" fillId="25" borderId="491" xfId="0" applyFont="1" applyFill="1" applyBorder="1"/>
    <xf numFmtId="0" fontId="53" fillId="25" borderId="491" xfId="0" applyFont="1" applyFill="1" applyBorder="1"/>
    <xf numFmtId="3" fontId="53" fillId="25" borderId="491" xfId="0" applyNumberFormat="1" applyFont="1" applyFill="1" applyBorder="1"/>
    <xf numFmtId="0" fontId="53" fillId="2" borderId="519" xfId="0" applyFont="1" applyFill="1" applyBorder="1"/>
    <xf numFmtId="0" fontId="53" fillId="2" borderId="491" xfId="0" applyFont="1" applyFill="1" applyBorder="1"/>
    <xf numFmtId="0" fontId="45" fillId="25" borderId="491" xfId="0" applyFont="1" applyFill="1" applyBorder="1" applyAlignment="1" applyProtection="1">
      <alignment horizontal="left" vertical="center"/>
      <protection locked="0"/>
    </xf>
    <xf numFmtId="0" fontId="45" fillId="2" borderId="491" xfId="0" applyFont="1" applyFill="1" applyBorder="1" applyAlignment="1" applyProtection="1">
      <alignment vertical="center"/>
      <protection locked="0"/>
    </xf>
    <xf numFmtId="0" fontId="45" fillId="0" borderId="0" xfId="0" applyFont="1" applyProtection="1">
      <protection locked="0"/>
    </xf>
    <xf numFmtId="168" fontId="57" fillId="88" borderId="491" xfId="7" applyNumberFormat="1" applyFont="1" applyFill="1" applyBorder="1" applyAlignment="1" applyProtection="1">
      <alignment vertical="center"/>
      <protection locked="0"/>
    </xf>
    <xf numFmtId="168" fontId="57" fillId="89" borderId="491" xfId="7" applyNumberFormat="1" applyFont="1" applyFill="1" applyBorder="1" applyAlignment="1" applyProtection="1">
      <alignment vertical="center"/>
      <protection locked="0"/>
    </xf>
    <xf numFmtId="168" fontId="57" fillId="90" borderId="491" xfId="0" applyNumberFormat="1" applyFont="1" applyFill="1" applyBorder="1"/>
    <xf numFmtId="168" fontId="57" fillId="90" borderId="491" xfId="7" applyNumberFormat="1" applyFont="1" applyFill="1" applyBorder="1" applyAlignment="1" applyProtection="1">
      <alignment vertical="center"/>
      <protection locked="0"/>
    </xf>
    <xf numFmtId="42" fontId="30" fillId="0" borderId="0" xfId="3" applyFont="1"/>
    <xf numFmtId="42" fontId="35" fillId="0" borderId="0" xfId="0" applyNumberFormat="1" applyFont="1"/>
    <xf numFmtId="0" fontId="15" fillId="0" borderId="466" xfId="19" quotePrefix="1" applyFont="1" applyBorder="1" applyAlignment="1" applyProtection="1">
      <alignment horizontal="right" vertical="center"/>
      <protection locked="0"/>
    </xf>
    <xf numFmtId="42" fontId="31" fillId="0" borderId="0" xfId="0" applyNumberFormat="1" applyFont="1"/>
    <xf numFmtId="0" fontId="15" fillId="0" borderId="466" xfId="19" applyFont="1" applyBorder="1" applyAlignment="1" applyProtection="1">
      <alignment vertical="center"/>
      <protection locked="0"/>
    </xf>
    <xf numFmtId="0" fontId="56" fillId="0" borderId="466" xfId="0" applyFont="1" applyBorder="1"/>
    <xf numFmtId="0" fontId="78" fillId="0" borderId="466" xfId="0" applyFont="1" applyBorder="1" applyAlignment="1" applyProtection="1">
      <alignment horizontal="left" vertical="center"/>
      <protection locked="0"/>
    </xf>
    <xf numFmtId="168" fontId="40" fillId="0" borderId="501" xfId="7" applyNumberFormat="1" applyFont="1" applyBorder="1" applyAlignment="1" applyProtection="1">
      <alignment vertical="center"/>
      <protection locked="0"/>
    </xf>
    <xf numFmtId="1" fontId="40" fillId="25" borderId="466" xfId="0" applyNumberFormat="1" applyFont="1" applyFill="1" applyBorder="1" applyAlignment="1">
      <alignment horizontal="center" vertical="center" wrapText="1"/>
    </xf>
    <xf numFmtId="175" fontId="49" fillId="25" borderId="466" xfId="0" applyNumberFormat="1" applyFont="1" applyFill="1" applyBorder="1" applyAlignment="1">
      <alignment horizontal="left"/>
    </xf>
    <xf numFmtId="168" fontId="40" fillId="25" borderId="466" xfId="7" applyNumberFormat="1" applyFont="1" applyFill="1" applyBorder="1" applyAlignment="1" applyProtection="1">
      <alignment vertical="center"/>
      <protection locked="0"/>
    </xf>
    <xf numFmtId="1" fontId="40" fillId="0" borderId="466" xfId="0" applyNumberFormat="1" applyFont="1" applyBorder="1" applyAlignment="1">
      <alignment horizontal="center" vertical="center" wrapText="1"/>
    </xf>
    <xf numFmtId="168" fontId="40" fillId="0" borderId="466" xfId="7" applyNumberFormat="1" applyFont="1" applyBorder="1" applyAlignment="1" applyProtection="1">
      <alignment vertical="center"/>
      <protection locked="0"/>
    </xf>
    <xf numFmtId="168" fontId="56" fillId="0" borderId="466" xfId="0" applyNumberFormat="1" applyFont="1" applyBorder="1"/>
    <xf numFmtId="0" fontId="57" fillId="2" borderId="0" xfId="0" applyFont="1" applyFill="1"/>
    <xf numFmtId="172" fontId="0" fillId="25" borderId="0" xfId="0" applyNumberFormat="1" applyFill="1" applyAlignment="1" applyProtection="1">
      <alignment horizontal="center"/>
      <protection locked="0"/>
    </xf>
    <xf numFmtId="42" fontId="0" fillId="2" borderId="0" xfId="3" applyFont="1" applyFill="1" applyAlignment="1">
      <alignment horizontal="center" vertical="center"/>
    </xf>
    <xf numFmtId="181" fontId="7" fillId="93" borderId="0" xfId="7" applyNumberFormat="1" applyFill="1" applyAlignment="1">
      <alignment horizontal="center" vertical="center"/>
    </xf>
    <xf numFmtId="181" fontId="0" fillId="25" borderId="236" xfId="0" applyNumberFormat="1" applyFill="1" applyBorder="1" applyAlignment="1" applyProtection="1">
      <alignment vertical="center"/>
      <protection locked="0"/>
    </xf>
    <xf numFmtId="171" fontId="1" fillId="2" borderId="466" xfId="23" applyNumberFormat="1" applyFont="1" applyFill="1" applyBorder="1" applyAlignment="1" applyProtection="1">
      <alignment vertical="center"/>
      <protection locked="0"/>
    </xf>
    <xf numFmtId="171" fontId="0" fillId="2" borderId="466" xfId="7" applyNumberFormat="1" applyFont="1" applyFill="1" applyBorder="1" applyAlignment="1" applyProtection="1">
      <alignment vertical="center"/>
      <protection locked="0"/>
    </xf>
    <xf numFmtId="171" fontId="0" fillId="2" borderId="520" xfId="7" applyNumberFormat="1" applyFont="1" applyFill="1" applyBorder="1" applyAlignment="1" applyProtection="1">
      <alignment vertical="center"/>
      <protection locked="0"/>
    </xf>
    <xf numFmtId="9" fontId="1" fillId="0" borderId="521" xfId="4" applyBorder="1" applyAlignment="1" applyProtection="1">
      <alignment horizontal="center"/>
    </xf>
    <xf numFmtId="171" fontId="0" fillId="2" borderId="469" xfId="2" applyNumberFormat="1" applyFont="1" applyFill="1" applyBorder="1" applyAlignment="1" applyProtection="1">
      <alignment vertical="center"/>
      <protection locked="0"/>
    </xf>
    <xf numFmtId="171" fontId="0" fillId="2" borderId="472" xfId="7" applyNumberFormat="1" applyFont="1" applyFill="1" applyBorder="1" applyAlignment="1" applyProtection="1">
      <alignment vertical="center"/>
      <protection locked="0"/>
    </xf>
    <xf numFmtId="171" fontId="0" fillId="2" borderId="524" xfId="7" applyNumberFormat="1" applyFont="1" applyFill="1" applyBorder="1" applyAlignment="1" applyProtection="1">
      <alignment vertical="center"/>
      <protection locked="0"/>
    </xf>
    <xf numFmtId="171" fontId="0" fillId="2" borderId="523" xfId="2" applyNumberFormat="1" applyFont="1" applyFill="1" applyBorder="1" applyAlignment="1" applyProtection="1">
      <alignment vertical="center"/>
      <protection locked="0"/>
    </xf>
    <xf numFmtId="171" fontId="20" fillId="2" borderId="523" xfId="2" applyNumberFormat="1" applyFont="1" applyFill="1" applyBorder="1" applyAlignment="1" applyProtection="1">
      <alignment vertical="center"/>
      <protection locked="0"/>
    </xf>
    <xf numFmtId="187" fontId="0" fillId="2" borderId="523" xfId="7" applyNumberFormat="1" applyFont="1" applyFill="1" applyBorder="1" applyAlignment="1" applyProtection="1">
      <alignment vertical="center"/>
      <protection locked="0"/>
    </xf>
    <xf numFmtId="171" fontId="0" fillId="2" borderId="523" xfId="7" applyNumberFormat="1" applyFont="1" applyFill="1" applyBorder="1" applyAlignment="1" applyProtection="1">
      <alignment vertical="center"/>
      <protection locked="0"/>
    </xf>
    <xf numFmtId="171" fontId="0" fillId="2" borderId="525" xfId="2" applyNumberFormat="1" applyFont="1" applyFill="1" applyBorder="1" applyAlignment="1" applyProtection="1">
      <alignment vertical="center"/>
      <protection locked="0"/>
    </xf>
    <xf numFmtId="187" fontId="0" fillId="2" borderId="525" xfId="7" applyNumberFormat="1" applyFont="1" applyFill="1" applyBorder="1" applyAlignment="1" applyProtection="1">
      <alignment vertical="center"/>
      <protection locked="0"/>
    </xf>
    <xf numFmtId="171" fontId="0" fillId="2" borderId="525" xfId="7" applyNumberFormat="1" applyFont="1" applyFill="1" applyBorder="1" applyAlignment="1" applyProtection="1">
      <alignment vertical="center"/>
      <protection locked="0"/>
    </xf>
    <xf numFmtId="171" fontId="0" fillId="2" borderId="526" xfId="7" applyNumberFormat="1" applyFont="1" applyFill="1" applyBorder="1" applyAlignment="1" applyProtection="1">
      <alignment vertical="center"/>
      <protection locked="0"/>
    </xf>
    <xf numFmtId="0" fontId="31" fillId="2" borderId="527" xfId="0" applyFont="1" applyFill="1" applyBorder="1" applyAlignment="1" applyProtection="1">
      <alignment horizontal="left" vertical="center"/>
      <protection locked="0"/>
    </xf>
    <xf numFmtId="0" fontId="0" fillId="2" borderId="482" xfId="0" applyFill="1" applyBorder="1" applyAlignment="1" applyProtection="1">
      <alignment horizontal="left" vertical="center"/>
      <protection locked="0"/>
    </xf>
    <xf numFmtId="0" fontId="31" fillId="2" borderId="218" xfId="0" applyFont="1" applyFill="1" applyBorder="1" applyAlignment="1" applyProtection="1">
      <alignment horizontal="left" vertical="center"/>
      <protection locked="0"/>
    </xf>
    <xf numFmtId="171" fontId="0" fillId="2" borderId="528" xfId="7" applyNumberFormat="1" applyFont="1" applyFill="1" applyBorder="1" applyAlignment="1" applyProtection="1">
      <alignment vertical="center"/>
      <protection locked="0"/>
    </xf>
    <xf numFmtId="171" fontId="0" fillId="2" borderId="217" xfId="7" applyNumberFormat="1" applyFont="1" applyFill="1" applyBorder="1" applyAlignment="1" applyProtection="1">
      <alignment vertical="center"/>
      <protection locked="0"/>
    </xf>
    <xf numFmtId="171" fontId="0" fillId="35" borderId="529" xfId="7" applyNumberFormat="1" applyFont="1" applyFill="1" applyBorder="1" applyAlignment="1">
      <alignment vertical="center"/>
    </xf>
    <xf numFmtId="179" fontId="0" fillId="35" borderId="528" xfId="0" applyNumberFormat="1" applyFill="1" applyBorder="1" applyAlignment="1">
      <alignment horizontal="right" vertical="center"/>
    </xf>
    <xf numFmtId="0" fontId="31" fillId="2" borderId="530" xfId="0" applyFont="1" applyFill="1" applyBorder="1" applyAlignment="1" applyProtection="1">
      <alignment horizontal="left" vertical="center"/>
      <protection locked="0"/>
    </xf>
    <xf numFmtId="0" fontId="0" fillId="2" borderId="519" xfId="0" applyFill="1" applyBorder="1" applyAlignment="1" applyProtection="1">
      <alignment horizontal="left" vertical="center"/>
      <protection locked="0"/>
    </xf>
    <xf numFmtId="0" fontId="31" fillId="2" borderId="531" xfId="0" applyFont="1" applyFill="1" applyBorder="1" applyAlignment="1" applyProtection="1">
      <alignment horizontal="left" vertical="center"/>
      <protection locked="0"/>
    </xf>
    <xf numFmtId="171" fontId="0" fillId="2" borderId="532" xfId="7" applyNumberFormat="1" applyFont="1" applyFill="1" applyBorder="1" applyAlignment="1" applyProtection="1">
      <alignment vertical="center"/>
      <protection locked="0"/>
    </xf>
    <xf numFmtId="171" fontId="0" fillId="2" borderId="519" xfId="7" applyNumberFormat="1" applyFont="1" applyFill="1" applyBorder="1" applyAlignment="1" applyProtection="1">
      <alignment vertical="center"/>
      <protection locked="0"/>
    </xf>
    <xf numFmtId="171" fontId="0" fillId="35" borderId="533" xfId="7" applyNumberFormat="1" applyFont="1" applyFill="1" applyBorder="1" applyAlignment="1">
      <alignment vertical="center"/>
    </xf>
    <xf numFmtId="179" fontId="0" fillId="35" borderId="276" xfId="0" applyNumberFormat="1" applyFill="1" applyBorder="1" applyAlignment="1">
      <alignment horizontal="right" vertical="center"/>
    </xf>
    <xf numFmtId="0" fontId="0" fillId="2" borderId="466" xfId="0" applyFill="1" applyBorder="1" applyAlignment="1" applyProtection="1">
      <alignment horizontal="left" vertical="center"/>
      <protection locked="0"/>
    </xf>
    <xf numFmtId="0" fontId="31" fillId="2" borderId="466" xfId="0" applyFont="1" applyFill="1" applyBorder="1" applyAlignment="1" applyProtection="1">
      <alignment horizontal="left" vertical="center"/>
      <protection locked="0"/>
    </xf>
    <xf numFmtId="179" fontId="0" fillId="35" borderId="336" xfId="0" applyNumberFormat="1" applyFill="1" applyBorder="1" applyAlignment="1">
      <alignment horizontal="right" vertical="center"/>
    </xf>
    <xf numFmtId="0" fontId="40" fillId="2" borderId="467" xfId="8" applyFont="1" applyFill="1" applyBorder="1" applyAlignment="1" applyProtection="1">
      <alignment vertical="center" wrapText="1"/>
      <protection locked="0"/>
    </xf>
    <xf numFmtId="179" fontId="0" fillId="35" borderId="521" xfId="0" applyNumberFormat="1" applyFill="1" applyBorder="1" applyAlignment="1">
      <alignment horizontal="right" vertical="center"/>
    </xf>
    <xf numFmtId="0" fontId="40" fillId="2" borderId="467" xfId="8" applyFont="1" applyFill="1" applyBorder="1" applyAlignment="1" applyProtection="1">
      <alignment horizontal="left" vertical="center" wrapText="1"/>
      <protection locked="0"/>
    </xf>
    <xf numFmtId="0" fontId="31" fillId="2" borderId="534" xfId="0" applyFont="1" applyFill="1" applyBorder="1" applyAlignment="1" applyProtection="1">
      <alignment horizontal="left" vertical="center"/>
      <protection locked="0"/>
    </xf>
    <xf numFmtId="0" fontId="0" fillId="2" borderId="522" xfId="0" applyFill="1" applyBorder="1" applyAlignment="1" applyProtection="1">
      <alignment horizontal="left" vertical="center"/>
      <protection locked="0"/>
    </xf>
    <xf numFmtId="179" fontId="0" fillId="35" borderId="535" xfId="0" applyNumberFormat="1" applyFill="1" applyBorder="1" applyAlignment="1">
      <alignment horizontal="right" vertical="center"/>
    </xf>
    <xf numFmtId="0" fontId="31" fillId="2" borderId="349" xfId="0" applyFont="1" applyFill="1" applyBorder="1" applyAlignment="1" applyProtection="1">
      <alignment horizontal="center" vertical="center"/>
      <protection locked="0"/>
    </xf>
    <xf numFmtId="0" fontId="31" fillId="2" borderId="520" xfId="0" applyFont="1" applyFill="1" applyBorder="1" applyAlignment="1" applyProtection="1">
      <alignment horizontal="center" vertical="center"/>
      <protection locked="0"/>
    </xf>
    <xf numFmtId="0" fontId="31" fillId="2" borderId="536" xfId="0" applyFont="1" applyFill="1" applyBorder="1" applyAlignment="1" applyProtection="1">
      <alignment horizontal="left" vertical="center"/>
      <protection locked="0"/>
    </xf>
    <xf numFmtId="171" fontId="0" fillId="35" borderId="351" xfId="7" applyNumberFormat="1" applyFont="1" applyFill="1" applyBorder="1" applyAlignment="1">
      <alignment vertical="center"/>
    </xf>
    <xf numFmtId="171" fontId="0" fillId="35" borderId="525" xfId="7" applyNumberFormat="1" applyFont="1" applyFill="1" applyBorder="1" applyAlignment="1">
      <alignment vertical="center"/>
    </xf>
    <xf numFmtId="171" fontId="0" fillId="35" borderId="526" xfId="7" applyNumberFormat="1" applyFont="1" applyFill="1" applyBorder="1" applyAlignment="1">
      <alignment vertical="center"/>
    </xf>
    <xf numFmtId="171" fontId="31" fillId="2" borderId="523" xfId="7" applyNumberFormat="1" applyFont="1" applyFill="1" applyBorder="1" applyAlignment="1" applyProtection="1">
      <alignment vertical="center"/>
      <protection locked="0"/>
    </xf>
    <xf numFmtId="171" fontId="0" fillId="35" borderId="56" xfId="7" applyNumberFormat="1" applyFont="1" applyFill="1" applyBorder="1" applyAlignment="1">
      <alignment vertical="center"/>
    </xf>
    <xf numFmtId="171" fontId="0" fillId="35" borderId="537" xfId="7" applyNumberFormat="1" applyFont="1" applyFill="1" applyBorder="1" applyAlignment="1">
      <alignment vertical="center"/>
    </xf>
    <xf numFmtId="0" fontId="40" fillId="2" borderId="467" xfId="0" applyFont="1" applyFill="1" applyBorder="1" applyAlignment="1" applyProtection="1">
      <alignment horizontal="left" vertical="center"/>
      <protection locked="0"/>
    </xf>
    <xf numFmtId="0" fontId="40" fillId="2" borderId="467" xfId="0" applyFont="1" applyFill="1" applyBorder="1" applyProtection="1">
      <protection locked="0"/>
    </xf>
    <xf numFmtId="0" fontId="31" fillId="2" borderId="467" xfId="0" applyFont="1" applyFill="1" applyBorder="1" applyAlignment="1" applyProtection="1">
      <alignment horizontal="left" vertical="center"/>
      <protection locked="0"/>
    </xf>
    <xf numFmtId="0" fontId="31" fillId="2" borderId="484" xfId="0" applyFont="1" applyFill="1" applyBorder="1" applyAlignment="1" applyProtection="1">
      <alignment horizontal="center" vertical="center"/>
      <protection locked="0"/>
    </xf>
    <xf numFmtId="0" fontId="31" fillId="2" borderId="484" xfId="0" applyFont="1" applyFill="1" applyBorder="1" applyAlignment="1" applyProtection="1">
      <alignment horizontal="left" vertical="center"/>
      <protection locked="0"/>
    </xf>
    <xf numFmtId="171" fontId="0" fillId="2" borderId="538" xfId="7" applyNumberFormat="1" applyFont="1" applyFill="1" applyBorder="1" applyAlignment="1" applyProtection="1">
      <alignment vertical="center"/>
      <protection locked="0"/>
    </xf>
    <xf numFmtId="0" fontId="0" fillId="2" borderId="338" xfId="0" applyFill="1" applyBorder="1" applyProtection="1">
      <protection locked="0"/>
    </xf>
    <xf numFmtId="0" fontId="0" fillId="2" borderId="349" xfId="0" applyFill="1" applyBorder="1" applyProtection="1">
      <protection locked="0"/>
    </xf>
    <xf numFmtId="0" fontId="0" fillId="2" borderId="471" xfId="0" applyFill="1" applyBorder="1" applyProtection="1">
      <protection locked="0"/>
    </xf>
    <xf numFmtId="0" fontId="0" fillId="2" borderId="484" xfId="0" applyFill="1" applyBorder="1" applyProtection="1">
      <protection locked="0"/>
    </xf>
    <xf numFmtId="0" fontId="30" fillId="2" borderId="467" xfId="0" applyFont="1" applyFill="1" applyBorder="1" applyAlignment="1" applyProtection="1">
      <alignment horizontal="left" vertical="center"/>
      <protection locked="0"/>
    </xf>
    <xf numFmtId="0" fontId="30" fillId="2" borderId="508" xfId="0" applyFont="1" applyFill="1" applyBorder="1" applyAlignment="1" applyProtection="1">
      <alignment horizontal="left" vertical="center"/>
      <protection locked="0"/>
    </xf>
    <xf numFmtId="0" fontId="30" fillId="2" borderId="484" xfId="0" applyFont="1" applyFill="1" applyBorder="1" applyProtection="1">
      <protection locked="0"/>
    </xf>
    <xf numFmtId="0" fontId="30" fillId="2" borderId="466" xfId="0" applyFont="1" applyFill="1" applyBorder="1" applyAlignment="1" applyProtection="1">
      <alignment horizontal="left" vertical="center"/>
      <protection locked="0"/>
    </xf>
    <xf numFmtId="171" fontId="0" fillId="2" borderId="347" xfId="2" applyNumberFormat="1" applyFont="1" applyFill="1" applyBorder="1" applyAlignment="1" applyProtection="1">
      <alignment vertical="center"/>
      <protection locked="0"/>
    </xf>
    <xf numFmtId="42" fontId="0" fillId="2" borderId="410" xfId="3" applyFont="1" applyFill="1" applyBorder="1" applyProtection="1">
      <protection locked="0"/>
    </xf>
    <xf numFmtId="42" fontId="0" fillId="2" borderId="410" xfId="3" applyFont="1" applyFill="1" applyBorder="1" applyAlignment="1" applyProtection="1">
      <alignment vertical="center"/>
      <protection locked="0"/>
    </xf>
    <xf numFmtId="0" fontId="3" fillId="0" borderId="0" xfId="5" applyBorder="1" applyAlignment="1" applyProtection="1">
      <alignment horizontal="left" vertical="center"/>
    </xf>
    <xf numFmtId="0" fontId="3" fillId="0" borderId="0" xfId="5" applyBorder="1" applyAlignment="1" applyProtection="1">
      <alignment horizontal="left" vertical="center" wrapText="1"/>
    </xf>
    <xf numFmtId="0" fontId="3" fillId="0" borderId="0" xfId="5" applyBorder="1" applyAlignment="1" applyProtection="1">
      <alignment horizontal="center" vertical="center"/>
    </xf>
    <xf numFmtId="168" fontId="0" fillId="0" borderId="445" xfId="2" applyNumberFormat="1" applyFont="1" applyFill="1" applyBorder="1" applyAlignment="1" applyProtection="1">
      <alignment horizontal="right" vertical="center"/>
    </xf>
    <xf numFmtId="168" fontId="0" fillId="0" borderId="457" xfId="2" applyNumberFormat="1" applyFont="1" applyFill="1" applyBorder="1" applyAlignment="1" applyProtection="1">
      <alignment horizontal="right" vertical="center"/>
    </xf>
    <xf numFmtId="168" fontId="0" fillId="0" borderId="444" xfId="2" applyNumberFormat="1" applyFont="1" applyFill="1" applyBorder="1" applyAlignment="1" applyProtection="1">
      <alignment horizontal="right" vertical="center"/>
    </xf>
    <xf numFmtId="168" fontId="0" fillId="0" borderId="429" xfId="2" applyNumberFormat="1" applyFont="1" applyFill="1" applyBorder="1" applyAlignment="1" applyProtection="1">
      <alignment horizontal="right" vertical="center"/>
    </xf>
    <xf numFmtId="168" fontId="5" fillId="1" borderId="466" xfId="0" applyNumberFormat="1" applyFont="1" applyFill="1" applyBorder="1" applyAlignment="1">
      <alignment horizontal="center" vertical="center"/>
    </xf>
    <xf numFmtId="0" fontId="0" fillId="0" borderId="352" xfId="0" applyBorder="1" applyAlignment="1">
      <alignment horizontal="right" vertical="center" wrapText="1"/>
    </xf>
    <xf numFmtId="0" fontId="0" fillId="0" borderId="196" xfId="0" applyBorder="1" applyAlignment="1">
      <alignment horizontal="right" vertical="center" wrapText="1"/>
    </xf>
    <xf numFmtId="0" fontId="0" fillId="0" borderId="442" xfId="0" applyBorder="1" applyAlignment="1">
      <alignment horizontal="right" vertical="center" wrapText="1"/>
    </xf>
    <xf numFmtId="0" fontId="0" fillId="68" borderId="281" xfId="0" applyFill="1" applyBorder="1" applyAlignment="1">
      <alignment horizontal="left" vertical="center" wrapText="1"/>
    </xf>
    <xf numFmtId="0" fontId="0" fillId="68" borderId="0" xfId="0" applyFill="1" applyAlignment="1">
      <alignment horizontal="left" vertical="center" wrapText="1"/>
    </xf>
    <xf numFmtId="0" fontId="0" fillId="68" borderId="277" xfId="0" applyFill="1" applyBorder="1" applyAlignment="1">
      <alignment horizontal="left" vertical="center" wrapText="1"/>
    </xf>
    <xf numFmtId="168" fontId="0" fillId="69" borderId="25" xfId="2" applyNumberFormat="1" applyFont="1" applyFill="1" applyBorder="1" applyAlignment="1" applyProtection="1">
      <alignment horizontal="right" vertical="center"/>
    </xf>
    <xf numFmtId="168" fontId="0" fillId="69" borderId="20" xfId="2" applyNumberFormat="1" applyFont="1" applyFill="1" applyBorder="1" applyAlignment="1" applyProtection="1">
      <alignment horizontal="right" vertical="center"/>
    </xf>
    <xf numFmtId="168" fontId="0" fillId="70" borderId="26" xfId="2" applyNumberFormat="1" applyFont="1" applyFill="1" applyBorder="1" applyAlignment="1" applyProtection="1">
      <alignment horizontal="right" vertical="center"/>
    </xf>
    <xf numFmtId="168" fontId="0" fillId="70" borderId="24" xfId="2" applyNumberFormat="1" applyFont="1" applyFill="1" applyBorder="1" applyAlignment="1" applyProtection="1">
      <alignment horizontal="right" vertical="center"/>
    </xf>
    <xf numFmtId="0" fontId="0" fillId="0" borderId="343" xfId="0" applyBorder="1" applyAlignment="1">
      <alignment horizontal="left" vertical="center" wrapText="1"/>
    </xf>
    <xf numFmtId="0" fontId="0" fillId="0" borderId="1" xfId="0" applyBorder="1" applyAlignment="1">
      <alignment horizontal="left" vertical="center" wrapText="1"/>
    </xf>
    <xf numFmtId="0" fontId="0" fillId="0" borderId="277" xfId="0" applyBorder="1" applyAlignment="1">
      <alignment horizontal="left" vertical="center" wrapText="1"/>
    </xf>
    <xf numFmtId="168" fontId="5" fillId="1" borderId="470" xfId="0" applyNumberFormat="1" applyFont="1" applyFill="1" applyBorder="1" applyAlignment="1">
      <alignment horizontal="center" vertical="center"/>
    </xf>
    <xf numFmtId="168" fontId="5" fillId="1" borderId="25" xfId="0" applyNumberFormat="1" applyFont="1" applyFill="1" applyBorder="1" applyAlignment="1">
      <alignment horizontal="center" vertical="center"/>
    </xf>
    <xf numFmtId="168" fontId="0" fillId="15" borderId="403" xfId="2" applyNumberFormat="1" applyFont="1" applyFill="1" applyBorder="1" applyAlignment="1" applyProtection="1">
      <alignment horizontal="right" vertical="center"/>
    </xf>
    <xf numFmtId="168" fontId="0" fillId="15" borderId="20" xfId="2" applyNumberFormat="1" applyFont="1" applyFill="1" applyBorder="1" applyAlignment="1" applyProtection="1">
      <alignment horizontal="right" vertical="center"/>
    </xf>
    <xf numFmtId="168" fontId="0" fillId="12" borderId="24" xfId="2" applyNumberFormat="1" applyFont="1" applyFill="1" applyBorder="1" applyAlignment="1" applyProtection="1">
      <alignment horizontal="right" vertical="center"/>
    </xf>
    <xf numFmtId="168" fontId="13" fillId="42" borderId="441" xfId="0" applyNumberFormat="1" applyFont="1" applyFill="1" applyBorder="1" applyAlignment="1">
      <alignment horizontal="center" vertical="center"/>
    </xf>
    <xf numFmtId="168" fontId="13" fillId="42" borderId="450" xfId="0" applyNumberFormat="1" applyFont="1" applyFill="1" applyBorder="1" applyAlignment="1">
      <alignment horizontal="center" vertical="center"/>
    </xf>
    <xf numFmtId="0" fontId="0" fillId="0" borderId="33" xfId="0" applyBorder="1" applyAlignment="1">
      <alignment horizontal="left" vertical="center" wrapText="1"/>
    </xf>
    <xf numFmtId="0" fontId="0" fillId="0" borderId="23" xfId="0" applyBorder="1" applyAlignment="1">
      <alignment horizontal="left" vertical="center" wrapText="1"/>
    </xf>
    <xf numFmtId="168" fontId="5" fillId="1" borderId="32" xfId="0" applyNumberFormat="1" applyFont="1" applyFill="1" applyBorder="1" applyAlignment="1">
      <alignment horizontal="center" vertical="center"/>
    </xf>
    <xf numFmtId="168" fontId="13" fillId="19" borderId="28" xfId="0" applyNumberFormat="1" applyFont="1" applyFill="1" applyBorder="1" applyAlignment="1">
      <alignment horizontal="center" vertical="center"/>
    </xf>
    <xf numFmtId="168" fontId="13" fillId="19" borderId="12" xfId="0" applyNumberFormat="1" applyFont="1" applyFill="1" applyBorder="1" applyAlignment="1">
      <alignment horizontal="center" vertical="center"/>
    </xf>
    <xf numFmtId="168" fontId="5" fillId="69" borderId="282" xfId="0" applyNumberFormat="1" applyFont="1" applyFill="1" applyBorder="1" applyAlignment="1">
      <alignment horizontal="center" vertical="center"/>
    </xf>
    <xf numFmtId="168" fontId="5" fillId="69" borderId="283" xfId="0" applyNumberFormat="1" applyFont="1" applyFill="1" applyBorder="1" applyAlignment="1">
      <alignment horizontal="center" vertical="center"/>
    </xf>
    <xf numFmtId="0" fontId="0" fillId="63" borderId="0" xfId="0" applyFill="1" applyAlignment="1">
      <alignment horizontal="left" vertical="center" wrapText="1"/>
    </xf>
    <xf numFmtId="0" fontId="0" fillId="63" borderId="277" xfId="0" applyFill="1" applyBorder="1" applyAlignment="1">
      <alignment horizontal="left" vertical="center" wrapText="1"/>
    </xf>
    <xf numFmtId="0" fontId="0" fillId="62" borderId="284" xfId="0" applyFill="1" applyBorder="1" applyAlignment="1">
      <alignment horizontal="left" vertical="center" wrapText="1"/>
    </xf>
    <xf numFmtId="168" fontId="5" fillId="1" borderId="282" xfId="0" applyNumberFormat="1" applyFont="1" applyFill="1" applyBorder="1" applyAlignment="1">
      <alignment horizontal="center" vertical="center"/>
    </xf>
    <xf numFmtId="168" fontId="5" fillId="1" borderId="1" xfId="0" applyNumberFormat="1" applyFont="1" applyFill="1" applyBorder="1" applyAlignment="1">
      <alignment horizontal="center" vertical="center"/>
    </xf>
    <xf numFmtId="168" fontId="0" fillId="15" borderId="25" xfId="2" applyNumberFormat="1" applyFont="1" applyFill="1" applyBorder="1" applyAlignment="1" applyProtection="1">
      <alignment horizontal="right" vertical="center"/>
    </xf>
    <xf numFmtId="168" fontId="0" fillId="12" borderId="26" xfId="2" applyNumberFormat="1" applyFont="1" applyFill="1" applyBorder="1" applyAlignment="1" applyProtection="1">
      <alignment horizontal="right" vertical="center"/>
    </xf>
    <xf numFmtId="168" fontId="0" fillId="15" borderId="36" xfId="2" applyNumberFormat="1" applyFont="1" applyFill="1" applyBorder="1" applyAlignment="1" applyProtection="1">
      <alignment horizontal="right" vertical="center"/>
    </xf>
    <xf numFmtId="168" fontId="0" fillId="12" borderId="39" xfId="2" applyNumberFormat="1" applyFont="1" applyFill="1" applyBorder="1" applyAlignment="1" applyProtection="1">
      <alignment horizontal="right" vertical="center"/>
    </xf>
    <xf numFmtId="168" fontId="5" fillId="1" borderId="355" xfId="0" applyNumberFormat="1" applyFont="1" applyFill="1" applyBorder="1" applyAlignment="1">
      <alignment horizontal="center" vertical="center"/>
    </xf>
    <xf numFmtId="168" fontId="0" fillId="15" borderId="355" xfId="2" applyNumberFormat="1" applyFont="1" applyFill="1" applyBorder="1" applyAlignment="1" applyProtection="1">
      <alignment horizontal="right" vertical="center"/>
    </xf>
    <xf numFmtId="168" fontId="0" fillId="12" borderId="355" xfId="2" applyNumberFormat="1" applyFont="1" applyFill="1" applyBorder="1" applyAlignment="1" applyProtection="1">
      <alignment horizontal="right" vertical="center"/>
    </xf>
    <xf numFmtId="168" fontId="0" fillId="15" borderId="280" xfId="2" applyNumberFormat="1" applyFont="1" applyFill="1" applyBorder="1" applyAlignment="1" applyProtection="1">
      <alignment horizontal="right" vertical="center"/>
    </xf>
    <xf numFmtId="168" fontId="0" fillId="12" borderId="380" xfId="2" applyNumberFormat="1" applyFont="1" applyFill="1" applyBorder="1" applyAlignment="1" applyProtection="1">
      <alignment horizontal="right" vertical="center"/>
    </xf>
    <xf numFmtId="168" fontId="5" fillId="1" borderId="343" xfId="0" applyNumberFormat="1" applyFont="1" applyFill="1" applyBorder="1" applyAlignment="1">
      <alignment horizontal="center" vertical="center"/>
    </xf>
    <xf numFmtId="0" fontId="0" fillId="0" borderId="281" xfId="0" applyBorder="1" applyAlignment="1">
      <alignment horizontal="left" vertical="center" wrapText="1"/>
    </xf>
    <xf numFmtId="0" fontId="0" fillId="0" borderId="0" xfId="0" applyAlignment="1">
      <alignment horizontal="left" vertical="center" wrapText="1"/>
    </xf>
    <xf numFmtId="0" fontId="0" fillId="0" borderId="281" xfId="0" applyBorder="1" applyAlignment="1">
      <alignment horizontal="right" vertical="center" wrapText="1"/>
    </xf>
    <xf numFmtId="0" fontId="0" fillId="0" borderId="1" xfId="0" applyBorder="1" applyAlignment="1">
      <alignment horizontal="right" vertical="center" wrapText="1"/>
    </xf>
    <xf numFmtId="0" fontId="0" fillId="0" borderId="23" xfId="0" applyBorder="1" applyAlignment="1">
      <alignment horizontal="right" vertical="center" wrapText="1"/>
    </xf>
    <xf numFmtId="168" fontId="0" fillId="1" borderId="282" xfId="0" applyNumberFormat="1" applyFill="1" applyBorder="1" applyAlignment="1">
      <alignment horizontal="center" vertical="center"/>
    </xf>
    <xf numFmtId="168" fontId="0" fillId="1" borderId="25" xfId="0" applyNumberFormat="1" applyFill="1" applyBorder="1" applyAlignment="1">
      <alignment horizontal="center" vertical="center"/>
    </xf>
    <xf numFmtId="0" fontId="0" fillId="0" borderId="0" xfId="0" applyAlignment="1">
      <alignment horizontal="right" vertical="center" wrapText="1"/>
    </xf>
    <xf numFmtId="0" fontId="0" fillId="0" borderId="277" xfId="0" applyBorder="1" applyAlignment="1">
      <alignment horizontal="right" vertical="center" wrapText="1"/>
    </xf>
    <xf numFmtId="168" fontId="0" fillId="1" borderId="95" xfId="0" applyNumberFormat="1" applyFill="1" applyBorder="1" applyAlignment="1">
      <alignment horizontal="center" vertical="center"/>
    </xf>
    <xf numFmtId="0" fontId="5" fillId="0" borderId="1" xfId="0" applyFont="1" applyBorder="1" applyAlignment="1">
      <alignment horizontal="righ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0" xfId="5" applyFill="1" applyBorder="1" applyAlignment="1" applyProtection="1">
      <alignment horizontal="left" vertical="center" indent="2"/>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168" fontId="5" fillId="3" borderId="6" xfId="0" applyNumberFormat="1" applyFont="1" applyFill="1" applyBorder="1" applyAlignment="1">
      <alignment horizontal="center" vertical="center"/>
    </xf>
    <xf numFmtId="168" fontId="5" fillId="3" borderId="13" xfId="0" applyNumberFormat="1" applyFont="1" applyFill="1" applyBorder="1" applyAlignment="1">
      <alignment horizontal="center" vertical="center"/>
    </xf>
    <xf numFmtId="168" fontId="12" fillId="13" borderId="7" xfId="0" applyNumberFormat="1" applyFont="1" applyFill="1" applyBorder="1" applyAlignment="1">
      <alignment horizontal="center" vertical="center" wrapText="1"/>
    </xf>
    <xf numFmtId="168" fontId="9" fillId="13" borderId="8" xfId="0" applyNumberFormat="1" applyFont="1" applyFill="1" applyBorder="1" applyAlignment="1">
      <alignment horizontal="center" vertical="center" wrapText="1"/>
    </xf>
    <xf numFmtId="168" fontId="9" fillId="13" borderId="14" xfId="0" applyNumberFormat="1" applyFont="1" applyFill="1" applyBorder="1" applyAlignment="1">
      <alignment horizontal="center" vertical="center" wrapText="1"/>
    </xf>
    <xf numFmtId="168" fontId="9" fillId="13" borderId="9"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8" xfId="0" applyBorder="1" applyAlignment="1">
      <alignment horizontal="left" vertical="center" wrapText="1"/>
    </xf>
    <xf numFmtId="168" fontId="0" fillId="15" borderId="17" xfId="2" applyNumberFormat="1" applyFont="1" applyFill="1" applyBorder="1" applyAlignment="1" applyProtection="1">
      <alignment horizontal="right" vertical="center"/>
    </xf>
    <xf numFmtId="168" fontId="0" fillId="15" borderId="21" xfId="2" applyNumberFormat="1" applyFont="1" applyFill="1" applyBorder="1" applyAlignment="1" applyProtection="1">
      <alignment horizontal="right" vertical="center"/>
    </xf>
    <xf numFmtId="168" fontId="9" fillId="13" borderId="10" xfId="0" applyNumberFormat="1" applyFont="1" applyFill="1" applyBorder="1" applyAlignment="1">
      <alignment horizontal="center" vertical="center" wrapText="1"/>
    </xf>
    <xf numFmtId="168" fontId="9" fillId="13" borderId="15" xfId="0" applyNumberFormat="1" applyFont="1" applyFill="1" applyBorder="1" applyAlignment="1">
      <alignment horizontal="center" vertical="center" wrapText="1"/>
    </xf>
    <xf numFmtId="168" fontId="0" fillId="17" borderId="24" xfId="2" applyNumberFormat="1" applyFont="1" applyFill="1" applyBorder="1" applyAlignment="1" applyProtection="1">
      <alignment horizontal="right" vertical="center"/>
    </xf>
    <xf numFmtId="0" fontId="5" fillId="0" borderId="281" xfId="0" applyFont="1" applyBorder="1" applyAlignment="1">
      <alignment horizontal="center" vertical="center" wrapText="1"/>
    </xf>
    <xf numFmtId="0" fontId="5" fillId="0" borderId="0" xfId="0" applyFont="1" applyAlignment="1">
      <alignment horizontal="center" vertical="center" wrapText="1"/>
    </xf>
    <xf numFmtId="0" fontId="5" fillId="0" borderId="277" xfId="0" applyFont="1" applyBorder="1" applyAlignment="1">
      <alignment horizontal="center" vertical="center" wrapText="1"/>
    </xf>
    <xf numFmtId="168" fontId="0" fillId="1" borderId="252" xfId="0" applyNumberFormat="1" applyFill="1" applyBorder="1" applyAlignment="1">
      <alignment horizontal="center" vertical="center"/>
    </xf>
    <xf numFmtId="168" fontId="0" fillId="1" borderId="21" xfId="0" applyNumberFormat="1" applyFill="1" applyBorder="1" applyAlignment="1">
      <alignment horizontal="center" vertical="center"/>
    </xf>
    <xf numFmtId="0" fontId="0" fillId="0" borderId="371" xfId="0" applyBorder="1" applyAlignment="1">
      <alignment horizontal="left" vertical="center" wrapText="1"/>
    </xf>
    <xf numFmtId="0" fontId="0" fillId="0" borderId="261" xfId="0" applyBorder="1" applyAlignment="1">
      <alignment horizontal="left" vertical="center" wrapText="1"/>
    </xf>
    <xf numFmtId="0" fontId="0" fillId="0" borderId="372" xfId="0" applyBorder="1" applyAlignment="1">
      <alignment horizontal="left" vertical="center" wrapText="1"/>
    </xf>
    <xf numFmtId="168" fontId="0" fillId="12" borderId="18" xfId="2" applyNumberFormat="1" applyFont="1" applyFill="1" applyBorder="1" applyAlignment="1" applyProtection="1">
      <alignment horizontal="right" vertical="center"/>
    </xf>
    <xf numFmtId="168" fontId="0" fillId="12" borderId="22" xfId="2" applyNumberFormat="1" applyFont="1" applyFill="1" applyBorder="1" applyAlignment="1" applyProtection="1">
      <alignment horizontal="right" vertical="center"/>
    </xf>
    <xf numFmtId="168" fontId="5" fillId="1" borderId="252" xfId="0" applyNumberFormat="1" applyFont="1" applyFill="1" applyBorder="1" applyAlignment="1">
      <alignment horizontal="center" vertical="center"/>
    </xf>
    <xf numFmtId="168" fontId="5" fillId="1" borderId="95" xfId="0" applyNumberFormat="1" applyFont="1" applyFill="1" applyBorder="1" applyAlignment="1">
      <alignment horizontal="center" vertical="center"/>
    </xf>
    <xf numFmtId="168" fontId="5" fillId="15" borderId="21" xfId="2" applyNumberFormat="1" applyFont="1" applyFill="1" applyBorder="1" applyAlignment="1" applyProtection="1">
      <alignment horizontal="right" vertical="center"/>
    </xf>
    <xf numFmtId="168" fontId="5" fillId="15" borderId="25" xfId="2" applyNumberFormat="1" applyFont="1" applyFill="1" applyBorder="1" applyAlignment="1" applyProtection="1">
      <alignment horizontal="right" vertical="center"/>
    </xf>
    <xf numFmtId="168" fontId="5" fillId="17" borderId="22" xfId="2" applyNumberFormat="1" applyFont="1" applyFill="1" applyBorder="1" applyAlignment="1" applyProtection="1">
      <alignment horizontal="right" vertical="center"/>
    </xf>
    <xf numFmtId="168" fontId="5" fillId="17" borderId="26" xfId="2" applyNumberFormat="1" applyFont="1" applyFill="1" applyBorder="1" applyAlignment="1" applyProtection="1">
      <alignment horizontal="right" vertical="center"/>
    </xf>
    <xf numFmtId="168" fontId="5" fillId="1" borderId="21" xfId="0" applyNumberFormat="1" applyFont="1" applyFill="1" applyBorder="1" applyAlignment="1">
      <alignment horizontal="center" vertical="center"/>
    </xf>
    <xf numFmtId="0" fontId="0" fillId="0" borderId="373" xfId="0" applyBorder="1" applyAlignment="1">
      <alignment horizontal="left" vertical="center" wrapText="1"/>
    </xf>
    <xf numFmtId="0" fontId="5" fillId="0" borderId="281" xfId="0" applyFont="1" applyBorder="1" applyAlignment="1">
      <alignment horizontal="left" vertical="center" wrapText="1"/>
    </xf>
    <xf numFmtId="0" fontId="5" fillId="0" borderId="0" xfId="0" applyFont="1" applyAlignment="1">
      <alignment horizontal="left" vertical="center" wrapText="1"/>
    </xf>
    <xf numFmtId="0" fontId="5" fillId="0" borderId="277" xfId="0" applyFont="1" applyBorder="1" applyAlignment="1">
      <alignment horizontal="left" vertical="center" wrapText="1"/>
    </xf>
    <xf numFmtId="168" fontId="13" fillId="19" borderId="29" xfId="0" applyNumberFormat="1" applyFont="1" applyFill="1" applyBorder="1" applyAlignment="1">
      <alignment horizontal="center" vertical="center"/>
    </xf>
    <xf numFmtId="168" fontId="13" fillId="19" borderId="30" xfId="0" applyNumberFormat="1" applyFont="1" applyFill="1" applyBorder="1" applyAlignment="1">
      <alignment horizontal="center" vertical="center"/>
    </xf>
    <xf numFmtId="168" fontId="0" fillId="15" borderId="264" xfId="2" applyNumberFormat="1" applyFont="1" applyFill="1" applyBorder="1" applyAlignment="1" applyProtection="1">
      <alignment horizontal="right" vertical="center"/>
    </xf>
    <xf numFmtId="168" fontId="0" fillId="12" borderId="264" xfId="2" applyNumberFormat="1" applyFont="1" applyFill="1" applyBorder="1" applyAlignment="1" applyProtection="1">
      <alignment horizontal="right" vertical="center"/>
    </xf>
    <xf numFmtId="0" fontId="0" fillId="0" borderId="94" xfId="0" applyBorder="1" applyAlignment="1">
      <alignment horizontal="left" vertical="center" wrapText="1"/>
    </xf>
    <xf numFmtId="168" fontId="5" fillId="1" borderId="385" xfId="0" applyNumberFormat="1" applyFont="1" applyFill="1" applyBorder="1" applyAlignment="1">
      <alignment horizontal="center" vertical="center"/>
    </xf>
    <xf numFmtId="168" fontId="0" fillId="15" borderId="386" xfId="2" applyNumberFormat="1" applyFont="1" applyFill="1" applyBorder="1" applyAlignment="1" applyProtection="1">
      <alignment horizontal="right" vertical="center"/>
    </xf>
    <xf numFmtId="168" fontId="0" fillId="15" borderId="388" xfId="2" applyNumberFormat="1" applyFont="1" applyFill="1" applyBorder="1" applyAlignment="1" applyProtection="1">
      <alignment horizontal="right" vertical="center"/>
    </xf>
    <xf numFmtId="168" fontId="0" fillId="12" borderId="387" xfId="2" applyNumberFormat="1" applyFont="1" applyFill="1" applyBorder="1" applyAlignment="1" applyProtection="1">
      <alignment horizontal="right" vertical="center"/>
    </xf>
    <xf numFmtId="168" fontId="0" fillId="12" borderId="389" xfId="2" applyNumberFormat="1" applyFont="1" applyFill="1" applyBorder="1" applyAlignment="1" applyProtection="1">
      <alignment horizontal="right" vertical="center"/>
    </xf>
    <xf numFmtId="0" fontId="0" fillId="0" borderId="390" xfId="0" applyBorder="1" applyAlignment="1">
      <alignment horizontal="left" vertical="center" wrapText="1"/>
    </xf>
    <xf numFmtId="0" fontId="0" fillId="0" borderId="95" xfId="0" applyBorder="1" applyAlignment="1">
      <alignment horizontal="left" vertical="center" wrapText="1"/>
    </xf>
    <xf numFmtId="168" fontId="5" fillId="1" borderId="382" xfId="0" applyNumberFormat="1" applyFont="1" applyFill="1" applyBorder="1" applyAlignment="1">
      <alignment horizontal="center" vertical="center"/>
    </xf>
    <xf numFmtId="168" fontId="5" fillId="1" borderId="34" xfId="0" applyNumberFormat="1" applyFont="1" applyFill="1" applyBorder="1" applyAlignment="1">
      <alignment horizontal="center" vertical="center"/>
    </xf>
    <xf numFmtId="168" fontId="13" fillId="19" borderId="391" xfId="0" applyNumberFormat="1" applyFont="1" applyFill="1" applyBorder="1" applyAlignment="1">
      <alignment horizontal="center" vertical="center"/>
    </xf>
    <xf numFmtId="168" fontId="13" fillId="19" borderId="392" xfId="0" applyNumberFormat="1" applyFont="1" applyFill="1" applyBorder="1" applyAlignment="1">
      <alignment horizontal="center" vertical="center"/>
    </xf>
    <xf numFmtId="0" fontId="0" fillId="61" borderId="0" xfId="0" applyFill="1" applyAlignment="1">
      <alignment horizontal="left" vertical="center" wrapText="1"/>
    </xf>
    <xf numFmtId="0" fontId="0" fillId="61" borderId="277" xfId="0" applyFill="1" applyBorder="1" applyAlignment="1">
      <alignment horizontal="left" vertical="center" wrapText="1"/>
    </xf>
    <xf numFmtId="168" fontId="13" fillId="19" borderId="40" xfId="0" applyNumberFormat="1" applyFont="1" applyFill="1" applyBorder="1" applyAlignment="1">
      <alignment horizontal="center" vertical="center"/>
    </xf>
    <xf numFmtId="168" fontId="13" fillId="19" borderId="41" xfId="0" applyNumberFormat="1" applyFont="1" applyFill="1" applyBorder="1" applyAlignment="1">
      <alignment horizontal="center" vertical="center"/>
    </xf>
    <xf numFmtId="0" fontId="0" fillId="62" borderId="0" xfId="0" applyFill="1" applyAlignment="1">
      <alignment horizontal="left" vertical="center" wrapText="1"/>
    </xf>
    <xf numFmtId="0" fontId="0" fillId="0" borderId="221" xfId="0" applyBorder="1" applyAlignment="1">
      <alignment horizontal="center" vertical="center" wrapText="1"/>
    </xf>
    <xf numFmtId="0" fontId="0" fillId="0" borderId="196" xfId="0" applyBorder="1" applyAlignment="1">
      <alignment horizontal="center" vertical="center" wrapText="1"/>
    </xf>
    <xf numFmtId="0" fontId="0" fillId="0" borderId="223" xfId="0" applyBorder="1" applyAlignment="1">
      <alignment horizontal="center" vertical="center" wrapText="1"/>
    </xf>
    <xf numFmtId="0" fontId="0" fillId="0" borderId="241" xfId="0" applyBorder="1" applyAlignment="1">
      <alignment horizontal="center" vertical="center" wrapText="1"/>
    </xf>
    <xf numFmtId="0" fontId="0" fillId="0" borderId="261" xfId="0" applyBorder="1" applyAlignment="1">
      <alignment horizontal="center" vertical="center" wrapText="1"/>
    </xf>
    <xf numFmtId="0" fontId="0" fillId="0" borderId="224" xfId="0" applyBorder="1" applyAlignment="1">
      <alignment horizontal="center" vertical="center" wrapText="1"/>
    </xf>
    <xf numFmtId="168" fontId="13" fillId="19" borderId="0" xfId="0" applyNumberFormat="1" applyFont="1" applyFill="1" applyAlignment="1">
      <alignment horizontal="center" vertical="center"/>
    </xf>
    <xf numFmtId="168" fontId="13" fillId="19" borderId="343" xfId="0" applyNumberFormat="1" applyFont="1" applyFill="1" applyBorder="1" applyAlignment="1">
      <alignment horizontal="center" vertical="center"/>
    </xf>
    <xf numFmtId="0" fontId="8" fillId="0" borderId="193" xfId="0" applyFont="1" applyBorder="1" applyAlignment="1">
      <alignment horizontal="center" vertical="center" wrapText="1"/>
    </xf>
    <xf numFmtId="0" fontId="8" fillId="0" borderId="196" xfId="0" applyFont="1" applyBorder="1" applyAlignment="1">
      <alignment horizontal="center" vertical="center" wrapText="1"/>
    </xf>
    <xf numFmtId="0" fontId="8" fillId="0" borderId="201" xfId="0" applyFont="1" applyBorder="1" applyAlignment="1">
      <alignment horizontal="center" vertical="center" wrapText="1"/>
    </xf>
    <xf numFmtId="0" fontId="0" fillId="0" borderId="341" xfId="0" applyBorder="1" applyAlignment="1">
      <alignment horizontal="left" vertical="center" wrapText="1"/>
    </xf>
    <xf numFmtId="0" fontId="0" fillId="0" borderId="467" xfId="0" applyBorder="1" applyAlignment="1">
      <alignment horizontal="left" vertical="center" wrapText="1"/>
    </xf>
    <xf numFmtId="168" fontId="0" fillId="15" borderId="348" xfId="2" applyNumberFormat="1" applyFont="1" applyFill="1" applyBorder="1" applyAlignment="1" applyProtection="1">
      <alignment horizontal="right" vertical="center"/>
    </xf>
    <xf numFmtId="168" fontId="0" fillId="15" borderId="466" xfId="2" applyNumberFormat="1" applyFont="1" applyFill="1" applyBorder="1" applyAlignment="1" applyProtection="1">
      <alignment horizontal="right" vertical="center"/>
    </xf>
    <xf numFmtId="168" fontId="0" fillId="12" borderId="336" xfId="2" applyNumberFormat="1" applyFont="1" applyFill="1" applyBorder="1" applyAlignment="1" applyProtection="1">
      <alignment horizontal="right" vertical="center"/>
    </xf>
    <xf numFmtId="168" fontId="0" fillId="12" borderId="468" xfId="2" applyNumberFormat="1" applyFont="1" applyFill="1" applyBorder="1" applyAlignment="1" applyProtection="1">
      <alignment horizontal="right" vertical="center"/>
    </xf>
    <xf numFmtId="0" fontId="0" fillId="0" borderId="284" xfId="0" applyBorder="1" applyAlignment="1">
      <alignment horizontal="left" vertical="center" wrapText="1"/>
    </xf>
    <xf numFmtId="0" fontId="0" fillId="0" borderId="38" xfId="0" applyBorder="1" applyAlignment="1">
      <alignment horizontal="left" vertical="center" wrapText="1"/>
    </xf>
    <xf numFmtId="168" fontId="5" fillId="15" borderId="466" xfId="2" applyNumberFormat="1" applyFont="1" applyFill="1" applyBorder="1" applyAlignment="1" applyProtection="1">
      <alignment horizontal="right" vertical="center"/>
    </xf>
    <xf numFmtId="168" fontId="5" fillId="17" borderId="468" xfId="2" applyNumberFormat="1" applyFont="1" applyFill="1" applyBorder="1" applyAlignment="1" applyProtection="1">
      <alignment horizontal="right" vertical="center"/>
    </xf>
    <xf numFmtId="0" fontId="5" fillId="0" borderId="467" xfId="0" applyFont="1" applyBorder="1" applyAlignment="1">
      <alignment horizontal="left" vertical="center" wrapText="1"/>
    </xf>
    <xf numFmtId="168" fontId="0" fillId="15" borderId="32" xfId="2" applyNumberFormat="1" applyFont="1" applyFill="1" applyBorder="1" applyAlignment="1" applyProtection="1">
      <alignment horizontal="right" vertical="center"/>
    </xf>
    <xf numFmtId="168" fontId="5" fillId="1" borderId="283" xfId="0" applyNumberFormat="1" applyFont="1" applyFill="1" applyBorder="1" applyAlignment="1">
      <alignment horizontal="center" vertical="center"/>
    </xf>
    <xf numFmtId="168" fontId="5" fillId="15" borderId="32" xfId="2" applyNumberFormat="1" applyFont="1" applyFill="1" applyBorder="1" applyAlignment="1" applyProtection="1">
      <alignment horizontal="right" vertical="center"/>
    </xf>
    <xf numFmtId="0" fontId="0" fillId="0" borderId="33" xfId="0" applyBorder="1" applyAlignment="1">
      <alignment horizontal="right" vertical="center" wrapText="1"/>
    </xf>
    <xf numFmtId="168" fontId="5" fillId="1" borderId="36" xfId="0" applyNumberFormat="1" applyFont="1" applyFill="1" applyBorder="1" applyAlignment="1">
      <alignment horizontal="center" vertical="center"/>
    </xf>
    <xf numFmtId="168" fontId="5" fillId="1" borderId="9" xfId="0" applyNumberFormat="1" applyFont="1" applyFill="1" applyBorder="1" applyAlignment="1">
      <alignment horizontal="center" vertical="center"/>
    </xf>
    <xf numFmtId="0" fontId="0" fillId="0" borderId="193" xfId="0" applyBorder="1" applyAlignment="1">
      <alignment horizontal="left" vertical="center" wrapText="1"/>
    </xf>
    <xf numFmtId="0" fontId="0" fillId="0" borderId="196" xfId="0" applyBorder="1" applyAlignment="1">
      <alignment horizontal="left" vertical="center" wrapText="1"/>
    </xf>
    <xf numFmtId="0" fontId="0" fillId="0" borderId="418" xfId="0" applyBorder="1" applyAlignment="1">
      <alignment horizontal="left" vertical="center" wrapText="1"/>
    </xf>
    <xf numFmtId="168" fontId="0" fillId="15" borderId="385" xfId="2" applyNumberFormat="1" applyFont="1" applyFill="1" applyBorder="1" applyAlignment="1" applyProtection="1">
      <alignment horizontal="right" vertical="center"/>
    </xf>
    <xf numFmtId="168" fontId="0" fillId="12" borderId="10" xfId="2" applyNumberFormat="1" applyFont="1" applyFill="1" applyBorder="1" applyAlignment="1" applyProtection="1">
      <alignment horizontal="right" vertical="center"/>
    </xf>
    <xf numFmtId="168" fontId="13" fillId="19" borderId="416" xfId="0" applyNumberFormat="1" applyFont="1" applyFill="1" applyBorder="1" applyAlignment="1">
      <alignment horizontal="center" vertical="center"/>
    </xf>
    <xf numFmtId="168" fontId="13" fillId="19" borderId="417" xfId="0" applyNumberFormat="1" applyFont="1" applyFill="1" applyBorder="1" applyAlignment="1">
      <alignment horizontal="center" vertical="center"/>
    </xf>
    <xf numFmtId="168" fontId="13" fillId="19" borderId="201" xfId="0" applyNumberFormat="1" applyFont="1" applyFill="1" applyBorder="1" applyAlignment="1">
      <alignment horizontal="center" vertical="center"/>
    </xf>
    <xf numFmtId="168" fontId="13" fillId="19" borderId="215" xfId="0" applyNumberFormat="1" applyFont="1" applyFill="1" applyBorder="1" applyAlignment="1">
      <alignment horizontal="center" vertical="center"/>
    </xf>
    <xf numFmtId="0" fontId="35" fillId="0" borderId="1" xfId="0" applyFont="1" applyBorder="1" applyAlignment="1">
      <alignment horizontal="right" vertical="center"/>
    </xf>
    <xf numFmtId="0" fontId="35" fillId="0" borderId="0" xfId="0" applyFont="1" applyAlignment="1">
      <alignment horizontal="right" vertical="center"/>
    </xf>
    <xf numFmtId="0" fontId="35" fillId="20" borderId="42" xfId="0" applyFont="1" applyFill="1" applyBorder="1" applyAlignment="1">
      <alignment horizontal="center" vertical="center"/>
    </xf>
    <xf numFmtId="0" fontId="35" fillId="20" borderId="43" xfId="0" applyFont="1" applyFill="1" applyBorder="1" applyAlignment="1">
      <alignment horizontal="center" vertical="center"/>
    </xf>
    <xf numFmtId="0" fontId="3" fillId="21" borderId="0" xfId="5" applyFill="1" applyBorder="1" applyAlignment="1" applyProtection="1">
      <alignment horizontal="center" vertical="center"/>
    </xf>
    <xf numFmtId="0" fontId="35" fillId="3" borderId="44" xfId="0" applyFont="1" applyFill="1" applyBorder="1" applyAlignment="1">
      <alignment horizontal="center" vertical="center" wrapText="1"/>
    </xf>
    <xf numFmtId="0" fontId="35" fillId="3" borderId="51" xfId="0" applyFont="1" applyFill="1" applyBorder="1" applyAlignment="1">
      <alignment horizontal="center" vertical="center" wrapText="1"/>
    </xf>
    <xf numFmtId="0" fontId="35" fillId="7" borderId="45" xfId="0" applyFont="1" applyFill="1" applyBorder="1" applyAlignment="1">
      <alignment horizontal="center" vertical="center" wrapText="1"/>
    </xf>
    <xf numFmtId="0" fontId="35" fillId="7" borderId="52" xfId="0" applyFont="1" applyFill="1" applyBorder="1" applyAlignment="1">
      <alignment horizontal="center" vertical="center" wrapText="1"/>
    </xf>
    <xf numFmtId="168" fontId="35" fillId="7" borderId="193" xfId="0" applyNumberFormat="1" applyFont="1" applyFill="1" applyBorder="1" applyAlignment="1">
      <alignment horizontal="center" vertical="center" wrapText="1"/>
    </xf>
    <xf numFmtId="168" fontId="35" fillId="7" borderId="194" xfId="0" applyNumberFormat="1" applyFont="1" applyFill="1" applyBorder="1" applyAlignment="1">
      <alignment horizontal="center" vertical="center" wrapText="1"/>
    </xf>
    <xf numFmtId="168" fontId="35" fillId="7" borderId="195" xfId="0" applyNumberFormat="1" applyFont="1" applyFill="1" applyBorder="1" applyAlignment="1">
      <alignment horizontal="center" vertical="center" wrapText="1"/>
    </xf>
    <xf numFmtId="168" fontId="41" fillId="81" borderId="460" xfId="0" applyNumberFormat="1" applyFont="1" applyFill="1" applyBorder="1" applyAlignment="1">
      <alignment horizontal="center" vertical="center" wrapText="1"/>
    </xf>
    <xf numFmtId="168" fontId="41" fillId="81" borderId="461" xfId="0" applyNumberFormat="1" applyFont="1" applyFill="1" applyBorder="1" applyAlignment="1">
      <alignment horizontal="center" vertical="center" wrapText="1"/>
    </xf>
    <xf numFmtId="168" fontId="41" fillId="81" borderId="462" xfId="0" applyNumberFormat="1" applyFont="1" applyFill="1" applyBorder="1" applyAlignment="1">
      <alignment horizontal="center" vertical="center" wrapText="1"/>
    </xf>
    <xf numFmtId="0" fontId="35" fillId="3" borderId="49" xfId="0" applyFont="1" applyFill="1" applyBorder="1" applyAlignment="1">
      <alignment horizontal="center" vertical="center" wrapText="1"/>
    </xf>
    <xf numFmtId="0" fontId="35" fillId="3" borderId="54" xfId="0" applyFont="1" applyFill="1" applyBorder="1" applyAlignment="1">
      <alignment horizontal="center" vertical="center" wrapText="1"/>
    </xf>
    <xf numFmtId="0" fontId="35" fillId="7" borderId="50" xfId="0" applyFont="1" applyFill="1" applyBorder="1" applyAlignment="1">
      <alignment horizontal="center" vertical="center" wrapText="1"/>
    </xf>
    <xf numFmtId="0" fontId="35" fillId="7" borderId="55" xfId="0" applyFont="1" applyFill="1" applyBorder="1" applyAlignment="1">
      <alignment horizontal="center" vertical="center" wrapText="1"/>
    </xf>
    <xf numFmtId="168" fontId="41" fillId="13" borderId="44" xfId="0" applyNumberFormat="1" applyFont="1" applyFill="1" applyBorder="1" applyAlignment="1">
      <alignment horizontal="center" vertical="center" wrapText="1"/>
    </xf>
    <xf numFmtId="168" fontId="41" fillId="13" borderId="46" xfId="0" applyNumberFormat="1" applyFont="1" applyFill="1" applyBorder="1" applyAlignment="1">
      <alignment horizontal="center" vertical="center" wrapText="1"/>
    </xf>
    <xf numFmtId="168" fontId="41" fillId="13" borderId="47" xfId="0" applyNumberFormat="1"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7" borderId="53" xfId="0" applyFont="1" applyFill="1" applyBorder="1" applyAlignment="1">
      <alignment horizontal="center" vertical="center" wrapText="1"/>
    </xf>
    <xf numFmtId="0" fontId="35" fillId="0" borderId="420" xfId="0" applyFont="1" applyBorder="1" applyAlignment="1">
      <alignment horizontal="center" vertical="center" wrapText="1"/>
    </xf>
    <xf numFmtId="0" fontId="35" fillId="0" borderId="446" xfId="0" applyFont="1" applyBorder="1" applyAlignment="1">
      <alignment horizontal="center" vertical="center" wrapText="1"/>
    </xf>
    <xf numFmtId="0" fontId="35" fillId="0" borderId="441" xfId="0" applyFont="1" applyBorder="1" applyAlignment="1">
      <alignment horizontal="center" vertical="center" wrapText="1"/>
    </xf>
    <xf numFmtId="0" fontId="35" fillId="0" borderId="50" xfId="0" applyFont="1" applyBorder="1" applyAlignment="1">
      <alignment horizontal="center" vertical="center" wrapText="1"/>
    </xf>
    <xf numFmtId="0" fontId="35" fillId="0" borderId="60" xfId="0" applyFont="1" applyBorder="1" applyAlignment="1">
      <alignment horizontal="center" vertical="center" wrapText="1"/>
    </xf>
    <xf numFmtId="0" fontId="35" fillId="0" borderId="265" xfId="0" applyFont="1" applyBorder="1" applyAlignment="1">
      <alignment horizontal="center" vertical="center" wrapText="1"/>
    </xf>
    <xf numFmtId="0" fontId="35" fillId="0" borderId="55" xfId="0" applyFont="1" applyBorder="1" applyAlignment="1">
      <alignment horizontal="center" vertical="center" wrapText="1"/>
    </xf>
    <xf numFmtId="168" fontId="41" fillId="82" borderId="460" xfId="0" applyNumberFormat="1" applyFont="1" applyFill="1" applyBorder="1" applyAlignment="1">
      <alignment horizontal="center" vertical="center" wrapText="1"/>
    </xf>
    <xf numFmtId="168" fontId="41" fillId="82" borderId="461" xfId="0" applyNumberFormat="1" applyFont="1" applyFill="1" applyBorder="1" applyAlignment="1">
      <alignment horizontal="center" vertical="center" wrapText="1"/>
    </xf>
    <xf numFmtId="168" fontId="41" fillId="82" borderId="462" xfId="0" applyNumberFormat="1" applyFont="1" applyFill="1" applyBorder="1" applyAlignment="1">
      <alignment horizontal="center" vertical="center" wrapText="1"/>
    </xf>
    <xf numFmtId="0" fontId="35" fillId="0" borderId="230" xfId="0" applyFont="1" applyBorder="1" applyAlignment="1">
      <alignment horizontal="center" vertical="center" wrapText="1"/>
    </xf>
    <xf numFmtId="0" fontId="35" fillId="0" borderId="261" xfId="0" applyFont="1" applyBorder="1" applyAlignment="1">
      <alignment horizontal="center" vertical="center" wrapText="1"/>
    </xf>
    <xf numFmtId="0" fontId="35" fillId="0" borderId="210" xfId="0" applyFont="1" applyBorder="1" applyAlignment="1">
      <alignment horizontal="center" vertical="center" wrapText="1"/>
    </xf>
    <xf numFmtId="0" fontId="35" fillId="25" borderId="16" xfId="0" applyFont="1" applyFill="1" applyBorder="1" applyAlignment="1">
      <alignment horizontal="center" vertical="center" wrapText="1"/>
    </xf>
    <xf numFmtId="0" fontId="35" fillId="25" borderId="19" xfId="0" applyFont="1" applyFill="1" applyBorder="1" applyAlignment="1">
      <alignment horizontal="center" vertical="center" wrapText="1"/>
    </xf>
    <xf numFmtId="0" fontId="35" fillId="25" borderId="27" xfId="0" applyFont="1" applyFill="1" applyBorder="1" applyAlignment="1">
      <alignment horizontal="center" vertical="center" wrapText="1"/>
    </xf>
    <xf numFmtId="0" fontId="35" fillId="0" borderId="413" xfId="0" applyFont="1" applyBorder="1" applyAlignment="1">
      <alignment horizontal="center" vertical="center" wrapText="1"/>
    </xf>
    <xf numFmtId="0" fontId="35" fillId="0" borderId="307"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51" xfId="0" applyFont="1" applyBorder="1" applyAlignment="1">
      <alignment horizontal="center" vertical="center" wrapText="1"/>
    </xf>
    <xf numFmtId="171" fontId="0" fillId="1" borderId="268" xfId="2" applyNumberFormat="1" applyFont="1" applyFill="1" applyBorder="1" applyAlignment="1" applyProtection="1">
      <alignment horizontal="center" vertical="center"/>
    </xf>
    <xf numFmtId="171" fontId="0" fillId="1" borderId="425" xfId="2" applyNumberFormat="1" applyFont="1" applyFill="1" applyBorder="1" applyAlignment="1" applyProtection="1">
      <alignment horizontal="center" vertical="center"/>
    </xf>
    <xf numFmtId="171" fontId="0" fillId="1" borderId="426" xfId="2" applyNumberFormat="1" applyFont="1" applyFill="1" applyBorder="1" applyAlignment="1" applyProtection="1">
      <alignment horizontal="center" vertical="center"/>
    </xf>
    <xf numFmtId="0" fontId="35" fillId="0" borderId="57" xfId="0" applyFont="1" applyBorder="1" applyAlignment="1">
      <alignment horizontal="center" vertical="center" wrapText="1"/>
    </xf>
    <xf numFmtId="0" fontId="35" fillId="0" borderId="341"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25" borderId="50" xfId="0" applyFont="1" applyFill="1" applyBorder="1" applyAlignment="1">
      <alignment horizontal="center" vertical="center" wrapText="1"/>
    </xf>
    <xf numFmtId="0" fontId="35" fillId="25" borderId="55" xfId="0" applyFont="1" applyFill="1" applyBorder="1" applyAlignment="1">
      <alignment horizontal="center" vertical="center" wrapText="1"/>
    </xf>
    <xf numFmtId="0" fontId="35" fillId="0" borderId="366" xfId="0" applyFont="1" applyBorder="1" applyAlignment="1">
      <alignment horizontal="center" vertical="center" wrapText="1"/>
    </xf>
    <xf numFmtId="0" fontId="35" fillId="25" borderId="60" xfId="0" applyFont="1" applyFill="1" applyBorder="1" applyAlignment="1">
      <alignment horizontal="center" vertical="center" wrapText="1"/>
    </xf>
    <xf numFmtId="0" fontId="35" fillId="25" borderId="326" xfId="0" applyFont="1" applyFill="1" applyBorder="1" applyAlignment="1">
      <alignment horizontal="center" vertical="center" wrapText="1"/>
    </xf>
    <xf numFmtId="0" fontId="2" fillId="0" borderId="193" xfId="0" applyFont="1" applyBorder="1" applyAlignment="1">
      <alignment horizontal="center" wrapText="1"/>
    </xf>
    <xf numFmtId="0" fontId="2" fillId="0" borderId="201" xfId="0" applyFont="1" applyBorder="1" applyAlignment="1">
      <alignment horizontal="center" wrapText="1"/>
    </xf>
    <xf numFmtId="0" fontId="0" fillId="0" borderId="272" xfId="0" applyBorder="1" applyAlignment="1">
      <alignment horizontal="left" vertical="center"/>
    </xf>
    <xf numFmtId="0" fontId="0" fillId="0" borderId="254" xfId="0" applyBorder="1" applyAlignment="1">
      <alignment horizontal="left" vertical="center"/>
    </xf>
    <xf numFmtId="172" fontId="0" fillId="2" borderId="341" xfId="2" applyNumberFormat="1" applyFont="1" applyFill="1" applyBorder="1" applyAlignment="1" applyProtection="1">
      <alignment horizontal="center" vertical="center"/>
    </xf>
    <xf numFmtId="172" fontId="0" fillId="2" borderId="307" xfId="2" applyNumberFormat="1" applyFont="1" applyFill="1" applyBorder="1" applyAlignment="1" applyProtection="1">
      <alignment horizontal="center" vertical="center"/>
    </xf>
    <xf numFmtId="172" fontId="0" fillId="2" borderId="394" xfId="2" applyNumberFormat="1" applyFont="1" applyFill="1" applyBorder="1" applyAlignment="1" applyProtection="1">
      <alignment horizontal="center" vertical="center"/>
    </xf>
    <xf numFmtId="172" fontId="0" fillId="2" borderId="316" xfId="2" applyNumberFormat="1" applyFont="1" applyFill="1" applyBorder="1" applyAlignment="1" applyProtection="1">
      <alignment horizontal="center" vertical="center"/>
    </xf>
    <xf numFmtId="172" fontId="0" fillId="2" borderId="266" xfId="2" applyNumberFormat="1" applyFont="1" applyFill="1" applyBorder="1" applyAlignment="1" applyProtection="1">
      <alignment horizontal="center" vertical="center"/>
    </xf>
    <xf numFmtId="172" fontId="0" fillId="2" borderId="317" xfId="2" applyNumberFormat="1" applyFont="1" applyFill="1" applyBorder="1" applyAlignment="1" applyProtection="1">
      <alignment horizontal="center" vertical="center"/>
    </xf>
    <xf numFmtId="42" fontId="0" fillId="0" borderId="291" xfId="3" applyFont="1" applyBorder="1" applyAlignment="1" applyProtection="1">
      <alignment horizontal="center" vertical="center"/>
    </xf>
    <xf numFmtId="42" fontId="0" fillId="0" borderId="353" xfId="3" applyFont="1" applyBorder="1" applyAlignment="1" applyProtection="1">
      <alignment horizontal="center" vertical="center"/>
    </xf>
    <xf numFmtId="42" fontId="0" fillId="0" borderId="230" xfId="3" applyFont="1" applyBorder="1" applyAlignment="1" applyProtection="1">
      <alignment horizontal="center" vertical="center"/>
    </xf>
    <xf numFmtId="42" fontId="0" fillId="0" borderId="210" xfId="3" applyFont="1" applyBorder="1" applyAlignment="1" applyProtection="1">
      <alignment horizontal="center" vertical="center"/>
    </xf>
    <xf numFmtId="171" fontId="0" fillId="0" borderId="342" xfId="2" applyNumberFormat="1" applyFont="1" applyFill="1" applyBorder="1" applyAlignment="1" applyProtection="1">
      <alignment horizontal="center" vertical="center"/>
    </xf>
    <xf numFmtId="171" fontId="0" fillId="0" borderId="316" xfId="2" applyNumberFormat="1" applyFont="1" applyFill="1" applyBorder="1" applyAlignment="1" applyProtection="1">
      <alignment horizontal="center" vertical="center"/>
    </xf>
    <xf numFmtId="171" fontId="0" fillId="0" borderId="369" xfId="2" applyNumberFormat="1" applyFont="1" applyFill="1" applyBorder="1" applyAlignment="1" applyProtection="1">
      <alignment horizontal="center" vertical="center"/>
    </xf>
    <xf numFmtId="171" fontId="0" fillId="0" borderId="318" xfId="2" applyNumberFormat="1" applyFont="1" applyFill="1" applyBorder="1" applyAlignment="1" applyProtection="1">
      <alignment horizontal="center" vertical="center"/>
    </xf>
    <xf numFmtId="171" fontId="0" fillId="0" borderId="350" xfId="2" applyNumberFormat="1" applyFont="1" applyFill="1" applyBorder="1" applyAlignment="1" applyProtection="1">
      <alignment horizontal="center" vertical="center"/>
    </xf>
    <xf numFmtId="171" fontId="0" fillId="0" borderId="307" xfId="2" applyNumberFormat="1" applyFont="1" applyFill="1" applyBorder="1" applyAlignment="1" applyProtection="1">
      <alignment horizontal="center" vertical="center"/>
    </xf>
    <xf numFmtId="171" fontId="0" fillId="0" borderId="422" xfId="2" applyNumberFormat="1" applyFont="1" applyFill="1" applyBorder="1" applyAlignment="1" applyProtection="1">
      <alignment horizontal="center" vertical="center"/>
    </xf>
    <xf numFmtId="171" fontId="0" fillId="0" borderId="450" xfId="2" applyNumberFormat="1" applyFont="1" applyFill="1" applyBorder="1" applyAlignment="1" applyProtection="1">
      <alignment horizontal="center" vertical="center"/>
    </xf>
    <xf numFmtId="171" fontId="0" fillId="0" borderId="420" xfId="2" applyNumberFormat="1" applyFont="1" applyFill="1" applyBorder="1" applyAlignment="1" applyProtection="1">
      <alignment horizontal="center" vertical="center"/>
    </xf>
    <xf numFmtId="171" fontId="0" fillId="0" borderId="441" xfId="2" applyNumberFormat="1" applyFont="1" applyFill="1" applyBorder="1" applyAlignment="1" applyProtection="1">
      <alignment horizontal="center" vertical="center"/>
    </xf>
    <xf numFmtId="0" fontId="0" fillId="2" borderId="266" xfId="0" applyFill="1" applyBorder="1" applyAlignment="1" applyProtection="1">
      <alignment horizontal="center" vertical="center"/>
      <protection locked="0"/>
    </xf>
    <xf numFmtId="0" fontId="0" fillId="2" borderId="317" xfId="0" applyFill="1" applyBorder="1" applyAlignment="1" applyProtection="1">
      <alignment horizontal="center" vertical="center"/>
      <protection locked="0"/>
    </xf>
    <xf numFmtId="0" fontId="2" fillId="9" borderId="16" xfId="0" applyFont="1" applyFill="1" applyBorder="1" applyAlignment="1">
      <alignment horizontal="center" vertical="center"/>
    </xf>
    <xf numFmtId="0" fontId="2" fillId="9" borderId="27" xfId="0" applyFont="1" applyFill="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0" fillId="0" borderId="193" xfId="0" applyBorder="1" applyAlignment="1">
      <alignment horizontal="left" vertical="center"/>
    </xf>
    <xf numFmtId="0" fontId="0" fillId="0" borderId="201" xfId="0" applyBorder="1" applyAlignment="1">
      <alignment horizontal="left" vertical="center"/>
    </xf>
    <xf numFmtId="0" fontId="0" fillId="2" borderId="420" xfId="0" applyFill="1" applyBorder="1" applyAlignment="1" applyProtection="1">
      <alignment horizontal="center" vertical="center"/>
      <protection locked="0"/>
    </xf>
    <xf numFmtId="0" fontId="0" fillId="2" borderId="449" xfId="0" applyFill="1" applyBorder="1" applyAlignment="1" applyProtection="1">
      <alignment horizontal="center" vertical="center"/>
      <protection locked="0"/>
    </xf>
    <xf numFmtId="0" fontId="0" fillId="2" borderId="422" xfId="0" applyFill="1" applyBorder="1" applyAlignment="1" applyProtection="1">
      <alignment horizontal="center" vertical="center"/>
      <protection locked="0"/>
    </xf>
    <xf numFmtId="0" fontId="0" fillId="2" borderId="450" xfId="0" applyFill="1" applyBorder="1" applyAlignment="1" applyProtection="1">
      <alignment horizontal="center" vertical="center"/>
      <protection locked="0"/>
    </xf>
    <xf numFmtId="0" fontId="0" fillId="2" borderId="394" xfId="0" applyFill="1" applyBorder="1" applyAlignment="1" applyProtection="1">
      <alignment horizontal="center" vertical="center"/>
      <protection locked="0"/>
    </xf>
    <xf numFmtId="0" fontId="0" fillId="2" borderId="316" xfId="0" applyFill="1" applyBorder="1" applyAlignment="1" applyProtection="1">
      <alignment horizontal="center" vertical="center"/>
      <protection locked="0"/>
    </xf>
    <xf numFmtId="171" fontId="0" fillId="0" borderId="423" xfId="2" applyNumberFormat="1" applyFont="1" applyFill="1" applyBorder="1" applyAlignment="1" applyProtection="1">
      <alignment horizontal="center" vertical="center"/>
    </xf>
    <xf numFmtId="171" fontId="0" fillId="0" borderId="451" xfId="2" applyNumberFormat="1" applyFont="1" applyFill="1" applyBorder="1" applyAlignment="1" applyProtection="1">
      <alignment horizontal="center" vertical="center"/>
    </xf>
    <xf numFmtId="42" fontId="0" fillId="0" borderId="199" xfId="3" applyFont="1" applyBorder="1" applyAlignment="1" applyProtection="1">
      <alignment horizontal="center" vertical="center"/>
    </xf>
    <xf numFmtId="42" fontId="0" fillId="0" borderId="404" xfId="3" applyFont="1" applyBorder="1" applyAlignment="1" applyProtection="1">
      <alignment horizontal="center" vertical="center"/>
    </xf>
    <xf numFmtId="42" fontId="0" fillId="0" borderId="212" xfId="3" applyFont="1" applyBorder="1" applyAlignment="1" applyProtection="1">
      <alignment horizontal="center" vertical="center"/>
    </xf>
    <xf numFmtId="0" fontId="39" fillId="0" borderId="193" xfId="0" applyFont="1" applyBorder="1" applyAlignment="1">
      <alignment horizontal="center" wrapText="1"/>
    </xf>
    <xf numFmtId="0" fontId="39" fillId="0" borderId="201" xfId="0" applyFont="1" applyBorder="1" applyAlignment="1">
      <alignment horizontal="center" wrapText="1"/>
    </xf>
    <xf numFmtId="0" fontId="13" fillId="0" borderId="44"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230" xfId="0" applyFont="1" applyBorder="1" applyAlignment="1">
      <alignment horizontal="center" vertical="center" wrapText="1"/>
    </xf>
    <xf numFmtId="0" fontId="13" fillId="0" borderId="261" xfId="0" applyFont="1" applyBorder="1" applyAlignment="1">
      <alignment horizontal="center" vertical="center" wrapText="1"/>
    </xf>
    <xf numFmtId="0" fontId="13" fillId="0" borderId="210"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366" xfId="0" applyFont="1" applyBorder="1" applyAlignment="1">
      <alignment horizontal="center" vertical="center" wrapText="1"/>
    </xf>
    <xf numFmtId="0" fontId="13" fillId="0" borderId="34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307" xfId="0" applyFont="1" applyBorder="1" applyAlignment="1">
      <alignment horizontal="center" vertical="center" wrapText="1"/>
    </xf>
    <xf numFmtId="0" fontId="13" fillId="0" borderId="272" xfId="0" applyFont="1" applyBorder="1" applyAlignment="1">
      <alignment horizontal="center" vertical="center" wrapText="1"/>
    </xf>
    <xf numFmtId="0" fontId="13" fillId="0" borderId="254" xfId="0" applyFont="1" applyBorder="1" applyAlignment="1">
      <alignment horizontal="center" vertical="center" wrapText="1"/>
    </xf>
    <xf numFmtId="0" fontId="13" fillId="0" borderId="420" xfId="0" applyFont="1" applyBorder="1" applyAlignment="1">
      <alignment horizontal="center" vertical="center" wrapText="1"/>
    </xf>
    <xf numFmtId="0" fontId="13" fillId="0" borderId="413" xfId="0" applyFont="1" applyBorder="1" applyAlignment="1">
      <alignment horizontal="center" vertical="center" wrapText="1"/>
    </xf>
    <xf numFmtId="171" fontId="0" fillId="1" borderId="452" xfId="2" applyNumberFormat="1" applyFont="1" applyFill="1" applyBorder="1" applyAlignment="1" applyProtection="1">
      <alignment horizontal="center" vertical="center"/>
    </xf>
    <xf numFmtId="171" fontId="0" fillId="1" borderId="453" xfId="2" applyNumberFormat="1" applyFont="1" applyFill="1" applyBorder="1" applyAlignment="1" applyProtection="1">
      <alignment horizontal="center" vertical="center"/>
    </xf>
    <xf numFmtId="171" fontId="0" fillId="1" borderId="454" xfId="2" applyNumberFormat="1" applyFont="1" applyFill="1" applyBorder="1" applyAlignment="1" applyProtection="1">
      <alignment horizontal="center" vertical="center"/>
    </xf>
    <xf numFmtId="0" fontId="5" fillId="3" borderId="44"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7" borderId="45" xfId="0" applyFont="1" applyFill="1" applyBorder="1" applyAlignment="1">
      <alignment horizontal="center" vertical="center" wrapText="1"/>
    </xf>
    <xf numFmtId="0" fontId="5" fillId="7" borderId="52" xfId="0" applyFont="1" applyFill="1" applyBorder="1" applyAlignment="1">
      <alignment horizontal="center" vertical="center" wrapText="1"/>
    </xf>
    <xf numFmtId="168" fontId="8" fillId="22" borderId="420" xfId="0" applyNumberFormat="1" applyFont="1" applyFill="1" applyBorder="1" applyAlignment="1">
      <alignment horizontal="center" vertical="center" wrapText="1"/>
    </xf>
    <xf numFmtId="168" fontId="8" fillId="22" borderId="422" xfId="0" applyNumberFormat="1" applyFont="1" applyFill="1" applyBorder="1" applyAlignment="1">
      <alignment horizontal="center" vertical="center" wrapText="1"/>
    </xf>
    <xf numFmtId="168" fontId="8" fillId="22" borderId="423" xfId="0" applyNumberFormat="1" applyFont="1" applyFill="1" applyBorder="1" applyAlignment="1">
      <alignment horizontal="center" vertical="center" wrapText="1"/>
    </xf>
    <xf numFmtId="0" fontId="13" fillId="0" borderId="269" xfId="0" applyFont="1" applyBorder="1" applyAlignment="1">
      <alignment horizontal="center" vertical="center" wrapText="1"/>
    </xf>
    <xf numFmtId="0" fontId="8" fillId="2" borderId="83" xfId="0" applyFont="1" applyFill="1" applyBorder="1" applyAlignment="1">
      <alignment horizontal="center" vertical="center"/>
    </xf>
    <xf numFmtId="0" fontId="8" fillId="2" borderId="84" xfId="0" applyFont="1" applyFill="1" applyBorder="1" applyAlignment="1">
      <alignment horizontal="center" vertical="center"/>
    </xf>
    <xf numFmtId="0" fontId="3" fillId="21" borderId="0" xfId="5" applyFill="1" applyBorder="1" applyAlignment="1" applyProtection="1">
      <alignment horizontal="left" vertical="center" indent="2"/>
    </xf>
    <xf numFmtId="0" fontId="14" fillId="7" borderId="85" xfId="0" applyFont="1" applyFill="1" applyBorder="1" applyAlignment="1">
      <alignment horizontal="center" vertical="center"/>
    </xf>
    <xf numFmtId="0" fontId="14" fillId="7" borderId="34" xfId="0" applyFont="1" applyFill="1" applyBorder="1" applyAlignment="1">
      <alignment horizontal="center" vertical="center"/>
    </xf>
    <xf numFmtId="0" fontId="5" fillId="22" borderId="85" xfId="0" applyFont="1" applyFill="1" applyBorder="1" applyAlignment="1">
      <alignment horizontal="center" vertical="center"/>
    </xf>
    <xf numFmtId="0" fontId="5" fillId="22" borderId="25" xfId="0" applyFont="1" applyFill="1" applyBorder="1" applyAlignment="1">
      <alignment horizontal="center" vertical="center"/>
    </xf>
    <xf numFmtId="0" fontId="14" fillId="3" borderId="85" xfId="0" applyFont="1" applyFill="1" applyBorder="1" applyAlignment="1">
      <alignment horizontal="center" vertical="center"/>
    </xf>
    <xf numFmtId="0" fontId="14" fillId="3" borderId="25" xfId="0" applyFont="1" applyFill="1" applyBorder="1" applyAlignment="1">
      <alignment horizontal="center" vertical="center"/>
    </xf>
    <xf numFmtId="0" fontId="5" fillId="7" borderId="85"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14" fillId="22" borderId="83" xfId="0" applyFont="1" applyFill="1" applyBorder="1" applyAlignment="1">
      <alignment horizontal="center" vertical="center"/>
    </xf>
    <xf numFmtId="0" fontId="14" fillId="22" borderId="86" xfId="0" applyFont="1" applyFill="1" applyBorder="1" applyAlignment="1">
      <alignment horizontal="center" vertical="center"/>
    </xf>
    <xf numFmtId="0" fontId="14" fillId="22" borderId="84" xfId="0" applyFont="1" applyFill="1" applyBorder="1" applyAlignment="1">
      <alignment horizontal="center" vertical="center"/>
    </xf>
    <xf numFmtId="0" fontId="8" fillId="0" borderId="63" xfId="0" applyFont="1" applyBorder="1" applyAlignment="1">
      <alignment horizontal="center" vertical="center" wrapText="1"/>
    </xf>
    <xf numFmtId="0" fontId="8" fillId="0" borderId="91" xfId="0" applyFont="1" applyBorder="1" applyAlignment="1">
      <alignment horizontal="center" vertical="center" wrapText="1"/>
    </xf>
    <xf numFmtId="0" fontId="8" fillId="0" borderId="99" xfId="0" applyFont="1" applyBorder="1" applyAlignment="1">
      <alignment horizontal="center" vertical="center" wrapText="1"/>
    </xf>
    <xf numFmtId="0" fontId="5" fillId="22" borderId="87" xfId="0" applyFont="1" applyFill="1" applyBorder="1" applyAlignment="1">
      <alignment horizontal="center" vertical="center"/>
    </xf>
    <xf numFmtId="0" fontId="5" fillId="22" borderId="93" xfId="0" applyFont="1" applyFill="1" applyBorder="1" applyAlignment="1">
      <alignment horizontal="center" vertical="center"/>
    </xf>
    <xf numFmtId="0" fontId="14" fillId="3" borderId="102" xfId="0" applyFont="1" applyFill="1" applyBorder="1" applyAlignment="1">
      <alignment horizontal="center" vertical="center"/>
    </xf>
    <xf numFmtId="0" fontId="5" fillId="7" borderId="102" xfId="0" applyFont="1" applyFill="1" applyBorder="1" applyAlignment="1">
      <alignment horizontal="center" vertical="center" wrapText="1"/>
    </xf>
    <xf numFmtId="0" fontId="14" fillId="22" borderId="102" xfId="0" applyFont="1" applyFill="1" applyBorder="1" applyAlignment="1">
      <alignment horizontal="center" vertical="center"/>
    </xf>
    <xf numFmtId="44" fontId="5" fillId="26" borderId="87" xfId="2" applyFont="1" applyFill="1" applyBorder="1" applyAlignment="1" applyProtection="1">
      <alignment horizontal="center" vertical="center" wrapText="1"/>
    </xf>
    <xf numFmtId="44" fontId="5" fillId="26" borderId="89" xfId="2" applyFont="1" applyFill="1" applyBorder="1" applyAlignment="1" applyProtection="1">
      <alignment horizontal="center" vertical="center" wrapText="1"/>
    </xf>
    <xf numFmtId="0" fontId="14" fillId="22" borderId="73" xfId="0" applyFont="1" applyFill="1" applyBorder="1" applyAlignment="1" applyProtection="1">
      <alignment horizontal="left" vertical="center"/>
      <protection locked="0"/>
    </xf>
    <xf numFmtId="0" fontId="8" fillId="0" borderId="90" xfId="0" applyFont="1" applyBorder="1" applyAlignment="1">
      <alignment horizontal="center" vertical="center" wrapText="1"/>
    </xf>
    <xf numFmtId="0" fontId="14" fillId="3" borderId="97" xfId="0" applyFont="1" applyFill="1" applyBorder="1" applyAlignment="1">
      <alignment horizontal="center" vertical="center"/>
    </xf>
    <xf numFmtId="0" fontId="5" fillId="7" borderId="97" xfId="0" applyFont="1" applyFill="1" applyBorder="1" applyAlignment="1">
      <alignment horizontal="center" vertical="center" wrapText="1"/>
    </xf>
    <xf numFmtId="0" fontId="14" fillId="22" borderId="97" xfId="0" applyFont="1" applyFill="1" applyBorder="1" applyAlignment="1">
      <alignment horizontal="center" vertical="center"/>
    </xf>
    <xf numFmtId="44" fontId="5" fillId="26" borderId="98" xfId="2" applyFont="1" applyFill="1" applyBorder="1" applyAlignment="1" applyProtection="1">
      <alignment horizontal="center" vertical="center" wrapText="1"/>
    </xf>
    <xf numFmtId="44" fontId="5" fillId="26" borderId="0" xfId="2" applyFont="1" applyFill="1" applyBorder="1" applyAlignment="1" applyProtection="1">
      <alignment horizontal="center" vertical="center" wrapText="1"/>
    </xf>
    <xf numFmtId="0" fontId="14" fillId="22" borderId="97" xfId="0" applyFont="1" applyFill="1" applyBorder="1" applyAlignment="1" applyProtection="1">
      <alignment horizontal="left" vertical="center"/>
      <protection locked="0"/>
    </xf>
    <xf numFmtId="0" fontId="8" fillId="0" borderId="112" xfId="0" applyFont="1" applyBorder="1" applyAlignment="1">
      <alignment horizontal="center" vertical="center" wrapText="1"/>
    </xf>
    <xf numFmtId="0" fontId="14" fillId="7" borderId="118" xfId="0" applyFont="1" applyFill="1" applyBorder="1" applyAlignment="1">
      <alignment horizontal="center" vertical="center"/>
    </xf>
    <xf numFmtId="0" fontId="5" fillId="22" borderId="119" xfId="0" applyFont="1" applyFill="1" applyBorder="1" applyAlignment="1">
      <alignment horizontal="center" vertical="center"/>
    </xf>
    <xf numFmtId="0" fontId="14" fillId="3" borderId="114" xfId="0" applyFont="1" applyFill="1" applyBorder="1" applyAlignment="1">
      <alignment horizontal="center" vertical="center"/>
    </xf>
    <xf numFmtId="0" fontId="14" fillId="3" borderId="73" xfId="0" applyFont="1" applyFill="1" applyBorder="1" applyAlignment="1">
      <alignment horizontal="center" vertical="center"/>
    </xf>
    <xf numFmtId="0" fontId="5" fillId="7" borderId="114" xfId="0" applyFont="1" applyFill="1" applyBorder="1" applyAlignment="1">
      <alignment horizontal="center" vertical="center" wrapText="1"/>
    </xf>
    <xf numFmtId="0" fontId="5" fillId="7" borderId="73" xfId="0" applyFont="1" applyFill="1" applyBorder="1" applyAlignment="1">
      <alignment horizontal="center" vertical="center" wrapText="1"/>
    </xf>
    <xf numFmtId="0" fontId="14" fillId="22" borderId="114" xfId="0" applyFont="1" applyFill="1" applyBorder="1" applyAlignment="1">
      <alignment horizontal="center" vertical="center"/>
    </xf>
    <xf numFmtId="0" fontId="14" fillId="22" borderId="102" xfId="0" applyFont="1" applyFill="1" applyBorder="1" applyAlignment="1" applyProtection="1">
      <alignment horizontal="left" vertical="center"/>
      <protection locked="0"/>
    </xf>
    <xf numFmtId="0" fontId="8" fillId="0" borderId="106" xfId="0" applyFont="1" applyBorder="1" applyAlignment="1">
      <alignment horizontal="center" vertical="center" wrapText="1"/>
    </xf>
    <xf numFmtId="0" fontId="8" fillId="0" borderId="128" xfId="0" applyFont="1" applyBorder="1" applyAlignment="1">
      <alignment horizontal="center" vertical="center" wrapText="1"/>
    </xf>
    <xf numFmtId="0" fontId="14" fillId="7" borderId="134" xfId="0" applyFont="1" applyFill="1" applyBorder="1" applyAlignment="1">
      <alignment horizontal="center" vertical="center"/>
    </xf>
    <xf numFmtId="0" fontId="5" fillId="22" borderId="135" xfId="0" applyFont="1" applyFill="1" applyBorder="1" applyAlignment="1">
      <alignment horizontal="center" vertical="center"/>
    </xf>
    <xf numFmtId="0" fontId="14" fillId="3" borderId="130" xfId="0" applyFont="1" applyFill="1" applyBorder="1" applyAlignment="1">
      <alignment horizontal="center" vertical="center"/>
    </xf>
    <xf numFmtId="0" fontId="5" fillId="7" borderId="130" xfId="0" applyFont="1" applyFill="1" applyBorder="1" applyAlignment="1">
      <alignment horizontal="center" vertical="center" wrapText="1"/>
    </xf>
    <xf numFmtId="0" fontId="14" fillId="22" borderId="130" xfId="0" applyFont="1" applyFill="1" applyBorder="1" applyAlignment="1">
      <alignment horizontal="center" vertical="center"/>
    </xf>
    <xf numFmtId="44" fontId="5" fillId="26" borderId="116" xfId="2" applyFont="1" applyFill="1" applyBorder="1" applyAlignment="1" applyProtection="1">
      <alignment horizontal="center" vertical="center" wrapText="1"/>
    </xf>
    <xf numFmtId="0" fontId="8" fillId="0" borderId="120" xfId="0" applyFont="1" applyBorder="1" applyAlignment="1">
      <alignment horizontal="center" vertical="center" wrapText="1"/>
    </xf>
    <xf numFmtId="0" fontId="14" fillId="7" borderId="126" xfId="0" applyFont="1" applyFill="1" applyBorder="1" applyAlignment="1">
      <alignment horizontal="center" vertical="center"/>
    </xf>
    <xf numFmtId="0" fontId="5" fillId="22" borderId="127" xfId="0" applyFont="1" applyFill="1" applyBorder="1" applyAlignment="1">
      <alignment horizontal="center" vertical="center"/>
    </xf>
    <xf numFmtId="0" fontId="14" fillId="3" borderId="122" xfId="0" applyFont="1" applyFill="1" applyBorder="1" applyAlignment="1">
      <alignment horizontal="center" vertical="center"/>
    </xf>
    <xf numFmtId="0" fontId="5" fillId="7" borderId="122" xfId="0" applyFont="1" applyFill="1" applyBorder="1" applyAlignment="1">
      <alignment horizontal="center" vertical="center" wrapText="1"/>
    </xf>
    <xf numFmtId="0" fontId="14" fillId="22" borderId="122" xfId="0" applyFont="1" applyFill="1" applyBorder="1" applyAlignment="1">
      <alignment horizontal="center" vertical="center"/>
    </xf>
    <xf numFmtId="44" fontId="5" fillId="26" borderId="124" xfId="2" applyFont="1" applyFill="1" applyBorder="1" applyAlignment="1" applyProtection="1">
      <alignment horizontal="center" vertical="center" wrapText="1"/>
    </xf>
    <xf numFmtId="0" fontId="8" fillId="0" borderId="144" xfId="0" applyFont="1" applyBorder="1" applyAlignment="1">
      <alignment horizontal="center" vertical="center" wrapText="1"/>
    </xf>
    <xf numFmtId="0" fontId="14" fillId="7" borderId="150" xfId="0" applyFont="1" applyFill="1" applyBorder="1" applyAlignment="1">
      <alignment horizontal="center" vertical="center"/>
    </xf>
    <xf numFmtId="0" fontId="5" fillId="22" borderId="151" xfId="0" applyFont="1" applyFill="1" applyBorder="1" applyAlignment="1">
      <alignment horizontal="center" vertical="center"/>
    </xf>
    <xf numFmtId="0" fontId="14" fillId="3" borderId="146" xfId="0" applyFont="1" applyFill="1" applyBorder="1" applyAlignment="1">
      <alignment horizontal="center" vertical="center"/>
    </xf>
    <xf numFmtId="0" fontId="5" fillId="7" borderId="146" xfId="0" applyFont="1" applyFill="1" applyBorder="1" applyAlignment="1">
      <alignment horizontal="center" vertical="center" wrapText="1"/>
    </xf>
    <xf numFmtId="0" fontId="14" fillId="22" borderId="146" xfId="0" applyFont="1" applyFill="1" applyBorder="1" applyAlignment="1">
      <alignment horizontal="center" vertical="center"/>
    </xf>
    <xf numFmtId="44" fontId="5" fillId="26" borderId="132" xfId="2" applyFont="1" applyFill="1" applyBorder="1" applyAlignment="1" applyProtection="1">
      <alignment horizontal="center" vertical="center" wrapText="1"/>
    </xf>
    <xf numFmtId="0" fontId="14" fillId="22" borderId="355" xfId="0" applyFont="1" applyFill="1" applyBorder="1" applyAlignment="1" applyProtection="1">
      <alignment horizontal="left" vertical="center"/>
      <protection locked="0"/>
    </xf>
    <xf numFmtId="0" fontId="8" fillId="0" borderId="136" xfId="0" applyFont="1" applyBorder="1" applyAlignment="1">
      <alignment horizontal="center" vertical="center" wrapText="1"/>
    </xf>
    <xf numFmtId="0" fontId="14" fillId="7" borderId="142" xfId="0" applyFont="1" applyFill="1" applyBorder="1" applyAlignment="1">
      <alignment horizontal="center" vertical="center"/>
    </xf>
    <xf numFmtId="0" fontId="5" fillId="22" borderId="143" xfId="0" applyFont="1" applyFill="1" applyBorder="1" applyAlignment="1">
      <alignment horizontal="center" vertical="center"/>
    </xf>
    <xf numFmtId="0" fontId="14" fillId="3" borderId="138" xfId="0" applyFont="1" applyFill="1" applyBorder="1" applyAlignment="1">
      <alignment horizontal="center" vertical="center"/>
    </xf>
    <xf numFmtId="0" fontId="5" fillId="7" borderId="138" xfId="0" applyFont="1" applyFill="1" applyBorder="1" applyAlignment="1">
      <alignment horizontal="center" vertical="center" wrapText="1"/>
    </xf>
    <xf numFmtId="0" fontId="14" fillId="22" borderId="138" xfId="0" applyFont="1" applyFill="1" applyBorder="1" applyAlignment="1">
      <alignment horizontal="center" vertical="center"/>
    </xf>
    <xf numFmtId="44" fontId="5" fillId="26" borderId="140" xfId="2" applyFont="1" applyFill="1" applyBorder="1" applyAlignment="1" applyProtection="1">
      <alignment horizontal="center" vertical="center" wrapText="1"/>
    </xf>
    <xf numFmtId="0" fontId="8" fillId="0" borderId="160" xfId="0" applyFont="1" applyBorder="1" applyAlignment="1">
      <alignment horizontal="center" vertical="center" wrapText="1"/>
    </xf>
    <xf numFmtId="0" fontId="14" fillId="7" borderId="166" xfId="0" applyFont="1" applyFill="1" applyBorder="1" applyAlignment="1">
      <alignment horizontal="center" vertical="center"/>
    </xf>
    <xf numFmtId="0" fontId="5" fillId="22" borderId="167" xfId="0" applyFont="1" applyFill="1" applyBorder="1" applyAlignment="1">
      <alignment horizontal="center" vertical="center"/>
    </xf>
    <xf numFmtId="0" fontId="14" fillId="3" borderId="162" xfId="0" applyFont="1" applyFill="1" applyBorder="1" applyAlignment="1">
      <alignment horizontal="center" vertical="center"/>
    </xf>
    <xf numFmtId="0" fontId="5" fillId="7" borderId="162" xfId="0" applyFont="1" applyFill="1" applyBorder="1" applyAlignment="1">
      <alignment horizontal="center" vertical="center" wrapText="1"/>
    </xf>
    <xf numFmtId="0" fontId="14" fillId="22" borderId="162" xfId="0" applyFont="1" applyFill="1" applyBorder="1" applyAlignment="1">
      <alignment horizontal="center" vertical="center"/>
    </xf>
    <xf numFmtId="44" fontId="5" fillId="26" borderId="148" xfId="2" applyFont="1" applyFill="1" applyBorder="1" applyAlignment="1" applyProtection="1">
      <alignment horizontal="center" vertical="center" wrapText="1"/>
    </xf>
    <xf numFmtId="0" fontId="8" fillId="0" borderId="152" xfId="0" applyFont="1" applyBorder="1" applyAlignment="1">
      <alignment horizontal="center" vertical="center" wrapText="1"/>
    </xf>
    <xf numFmtId="0" fontId="14" fillId="7" borderId="158" xfId="0" applyFont="1" applyFill="1" applyBorder="1" applyAlignment="1">
      <alignment horizontal="center" vertical="center"/>
    </xf>
    <xf numFmtId="0" fontId="5" fillId="22" borderId="159" xfId="0" applyFont="1" applyFill="1" applyBorder="1" applyAlignment="1">
      <alignment horizontal="center" vertical="center"/>
    </xf>
    <xf numFmtId="0" fontId="14" fillId="3" borderId="154" xfId="0" applyFont="1" applyFill="1" applyBorder="1" applyAlignment="1">
      <alignment horizontal="center" vertical="center"/>
    </xf>
    <xf numFmtId="0" fontId="5" fillId="7" borderId="154" xfId="0" applyFont="1" applyFill="1" applyBorder="1" applyAlignment="1">
      <alignment horizontal="center" vertical="center" wrapText="1"/>
    </xf>
    <xf numFmtId="0" fontId="14" fillId="22" borderId="154" xfId="0" applyFont="1" applyFill="1" applyBorder="1" applyAlignment="1">
      <alignment horizontal="center" vertical="center"/>
    </xf>
    <xf numFmtId="44" fontId="5" fillId="26" borderId="156" xfId="2" applyFont="1" applyFill="1" applyBorder="1" applyAlignment="1" applyProtection="1">
      <alignment horizontal="center" vertical="center" wrapText="1"/>
    </xf>
    <xf numFmtId="44" fontId="5" fillId="26" borderId="164" xfId="2" applyFont="1" applyFill="1" applyBorder="1" applyAlignment="1" applyProtection="1">
      <alignment horizontal="center" vertical="center" wrapText="1"/>
    </xf>
    <xf numFmtId="0" fontId="8" fillId="0" borderId="168" xfId="0" applyFont="1" applyBorder="1" applyAlignment="1">
      <alignment horizontal="center" vertical="center" wrapText="1"/>
    </xf>
    <xf numFmtId="0" fontId="14" fillId="7" borderId="174" xfId="0" applyFont="1" applyFill="1" applyBorder="1" applyAlignment="1">
      <alignment horizontal="center" vertical="center"/>
    </xf>
    <xf numFmtId="0" fontId="5" fillId="22" borderId="175" xfId="0" applyFont="1" applyFill="1" applyBorder="1" applyAlignment="1">
      <alignment horizontal="center" vertical="center"/>
    </xf>
    <xf numFmtId="0" fontId="14" fillId="3" borderId="170" xfId="0" applyFont="1" applyFill="1" applyBorder="1" applyAlignment="1">
      <alignment horizontal="center" vertical="center"/>
    </xf>
    <xf numFmtId="0" fontId="14" fillId="22" borderId="170" xfId="0" applyFont="1" applyFill="1" applyBorder="1" applyAlignment="1">
      <alignment horizontal="center" vertical="center"/>
    </xf>
    <xf numFmtId="44" fontId="5" fillId="26" borderId="172" xfId="2" applyFont="1" applyFill="1" applyBorder="1" applyAlignment="1" applyProtection="1">
      <alignment horizontal="center" vertical="center" wrapText="1"/>
    </xf>
    <xf numFmtId="0" fontId="8" fillId="0" borderId="176" xfId="0" applyFont="1" applyBorder="1" applyAlignment="1">
      <alignment horizontal="center" vertical="center" wrapText="1"/>
    </xf>
    <xf numFmtId="0" fontId="14" fillId="7" borderId="182" xfId="0" applyFont="1" applyFill="1" applyBorder="1" applyAlignment="1">
      <alignment horizontal="center" vertical="center"/>
    </xf>
    <xf numFmtId="0" fontId="5" fillId="22" borderId="183" xfId="0" applyFont="1" applyFill="1" applyBorder="1" applyAlignment="1">
      <alignment horizontal="center" vertical="center"/>
    </xf>
    <xf numFmtId="0" fontId="14" fillId="3" borderId="178" xfId="0" applyFont="1" applyFill="1" applyBorder="1" applyAlignment="1">
      <alignment horizontal="center" vertical="center"/>
    </xf>
    <xf numFmtId="0" fontId="5" fillId="7" borderId="178" xfId="0" applyFont="1" applyFill="1" applyBorder="1" applyAlignment="1">
      <alignment horizontal="center" vertical="center" wrapText="1"/>
    </xf>
    <xf numFmtId="0" fontId="14" fillId="22" borderId="178" xfId="0" applyFont="1" applyFill="1" applyBorder="1" applyAlignment="1">
      <alignment horizontal="center" vertical="center"/>
    </xf>
    <xf numFmtId="44" fontId="5" fillId="26" borderId="180" xfId="2" applyFont="1" applyFill="1" applyBorder="1" applyAlignment="1" applyProtection="1">
      <alignment horizontal="center" vertical="center" wrapText="1"/>
    </xf>
    <xf numFmtId="0" fontId="8" fillId="0" borderId="184" xfId="0" applyFont="1" applyBorder="1" applyAlignment="1">
      <alignment horizontal="center" vertical="center" wrapText="1"/>
    </xf>
    <xf numFmtId="0" fontId="3" fillId="0" borderId="0" xfId="5" applyAlignment="1" applyProtection="1">
      <alignment horizontal="center" vertical="center" wrapText="1"/>
    </xf>
    <xf numFmtId="0" fontId="3" fillId="0" borderId="0" xfId="5" applyAlignment="1" applyProtection="1">
      <alignment horizontal="center" vertical="center"/>
    </xf>
    <xf numFmtId="0" fontId="9" fillId="42" borderId="44" xfId="0" applyFont="1" applyFill="1" applyBorder="1" applyAlignment="1">
      <alignment horizontal="center" vertical="center"/>
    </xf>
    <xf numFmtId="0" fontId="9" fillId="42" borderId="45" xfId="0" applyFont="1" applyFill="1" applyBorder="1" applyAlignment="1">
      <alignment horizontal="center" vertical="center"/>
    </xf>
    <xf numFmtId="0" fontId="5" fillId="0" borderId="0" xfId="0" applyFont="1" applyAlignment="1">
      <alignment horizontal="center" vertical="center"/>
    </xf>
    <xf numFmtId="0" fontId="5" fillId="7" borderId="193" xfId="0" applyFont="1" applyFill="1" applyBorder="1" applyAlignment="1">
      <alignment horizontal="center" vertical="center" wrapText="1"/>
    </xf>
    <xf numFmtId="0" fontId="5" fillId="7" borderId="198" xfId="0" applyFont="1" applyFill="1" applyBorder="1" applyAlignment="1">
      <alignment horizontal="center" vertical="center" wrapText="1"/>
    </xf>
    <xf numFmtId="0" fontId="5" fillId="7" borderId="201" xfId="0" applyFont="1" applyFill="1" applyBorder="1" applyAlignment="1">
      <alignment horizontal="center" vertical="center" wrapText="1"/>
    </xf>
    <xf numFmtId="0" fontId="5" fillId="7" borderId="202" xfId="0" applyFont="1" applyFill="1" applyBorder="1" applyAlignment="1">
      <alignment horizontal="center" vertical="center" wrapText="1"/>
    </xf>
    <xf numFmtId="0" fontId="5" fillId="7" borderId="199" xfId="0" applyFont="1" applyFill="1" applyBorder="1" applyAlignment="1">
      <alignment horizontal="center" vertical="center"/>
    </xf>
    <xf numFmtId="0" fontId="5" fillId="7" borderId="203" xfId="0" applyFont="1" applyFill="1" applyBorder="1" applyAlignment="1">
      <alignment horizontal="center" vertical="center"/>
    </xf>
    <xf numFmtId="0" fontId="5" fillId="7" borderId="199" xfId="0" applyFont="1" applyFill="1" applyBorder="1" applyAlignment="1">
      <alignment horizontal="center" vertical="center" wrapText="1"/>
    </xf>
    <xf numFmtId="0" fontId="5" fillId="7" borderId="203" xfId="0" applyFont="1" applyFill="1" applyBorder="1" applyAlignment="1">
      <alignment horizontal="center" vertical="center" wrapText="1"/>
    </xf>
    <xf numFmtId="0" fontId="13" fillId="7" borderId="200" xfId="0" applyFont="1" applyFill="1" applyBorder="1" applyAlignment="1">
      <alignment horizontal="center" vertical="center" wrapText="1"/>
    </xf>
    <xf numFmtId="0" fontId="13" fillId="7" borderId="194" xfId="0" applyFont="1" applyFill="1" applyBorder="1" applyAlignment="1">
      <alignment horizontal="center" vertical="center" wrapText="1"/>
    </xf>
    <xf numFmtId="0" fontId="13" fillId="7" borderId="195" xfId="0" applyFont="1" applyFill="1" applyBorder="1" applyAlignment="1">
      <alignment horizontal="center" vertical="center" wrapText="1"/>
    </xf>
    <xf numFmtId="0" fontId="5" fillId="41" borderId="16" xfId="0" applyFont="1" applyFill="1" applyBorder="1" applyAlignment="1">
      <alignment horizontal="center" vertical="center" wrapText="1"/>
    </xf>
    <xf numFmtId="0" fontId="5" fillId="41" borderId="19" xfId="0" applyFont="1" applyFill="1" applyBorder="1" applyAlignment="1">
      <alignment horizontal="center" vertical="center" wrapText="1"/>
    </xf>
    <xf numFmtId="0" fontId="9" fillId="42" borderId="214" xfId="0" applyFont="1" applyFill="1" applyBorder="1" applyAlignment="1">
      <alignment horizontal="center" vertical="center"/>
    </xf>
    <xf numFmtId="0" fontId="9" fillId="42" borderId="82" xfId="0" applyFont="1" applyFill="1" applyBorder="1" applyAlignment="1">
      <alignment horizontal="center" vertical="center"/>
    </xf>
    <xf numFmtId="0" fontId="9" fillId="43" borderId="214" xfId="0" applyFont="1" applyFill="1" applyBorder="1" applyAlignment="1">
      <alignment horizontal="center" vertical="center"/>
    </xf>
    <xf numFmtId="0" fontId="9" fillId="43" borderId="80" xfId="0" applyFont="1" applyFill="1" applyBorder="1" applyAlignment="1">
      <alignment horizontal="center" vertical="center"/>
    </xf>
    <xf numFmtId="0" fontId="9" fillId="37" borderId="82" xfId="0" applyFont="1" applyFill="1" applyBorder="1" applyAlignment="1">
      <alignment horizontal="center" vertical="center"/>
    </xf>
    <xf numFmtId="0" fontId="9" fillId="37" borderId="80" xfId="0" applyFont="1" applyFill="1" applyBorder="1" applyAlignment="1">
      <alignment horizontal="center" vertical="center"/>
    </xf>
    <xf numFmtId="0" fontId="5" fillId="7" borderId="16"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22" borderId="230" xfId="0" applyFont="1" applyFill="1" applyBorder="1" applyAlignment="1">
      <alignment horizontal="center" vertical="center" wrapText="1"/>
    </xf>
    <xf numFmtId="0" fontId="5" fillId="22" borderId="210" xfId="0" applyFont="1" applyFill="1" applyBorder="1" applyAlignment="1">
      <alignment horizontal="center" vertical="center" wrapText="1"/>
    </xf>
    <xf numFmtId="0" fontId="14" fillId="3" borderId="291" xfId="0" applyFont="1" applyFill="1" applyBorder="1" applyAlignment="1">
      <alignment horizontal="center" vertical="center" wrapText="1"/>
    </xf>
    <xf numFmtId="0" fontId="14" fillId="3" borderId="203" xfId="0" applyFont="1" applyFill="1" applyBorder="1" applyAlignment="1">
      <alignment horizontal="center" vertical="center" wrapText="1"/>
    </xf>
    <xf numFmtId="0" fontId="14" fillId="7" borderId="246"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9" fillId="43" borderId="44" xfId="0" applyFont="1" applyFill="1" applyBorder="1" applyAlignment="1">
      <alignment horizontal="center" vertical="center"/>
    </xf>
    <xf numFmtId="0" fontId="9" fillId="43" borderId="47" xfId="0" applyFont="1" applyFill="1" applyBorder="1" applyAlignment="1">
      <alignment horizontal="center" vertical="center"/>
    </xf>
    <xf numFmtId="0" fontId="9" fillId="37" borderId="66" xfId="0" applyFont="1" applyFill="1" applyBorder="1" applyAlignment="1">
      <alignment horizontal="center" vertical="center"/>
    </xf>
    <xf numFmtId="0" fontId="9" fillId="37" borderId="47" xfId="0" applyFont="1" applyFill="1" applyBorder="1" applyAlignment="1">
      <alignment horizontal="center" vertical="center"/>
    </xf>
    <xf numFmtId="0" fontId="9" fillId="42" borderId="49" xfId="0" applyFont="1" applyFill="1" applyBorder="1" applyAlignment="1">
      <alignment horizontal="center" vertical="center"/>
    </xf>
    <xf numFmtId="0" fontId="9" fillId="42" borderId="48" xfId="0" applyFont="1" applyFill="1" applyBorder="1" applyAlignment="1">
      <alignment horizontal="center" vertical="center"/>
    </xf>
    <xf numFmtId="0" fontId="9" fillId="43" borderId="49" xfId="0" applyFont="1" applyFill="1" applyBorder="1" applyAlignment="1">
      <alignment horizontal="center" vertical="center"/>
    </xf>
    <xf numFmtId="0" fontId="9" fillId="43" borderId="48" xfId="0" applyFont="1" applyFill="1" applyBorder="1" applyAlignment="1">
      <alignment horizontal="center" vertical="center"/>
    </xf>
    <xf numFmtId="0" fontId="9" fillId="37" borderId="49" xfId="0" applyFont="1" applyFill="1" applyBorder="1" applyAlignment="1">
      <alignment horizontal="center" vertical="center"/>
    </xf>
    <xf numFmtId="0" fontId="9" fillId="37" borderId="48" xfId="0" applyFont="1" applyFill="1" applyBorder="1" applyAlignment="1">
      <alignment horizontal="center" vertical="center"/>
    </xf>
    <xf numFmtId="0" fontId="34" fillId="56" borderId="16" xfId="8" applyFont="1" applyFill="1" applyBorder="1" applyAlignment="1">
      <alignment horizontal="center" vertical="center" textRotation="90" wrapText="1"/>
    </xf>
    <xf numFmtId="0" fontId="34" fillId="56" borderId="19" xfId="8" applyFont="1" applyFill="1" applyBorder="1" applyAlignment="1">
      <alignment horizontal="center" vertical="center" textRotation="90" wrapText="1"/>
    </xf>
    <xf numFmtId="0" fontId="34" fillId="56" borderId="27" xfId="8" applyFont="1" applyFill="1" applyBorder="1" applyAlignment="1">
      <alignment horizontal="center" vertical="center" textRotation="90" wrapText="1"/>
    </xf>
    <xf numFmtId="0" fontId="34" fillId="56" borderId="230" xfId="8" applyFont="1" applyFill="1" applyBorder="1" applyAlignment="1">
      <alignment horizontal="left" vertical="center" wrapText="1"/>
    </xf>
    <xf numFmtId="0" fontId="34" fillId="56" borderId="261" xfId="8" applyFont="1" applyFill="1" applyBorder="1" applyAlignment="1">
      <alignment horizontal="left" vertical="center" wrapText="1"/>
    </xf>
    <xf numFmtId="0" fontId="34" fillId="56" borderId="210" xfId="8" applyFont="1" applyFill="1" applyBorder="1" applyAlignment="1">
      <alignment horizontal="left" vertical="center" wrapText="1"/>
    </xf>
    <xf numFmtId="0" fontId="34" fillId="56" borderId="16" xfId="8" applyFont="1" applyFill="1" applyBorder="1" applyAlignment="1">
      <alignment horizontal="center" vertical="center" wrapText="1"/>
    </xf>
    <xf numFmtId="0" fontId="34" fillId="56" borderId="19" xfId="8" applyFont="1" applyFill="1" applyBorder="1" applyAlignment="1">
      <alignment horizontal="center" vertical="center" wrapText="1"/>
    </xf>
    <xf numFmtId="0" fontId="34" fillId="56" borderId="27" xfId="8" applyFont="1" applyFill="1" applyBorder="1" applyAlignment="1">
      <alignment horizontal="center" vertical="center" wrapText="1"/>
    </xf>
    <xf numFmtId="0" fontId="8" fillId="2" borderId="272" xfId="0" applyFont="1" applyFill="1" applyBorder="1" applyAlignment="1" applyProtection="1">
      <alignment horizontal="left" vertical="center" wrapText="1"/>
      <protection locked="0"/>
    </xf>
    <xf numFmtId="0" fontId="8" fillId="2" borderId="364" xfId="0" applyFont="1" applyFill="1" applyBorder="1" applyAlignment="1" applyProtection="1">
      <alignment horizontal="left" vertical="center" wrapText="1"/>
      <protection locked="0"/>
    </xf>
    <xf numFmtId="0" fontId="8" fillId="2" borderId="254" xfId="0" applyFont="1" applyFill="1" applyBorder="1" applyAlignment="1" applyProtection="1">
      <alignment horizontal="left" vertical="center" wrapText="1"/>
      <protection locked="0"/>
    </xf>
    <xf numFmtId="0" fontId="8" fillId="2" borderId="193" xfId="0" applyFont="1" applyFill="1" applyBorder="1" applyAlignment="1" applyProtection="1">
      <alignment horizontal="left" vertical="center" wrapText="1"/>
      <protection locked="0"/>
    </xf>
    <xf numFmtId="0" fontId="8" fillId="2" borderId="196" xfId="0" applyFont="1" applyFill="1" applyBorder="1" applyAlignment="1" applyProtection="1">
      <alignment horizontal="left" vertical="center" wrapText="1"/>
      <protection locked="0"/>
    </xf>
    <xf numFmtId="0" fontId="8" fillId="2" borderId="201" xfId="0" applyFont="1" applyFill="1" applyBorder="1" applyAlignment="1" applyProtection="1">
      <alignment horizontal="left" vertical="center" wrapText="1"/>
      <protection locked="0"/>
    </xf>
    <xf numFmtId="0" fontId="8" fillId="37" borderId="16" xfId="0" applyFont="1" applyFill="1" applyBorder="1" applyAlignment="1">
      <alignment horizontal="center" vertical="center" textRotation="90" wrapText="1"/>
    </xf>
    <xf numFmtId="0" fontId="8" fillId="37" borderId="19" xfId="0" applyFont="1" applyFill="1" applyBorder="1" applyAlignment="1">
      <alignment horizontal="center" vertical="center" textRotation="90" wrapText="1"/>
    </xf>
    <xf numFmtId="0" fontId="8" fillId="37" borderId="27" xfId="0" applyFont="1" applyFill="1" applyBorder="1" applyAlignment="1">
      <alignment horizontal="center" vertical="center" textRotation="90" wrapText="1"/>
    </xf>
    <xf numFmtId="0" fontId="8" fillId="37" borderId="16" xfId="0" applyFont="1" applyFill="1" applyBorder="1" applyAlignment="1">
      <alignment horizontal="left" vertical="center" wrapText="1"/>
    </xf>
    <xf numFmtId="0" fontId="8" fillId="37" borderId="19" xfId="0" applyFont="1" applyFill="1" applyBorder="1" applyAlignment="1">
      <alignment horizontal="left" vertical="center" wrapText="1"/>
    </xf>
    <xf numFmtId="0" fontId="8" fillId="37" borderId="27" xfId="0" applyFont="1" applyFill="1" applyBorder="1" applyAlignment="1">
      <alignment horizontal="left" vertical="center" wrapText="1"/>
    </xf>
    <xf numFmtId="0" fontId="19" fillId="37" borderId="197" xfId="0" applyFont="1" applyFill="1" applyBorder="1" applyAlignment="1">
      <alignment horizontal="center" vertical="center" textRotation="90" wrapText="1"/>
    </xf>
    <xf numFmtId="0" fontId="19" fillId="37" borderId="215" xfId="0" applyFont="1" applyFill="1" applyBorder="1" applyAlignment="1">
      <alignment horizontal="center" vertical="center" textRotation="90" wrapText="1"/>
    </xf>
    <xf numFmtId="0" fontId="8" fillId="2" borderId="376" xfId="0" applyFont="1" applyFill="1" applyBorder="1" applyAlignment="1" applyProtection="1">
      <alignment horizontal="left" vertical="center" wrapText="1"/>
      <protection locked="0"/>
    </xf>
    <xf numFmtId="0" fontId="8" fillId="2" borderId="377" xfId="0" applyFont="1" applyFill="1" applyBorder="1" applyAlignment="1" applyProtection="1">
      <alignment horizontal="left" vertical="center" wrapText="1"/>
      <protection locked="0"/>
    </xf>
    <xf numFmtId="0" fontId="8" fillId="2" borderId="190" xfId="0" applyFont="1" applyFill="1" applyBorder="1" applyAlignment="1">
      <alignment horizontal="center" vertical="center"/>
    </xf>
    <xf numFmtId="0" fontId="8" fillId="2" borderId="209" xfId="0" applyFont="1" applyFill="1" applyBorder="1" applyAlignment="1">
      <alignment horizontal="center" vertical="center"/>
    </xf>
    <xf numFmtId="0" fontId="17" fillId="0" borderId="0" xfId="0" applyFont="1" applyAlignment="1">
      <alignment horizontal="left" vertical="center" indent="2"/>
    </xf>
    <xf numFmtId="0" fontId="5" fillId="3" borderId="49" xfId="0" applyFont="1" applyFill="1" applyBorder="1" applyAlignment="1">
      <alignment horizontal="center" vertical="center" wrapText="1"/>
    </xf>
    <xf numFmtId="0" fontId="5" fillId="3" borderId="221" xfId="0" applyFont="1" applyFill="1" applyBorder="1" applyAlignment="1">
      <alignment horizontal="center" vertical="center" wrapText="1"/>
    </xf>
    <xf numFmtId="0" fontId="12" fillId="45" borderId="49" xfId="0" applyFont="1" applyFill="1" applyBorder="1" applyAlignment="1">
      <alignment horizontal="center" vertical="center"/>
    </xf>
    <xf numFmtId="0" fontId="12" fillId="45" borderId="56" xfId="0" applyFont="1" applyFill="1" applyBorder="1" applyAlignment="1">
      <alignment horizontal="center" vertical="center"/>
    </xf>
    <xf numFmtId="0" fontId="12" fillId="45" borderId="48" xfId="0" applyFont="1" applyFill="1" applyBorder="1" applyAlignment="1">
      <alignment horizontal="center" vertical="center"/>
    </xf>
    <xf numFmtId="0" fontId="8" fillId="7" borderId="56" xfId="0" applyFont="1" applyFill="1" applyBorder="1" applyAlignment="1">
      <alignment horizontal="center" vertical="center"/>
    </xf>
    <xf numFmtId="0" fontId="8" fillId="7" borderId="48" xfId="0" applyFont="1" applyFill="1" applyBorder="1" applyAlignment="1">
      <alignment horizontal="center" vertical="center"/>
    </xf>
    <xf numFmtId="0" fontId="8" fillId="0" borderId="223" xfId="0" applyFont="1" applyBorder="1" applyAlignment="1">
      <alignment horizontal="center" vertical="center" wrapText="1"/>
    </xf>
    <xf numFmtId="0" fontId="8" fillId="0" borderId="222" xfId="0" applyFont="1" applyBorder="1" applyAlignment="1">
      <alignment horizontal="center" vertical="center" wrapText="1"/>
    </xf>
    <xf numFmtId="0" fontId="8" fillId="0" borderId="221" xfId="0" applyFont="1" applyBorder="1" applyAlignment="1">
      <alignment horizontal="center" vertical="center" wrapText="1"/>
    </xf>
    <xf numFmtId="0" fontId="8" fillId="0" borderId="338" xfId="0" applyFont="1" applyBorder="1" applyAlignment="1">
      <alignment horizontal="center" vertical="center" wrapText="1"/>
    </xf>
    <xf numFmtId="0" fontId="8" fillId="0" borderId="335" xfId="0" applyFont="1" applyBorder="1" applyAlignment="1">
      <alignment horizontal="center" vertical="center" wrapText="1"/>
    </xf>
    <xf numFmtId="0" fontId="8" fillId="0" borderId="352" xfId="0" applyFont="1" applyBorder="1" applyAlignment="1">
      <alignment horizontal="center" vertical="center" wrapText="1"/>
    </xf>
    <xf numFmtId="0" fontId="17" fillId="21" borderId="0" xfId="0" applyFont="1" applyFill="1" applyAlignment="1">
      <alignment horizontal="left" vertical="center" indent="2"/>
    </xf>
    <xf numFmtId="0" fontId="5" fillId="7" borderId="198" xfId="0" applyFont="1" applyFill="1" applyBorder="1" applyAlignment="1">
      <alignment horizontal="center" vertical="center"/>
    </xf>
    <xf numFmtId="0" fontId="5" fillId="7" borderId="213" xfId="0" applyFont="1" applyFill="1" applyBorder="1" applyAlignment="1">
      <alignment horizontal="center" vertical="center"/>
    </xf>
    <xf numFmtId="0" fontId="8" fillId="21" borderId="16" xfId="0" applyFont="1" applyFill="1" applyBorder="1" applyAlignment="1">
      <alignment horizontal="center" vertical="center" wrapText="1"/>
    </xf>
    <xf numFmtId="0" fontId="8" fillId="21" borderId="19" xfId="0" applyFont="1" applyFill="1" applyBorder="1" applyAlignment="1">
      <alignment horizontal="center" vertical="center" wrapText="1"/>
    </xf>
    <xf numFmtId="0" fontId="8" fillId="21" borderId="27" xfId="0" applyFont="1" applyFill="1" applyBorder="1" applyAlignment="1">
      <alignment horizontal="center" vertical="center" wrapText="1"/>
    </xf>
    <xf numFmtId="179" fontId="8" fillId="35" borderId="195" xfId="0" applyNumberFormat="1" applyFont="1" applyFill="1" applyBorder="1" applyAlignment="1">
      <alignment horizontal="center" vertical="center"/>
    </xf>
    <xf numFmtId="179" fontId="8" fillId="35" borderId="197" xfId="0" applyNumberFormat="1" applyFont="1" applyFill="1" applyBorder="1" applyAlignment="1">
      <alignment horizontal="center" vertical="center"/>
    </xf>
    <xf numFmtId="179" fontId="8" fillId="35" borderId="215" xfId="0" applyNumberFormat="1" applyFont="1" applyFill="1" applyBorder="1" applyAlignment="1">
      <alignment horizontal="center" vertical="center"/>
    </xf>
    <xf numFmtId="0" fontId="5" fillId="7" borderId="200" xfId="0" applyFont="1" applyFill="1" applyBorder="1" applyAlignment="1">
      <alignment horizontal="center" vertical="center" wrapText="1"/>
    </xf>
    <xf numFmtId="0" fontId="5" fillId="7" borderId="216" xfId="0" applyFont="1" applyFill="1" applyBorder="1" applyAlignment="1">
      <alignment horizontal="center" vertical="center" wrapText="1"/>
    </xf>
    <xf numFmtId="0" fontId="5" fillId="7" borderId="272" xfId="0" applyFont="1" applyFill="1" applyBorder="1" applyAlignment="1">
      <alignment horizontal="center" vertical="center" wrapText="1"/>
    </xf>
    <xf numFmtId="0" fontId="5" fillId="7" borderId="254" xfId="0" applyFont="1" applyFill="1" applyBorder="1" applyAlignment="1">
      <alignment horizontal="center" vertical="center" wrapText="1"/>
    </xf>
    <xf numFmtId="0" fontId="5" fillId="7" borderId="266" xfId="0" applyFont="1" applyFill="1" applyBorder="1" applyAlignment="1">
      <alignment horizontal="center" vertical="center" wrapText="1"/>
    </xf>
    <xf numFmtId="0" fontId="5" fillId="7" borderId="259" xfId="0" applyFont="1" applyFill="1" applyBorder="1" applyAlignment="1">
      <alignment horizontal="center" vertical="center" wrapText="1"/>
    </xf>
    <xf numFmtId="0" fontId="5" fillId="7" borderId="195" xfId="0" applyFont="1" applyFill="1" applyBorder="1" applyAlignment="1">
      <alignment horizontal="center" vertical="center" wrapText="1"/>
    </xf>
    <xf numFmtId="0" fontId="5" fillId="7" borderId="215" xfId="0" applyFont="1" applyFill="1" applyBorder="1" applyAlignment="1">
      <alignment horizontal="center" vertical="center" wrapText="1"/>
    </xf>
    <xf numFmtId="0" fontId="5" fillId="44" borderId="230" xfId="0" applyFont="1" applyFill="1" applyBorder="1" applyAlignment="1">
      <alignment horizontal="center" vertical="center" wrapText="1"/>
    </xf>
    <xf numFmtId="0" fontId="5" fillId="44" borderId="261" xfId="0" applyFont="1" applyFill="1" applyBorder="1" applyAlignment="1">
      <alignment horizontal="center" vertical="center" wrapText="1"/>
    </xf>
    <xf numFmtId="0" fontId="5" fillId="44" borderId="231" xfId="0" applyFont="1" applyFill="1" applyBorder="1" applyAlignment="1">
      <alignment horizontal="center" vertical="center" wrapText="1"/>
    </xf>
    <xf numFmtId="0" fontId="5" fillId="44" borderId="212" xfId="0" applyFont="1" applyFill="1" applyBorder="1" applyAlignment="1">
      <alignment horizontal="center" vertical="center" wrapText="1"/>
    </xf>
    <xf numFmtId="0" fontId="8" fillId="21" borderId="193" xfId="0" applyFont="1" applyFill="1" applyBorder="1" applyAlignment="1">
      <alignment horizontal="center" vertical="center" wrapText="1"/>
    </xf>
    <xf numFmtId="0" fontId="8" fillId="21" borderId="196" xfId="0" applyFont="1" applyFill="1" applyBorder="1" applyAlignment="1">
      <alignment horizontal="center" vertical="center" wrapText="1"/>
    </xf>
    <xf numFmtId="0" fontId="8" fillId="21" borderId="201" xfId="0" applyFont="1" applyFill="1" applyBorder="1" applyAlignment="1">
      <alignment horizontal="center" vertical="center" wrapText="1"/>
    </xf>
    <xf numFmtId="0" fontId="8" fillId="2" borderId="232" xfId="0" applyFont="1" applyFill="1" applyBorder="1" applyAlignment="1">
      <alignment horizontal="center" vertical="center"/>
    </xf>
    <xf numFmtId="0" fontId="8" fillId="2" borderId="233" xfId="0" applyFont="1" applyFill="1" applyBorder="1" applyAlignment="1">
      <alignment horizontal="center" vertical="center"/>
    </xf>
    <xf numFmtId="0" fontId="0" fillId="48" borderId="218" xfId="0" applyFill="1" applyBorder="1" applyAlignment="1">
      <alignment horizontal="left" vertical="center" wrapText="1"/>
    </xf>
    <xf numFmtId="0" fontId="0" fillId="48" borderId="69" xfId="0" applyFill="1" applyBorder="1" applyAlignment="1">
      <alignment horizontal="left" vertical="center" wrapText="1"/>
    </xf>
    <xf numFmtId="0" fontId="0" fillId="48" borderId="217" xfId="0" applyFill="1" applyBorder="1" applyAlignment="1">
      <alignment horizontal="left" vertical="center" wrapText="1"/>
    </xf>
    <xf numFmtId="0" fontId="0" fillId="48" borderId="234" xfId="0" applyFill="1" applyBorder="1" applyAlignment="1">
      <alignment horizontal="left" vertical="center" wrapText="1"/>
    </xf>
    <xf numFmtId="0" fontId="0" fillId="48" borderId="0" xfId="0" applyFill="1" applyAlignment="1">
      <alignment horizontal="left" vertical="center" wrapText="1"/>
    </xf>
    <xf numFmtId="0" fontId="0" fillId="48" borderId="235" xfId="0" applyFill="1" applyBorder="1" applyAlignment="1">
      <alignment horizontal="left" vertical="center" wrapText="1"/>
    </xf>
    <xf numFmtId="0" fontId="0" fillId="48" borderId="207" xfId="0" applyFill="1" applyBorder="1" applyAlignment="1">
      <alignment horizontal="left" vertical="center" wrapText="1"/>
    </xf>
    <xf numFmtId="0" fontId="0" fillId="48" borderId="236" xfId="0" applyFill="1" applyBorder="1" applyAlignment="1">
      <alignment horizontal="left" vertical="center" wrapText="1"/>
    </xf>
    <xf numFmtId="0" fontId="0" fillId="48" borderId="237" xfId="0" applyFill="1" applyBorder="1" applyAlignment="1">
      <alignment horizontal="left" vertical="center" wrapText="1"/>
    </xf>
    <xf numFmtId="0" fontId="5" fillId="3" borderId="311" xfId="0" applyFont="1" applyFill="1" applyBorder="1" applyAlignment="1">
      <alignment horizontal="center" vertical="center" wrapText="1"/>
    </xf>
    <xf numFmtId="0" fontId="5" fillId="3" borderId="219"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69" xfId="0" applyFont="1" applyFill="1" applyBorder="1" applyAlignment="1">
      <alignment horizontal="center" vertical="center" wrapText="1"/>
    </xf>
    <xf numFmtId="168" fontId="12" fillId="13" borderId="309" xfId="0" applyNumberFormat="1" applyFont="1" applyFill="1" applyBorder="1" applyAlignment="1">
      <alignment horizontal="center" vertical="center" wrapText="1"/>
    </xf>
    <xf numFmtId="168" fontId="12" fillId="13" borderId="295" xfId="0" applyNumberFormat="1" applyFont="1" applyFill="1" applyBorder="1" applyAlignment="1">
      <alignment horizontal="center" vertical="center" wrapText="1"/>
    </xf>
    <xf numFmtId="168" fontId="12" fillId="13" borderId="296" xfId="0" applyNumberFormat="1" applyFont="1" applyFill="1" applyBorder="1" applyAlignment="1">
      <alignment horizontal="center" vertical="center" wrapText="1"/>
    </xf>
    <xf numFmtId="167" fontId="5" fillId="7" borderId="66" xfId="7" applyFont="1" applyFill="1" applyBorder="1" applyAlignment="1">
      <alignment horizontal="center" vertical="center"/>
    </xf>
    <xf numFmtId="167" fontId="5" fillId="7" borderId="46" xfId="7" applyFont="1" applyFill="1" applyBorder="1" applyAlignment="1">
      <alignment horizontal="center" vertical="center"/>
    </xf>
    <xf numFmtId="167" fontId="5" fillId="7" borderId="45" xfId="7" applyFont="1" applyFill="1" applyBorder="1" applyAlignment="1">
      <alignment horizontal="center" vertical="center"/>
    </xf>
    <xf numFmtId="0" fontId="5" fillId="7" borderId="309" xfId="0" applyFont="1" applyFill="1" applyBorder="1" applyAlignment="1">
      <alignment horizontal="center" vertical="center"/>
    </xf>
    <xf numFmtId="0" fontId="5" fillId="7" borderId="296" xfId="0" applyFont="1" applyFill="1" applyBorder="1" applyAlignment="1">
      <alignment horizontal="center" vertical="center"/>
    </xf>
    <xf numFmtId="0" fontId="5" fillId="7" borderId="66" xfId="0" applyFont="1" applyFill="1" applyBorder="1" applyAlignment="1">
      <alignment horizontal="center" vertical="center"/>
    </xf>
    <xf numFmtId="0" fontId="5" fillId="7" borderId="47" xfId="0" applyFont="1" applyFill="1" applyBorder="1" applyAlignment="1">
      <alignment horizontal="center" vertical="center"/>
    </xf>
    <xf numFmtId="0" fontId="13" fillId="0" borderId="311" xfId="0" applyFont="1" applyBorder="1" applyAlignment="1">
      <alignment horizontal="center" vertical="center" wrapText="1"/>
    </xf>
    <xf numFmtId="0" fontId="13" fillId="0" borderId="326" xfId="0" applyFont="1" applyBorder="1" applyAlignment="1">
      <alignment horizontal="center" vertical="center" wrapText="1"/>
    </xf>
    <xf numFmtId="0" fontId="13" fillId="0" borderId="219" xfId="0" applyFont="1" applyBorder="1" applyAlignment="1">
      <alignment horizontal="center" vertical="center" wrapText="1"/>
    </xf>
    <xf numFmtId="0" fontId="13" fillId="0" borderId="329" xfId="0" applyFont="1" applyBorder="1" applyAlignment="1">
      <alignment horizontal="center" vertical="center" wrapText="1"/>
    </xf>
    <xf numFmtId="0" fontId="5" fillId="7" borderId="48"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5" fillId="25" borderId="0" xfId="0" applyFont="1" applyFill="1" applyAlignment="1">
      <alignment horizontal="center" vertical="center"/>
    </xf>
    <xf numFmtId="0" fontId="8" fillId="2" borderId="249" xfId="0" applyFont="1" applyFill="1" applyBorder="1" applyAlignment="1" applyProtection="1">
      <alignment horizontal="center" vertical="center"/>
      <protection locked="0"/>
    </xf>
    <xf numFmtId="0" fontId="8" fillId="2" borderId="250" xfId="0" applyFont="1" applyFill="1" applyBorder="1" applyAlignment="1" applyProtection="1">
      <alignment horizontal="center" vertical="center"/>
      <protection locked="0"/>
    </xf>
    <xf numFmtId="0" fontId="24" fillId="25" borderId="0" xfId="0" applyFont="1" applyFill="1" applyAlignment="1">
      <alignment horizontal="left" vertical="center"/>
    </xf>
    <xf numFmtId="0" fontId="8" fillId="2" borderId="244" xfId="0" applyFont="1" applyFill="1" applyBorder="1" applyAlignment="1">
      <alignment horizontal="center" vertical="center"/>
    </xf>
    <xf numFmtId="0" fontId="8" fillId="2" borderId="248" xfId="0" applyFont="1" applyFill="1" applyBorder="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1" fontId="0" fillId="25" borderId="0" xfId="0" applyNumberFormat="1" applyFill="1" applyAlignment="1">
      <alignment horizontal="center" vertical="center"/>
    </xf>
    <xf numFmtId="0" fontId="45" fillId="0" borderId="455" xfId="0" applyFont="1" applyBorder="1" applyAlignment="1">
      <alignment horizontal="left"/>
    </xf>
    <xf numFmtId="0" fontId="45" fillId="0" borderId="453" xfId="0" applyFont="1" applyBorder="1" applyAlignment="1">
      <alignment horizontal="left"/>
    </xf>
    <xf numFmtId="0" fontId="45" fillId="0" borderId="438" xfId="0" applyFont="1" applyBorder="1" applyAlignment="1">
      <alignment horizontal="left"/>
    </xf>
    <xf numFmtId="0" fontId="66" fillId="2" borderId="214" xfId="0" applyFont="1" applyFill="1" applyBorder="1" applyAlignment="1">
      <alignment horizontal="center"/>
    </xf>
    <xf numFmtId="0" fontId="67" fillId="2" borderId="82" xfId="0" applyFont="1" applyFill="1" applyBorder="1" applyAlignment="1">
      <alignment horizontal="center"/>
    </xf>
    <xf numFmtId="0" fontId="67" fillId="2" borderId="80" xfId="0" applyFont="1" applyFill="1" applyBorder="1" applyAlignment="1">
      <alignment horizontal="center"/>
    </xf>
    <xf numFmtId="0" fontId="5" fillId="0" borderId="226" xfId="0" applyFont="1" applyBorder="1" applyAlignment="1">
      <alignment horizontal="center"/>
    </xf>
    <xf numFmtId="0" fontId="5" fillId="0" borderId="427" xfId="0" applyFont="1" applyBorder="1" applyAlignment="1">
      <alignment horizontal="center"/>
    </xf>
    <xf numFmtId="0" fontId="5" fillId="0" borderId="428" xfId="0" applyFont="1" applyBorder="1" applyAlignment="1">
      <alignment horizontal="center"/>
    </xf>
    <xf numFmtId="0" fontId="8" fillId="2" borderId="244" xfId="0" applyFont="1" applyFill="1" applyBorder="1" applyAlignment="1" applyProtection="1">
      <alignment horizontal="center" vertical="center"/>
      <protection locked="0"/>
    </xf>
    <xf numFmtId="0" fontId="8" fillId="2" borderId="256" xfId="0" applyFont="1" applyFill="1" applyBorder="1" applyAlignment="1" applyProtection="1">
      <alignment horizontal="center" vertical="center"/>
      <protection locked="0"/>
    </xf>
    <xf numFmtId="0" fontId="8" fillId="2" borderId="248" xfId="0" applyFont="1" applyFill="1" applyBorder="1" applyAlignment="1" applyProtection="1">
      <alignment horizontal="center" vertical="center"/>
      <protection locked="0"/>
    </xf>
    <xf numFmtId="0" fontId="3" fillId="0" borderId="0" xfId="5" applyBorder="1" applyAlignment="1" applyProtection="1">
      <alignment horizontal="left" vertical="center" indent="2"/>
    </xf>
  </cellXfs>
  <cellStyles count="30">
    <cellStyle name="Hipervínculo" xfId="5" builtinId="8"/>
    <cellStyle name="Millares" xfId="1" builtinId="3"/>
    <cellStyle name="Millares [0]" xfId="12" builtinId="6"/>
    <cellStyle name="Millares [0] 2" xfId="27" xr:uid="{00000000-0005-0000-0000-000003000000}"/>
    <cellStyle name="Millares 2" xfId="24" xr:uid="{00000000-0005-0000-0000-000004000000}"/>
    <cellStyle name="Moneda" xfId="2" builtinId="4"/>
    <cellStyle name="Moneda [0]" xfId="3" builtinId="7"/>
    <cellStyle name="Moneda [0] 2" xfId="18" xr:uid="{00000000-0005-0000-0000-000007000000}"/>
    <cellStyle name="Moneda [0] 2 2" xfId="29" xr:uid="{00000000-0005-0000-0000-000008000000}"/>
    <cellStyle name="Moneda [0] 3" xfId="26" xr:uid="{00000000-0005-0000-0000-000009000000}"/>
    <cellStyle name="Moneda [0] 4" xfId="16" xr:uid="{00000000-0005-0000-0000-00000A000000}"/>
    <cellStyle name="Moneda [0] 5" xfId="20" xr:uid="{00000000-0005-0000-0000-00000B000000}"/>
    <cellStyle name="Moneda 10" xfId="15" xr:uid="{00000000-0005-0000-0000-00000C000000}"/>
    <cellStyle name="Moneda 2" xfId="7" xr:uid="{00000000-0005-0000-0000-00000D000000}"/>
    <cellStyle name="Moneda 2 2" xfId="11" xr:uid="{00000000-0005-0000-0000-00000E000000}"/>
    <cellStyle name="Moneda 3" xfId="17" xr:uid="{00000000-0005-0000-0000-00000F000000}"/>
    <cellStyle name="Moneda 3 2" xfId="28" xr:uid="{00000000-0005-0000-0000-000010000000}"/>
    <cellStyle name="Moneda 4" xfId="25" xr:uid="{00000000-0005-0000-0000-000011000000}"/>
    <cellStyle name="Moneda 5" xfId="23" xr:uid="{00000000-0005-0000-0000-000012000000}"/>
    <cellStyle name="Normal" xfId="0" builtinId="0"/>
    <cellStyle name="Normal 2" xfId="8" xr:uid="{00000000-0005-0000-0000-000014000000}"/>
    <cellStyle name="Normal 5" xfId="22" xr:uid="{00000000-0005-0000-0000-000015000000}"/>
    <cellStyle name="Normal 6" xfId="13" xr:uid="{00000000-0005-0000-0000-000016000000}"/>
    <cellStyle name="Normal 8" xfId="14" xr:uid="{00000000-0005-0000-0000-000017000000}"/>
    <cellStyle name="Normal_A.Educacional" xfId="21" xr:uid="{00000000-0005-0000-0000-000018000000}"/>
    <cellStyle name="Normal_A.Institucional" xfId="19" xr:uid="{00000000-0005-0000-0000-000019000000}"/>
    <cellStyle name="Normal_A.Recreativa" xfId="6" xr:uid="{00000000-0005-0000-0000-00001A000000}"/>
    <cellStyle name="Porcentaje" xfId="4" builtinId="5"/>
    <cellStyle name="Porcentaje 2" xfId="9" xr:uid="{00000000-0005-0000-0000-00001C000000}"/>
    <cellStyle name="Porcentaje 3" xfId="10" xr:uid="{00000000-0005-0000-0000-00001D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205;ndice Tabla'!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 Tabla'!A1"/></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hyperlink" Target="RESUMEN.xlsx" TargetMode="External"/><Relationship Id="rId1" Type="http://schemas.openxmlformats.org/officeDocument/2006/relationships/hyperlink" Target="#'&#205;ndice Tabla'!A1"/></Relationships>
</file>

<file path=xl/drawings/_rels/drawing3.xml.rels><?xml version="1.0" encoding="UTF-8" standalone="yes"?>
<Relationships xmlns="http://schemas.openxmlformats.org/package/2006/relationships"><Relationship Id="rId1" Type="http://schemas.openxmlformats.org/officeDocument/2006/relationships/hyperlink" Target="#'&#205;ndice Tabla'!A1"/></Relationships>
</file>

<file path=xl/drawings/_rels/drawing4.xml.rels><?xml version="1.0" encoding="UTF-8" standalone="yes"?>
<Relationships xmlns="http://schemas.openxmlformats.org/package/2006/relationships"><Relationship Id="rId1" Type="http://schemas.openxmlformats.org/officeDocument/2006/relationships/hyperlink" Target="#'&#205;ndice Tabla'!A1"/></Relationships>
</file>

<file path=xl/drawings/_rels/drawing5.xml.rels><?xml version="1.0" encoding="UTF-8" standalone="yes"?>
<Relationships xmlns="http://schemas.openxmlformats.org/package/2006/relationships"><Relationship Id="rId2" Type="http://schemas.openxmlformats.org/officeDocument/2006/relationships/hyperlink" Target="#'&#205;ndice Tabla'!A1"/><Relationship Id="rId1" Type="http://schemas.openxmlformats.org/officeDocument/2006/relationships/hyperlink" Target="#'D) Costos Indirectos '!A1"/></Relationships>
</file>

<file path=xl/drawings/_rels/drawing6.xml.rels><?xml version="1.0" encoding="UTF-8" standalone="yes"?>
<Relationships xmlns="http://schemas.openxmlformats.org/package/2006/relationships"><Relationship Id="rId1" Type="http://schemas.openxmlformats.org/officeDocument/2006/relationships/hyperlink" Target="#'&#205;ndice Tabla'!A1"/></Relationships>
</file>

<file path=xl/drawings/_rels/drawing7.xml.rels><?xml version="1.0" encoding="UTF-8" standalone="yes"?>
<Relationships xmlns="http://schemas.openxmlformats.org/package/2006/relationships"><Relationship Id="rId1" Type="http://schemas.openxmlformats.org/officeDocument/2006/relationships/hyperlink" Target="#'&#205;ndice Tabla'!A1"/></Relationships>
</file>

<file path=xl/drawings/_rels/drawing8.xml.rels><?xml version="1.0" encoding="UTF-8" standalone="yes"?>
<Relationships xmlns="http://schemas.openxmlformats.org/package/2006/relationships"><Relationship Id="rId1" Type="http://schemas.openxmlformats.org/officeDocument/2006/relationships/hyperlink" Target="#'&#205;ndice Tabla'!A1"/></Relationships>
</file>

<file path=xl/drawings/_rels/drawing9.xml.rels><?xml version="1.0" encoding="UTF-8" standalone="yes"?>
<Relationships xmlns="http://schemas.openxmlformats.org/package/2006/relationships"><Relationship Id="rId1" Type="http://schemas.openxmlformats.org/officeDocument/2006/relationships/hyperlink" Target="#'&#205;ndice Tabla'!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457200</xdr:colOff>
      <xdr:row>40</xdr:row>
      <xdr:rowOff>133350</xdr:rowOff>
    </xdr:to>
    <xdr:pic>
      <xdr:nvPicPr>
        <xdr:cNvPr id="2" name="Imagen 1">
          <a:extLst>
            <a:ext uri="{FF2B5EF4-FFF2-40B4-BE49-F238E27FC236}">
              <a16:creationId xmlns:a16="http://schemas.microsoft.com/office/drawing/2014/main" id="{006689C0-91DC-424D-996D-FB66AABC8A6B}"/>
            </a:ext>
          </a:extLst>
        </xdr:cNvPr>
        <xdr:cNvPicPr>
          <a:picLocks noChangeAspect="1"/>
        </xdr:cNvPicPr>
      </xdr:nvPicPr>
      <xdr:blipFill>
        <a:blip xmlns:r="http://schemas.openxmlformats.org/officeDocument/2006/relationships" r:embed="rId1"/>
        <a:stretch>
          <a:fillRect/>
        </a:stretch>
      </xdr:blipFill>
      <xdr:spPr>
        <a:xfrm>
          <a:off x="762000" y="952500"/>
          <a:ext cx="6553200" cy="6800850"/>
        </a:xfrm>
        <a:prstGeom prst="rect">
          <a:avLst/>
        </a:prstGeom>
      </xdr:spPr>
    </xdr:pic>
    <xdr:clientData/>
  </xdr:twoCellAnchor>
  <xdr:twoCellAnchor editAs="oneCell">
    <xdr:from>
      <xdr:col>13</xdr:col>
      <xdr:colOff>714374</xdr:colOff>
      <xdr:row>6</xdr:row>
      <xdr:rowOff>76200</xdr:rowOff>
    </xdr:from>
    <xdr:to>
      <xdr:col>21</xdr:col>
      <xdr:colOff>504825</xdr:colOff>
      <xdr:row>40</xdr:row>
      <xdr:rowOff>115209</xdr:rowOff>
    </xdr:to>
    <xdr:pic>
      <xdr:nvPicPr>
        <xdr:cNvPr id="3" name="Imagen 2">
          <a:extLst>
            <a:ext uri="{FF2B5EF4-FFF2-40B4-BE49-F238E27FC236}">
              <a16:creationId xmlns:a16="http://schemas.microsoft.com/office/drawing/2014/main" id="{98847503-C92E-4ECA-AB51-488B4D10B64E}"/>
            </a:ext>
          </a:extLst>
        </xdr:cNvPr>
        <xdr:cNvPicPr>
          <a:picLocks noChangeAspect="1"/>
        </xdr:cNvPicPr>
      </xdr:nvPicPr>
      <xdr:blipFill>
        <a:blip xmlns:r="http://schemas.openxmlformats.org/officeDocument/2006/relationships" r:embed="rId2"/>
        <a:stretch>
          <a:fillRect/>
        </a:stretch>
      </xdr:blipFill>
      <xdr:spPr>
        <a:xfrm>
          <a:off x="10620374" y="1219200"/>
          <a:ext cx="5886451" cy="6516009"/>
        </a:xfrm>
        <a:prstGeom prst="rect">
          <a:avLst/>
        </a:prstGeom>
      </xdr:spPr>
    </xdr:pic>
    <xdr:clientData/>
  </xdr:twoCellAnchor>
  <xdr:twoCellAnchor editAs="oneCell">
    <xdr:from>
      <xdr:col>1</xdr:col>
      <xdr:colOff>514351</xdr:colOff>
      <xdr:row>49</xdr:row>
      <xdr:rowOff>190499</xdr:rowOff>
    </xdr:from>
    <xdr:to>
      <xdr:col>9</xdr:col>
      <xdr:colOff>266701</xdr:colOff>
      <xdr:row>86</xdr:row>
      <xdr:rowOff>123824</xdr:rowOff>
    </xdr:to>
    <xdr:pic>
      <xdr:nvPicPr>
        <xdr:cNvPr id="4" name="Imagen 3">
          <a:extLst>
            <a:ext uri="{FF2B5EF4-FFF2-40B4-BE49-F238E27FC236}">
              <a16:creationId xmlns:a16="http://schemas.microsoft.com/office/drawing/2014/main" id="{9B0E74C0-20EF-42F1-8E9A-306506B1B684}"/>
            </a:ext>
          </a:extLst>
        </xdr:cNvPr>
        <xdr:cNvPicPr>
          <a:picLocks noChangeAspect="1"/>
        </xdr:cNvPicPr>
      </xdr:nvPicPr>
      <xdr:blipFill>
        <a:blip xmlns:r="http://schemas.openxmlformats.org/officeDocument/2006/relationships" r:embed="rId3"/>
        <a:stretch>
          <a:fillRect/>
        </a:stretch>
      </xdr:blipFill>
      <xdr:spPr>
        <a:xfrm>
          <a:off x="1276351" y="9524999"/>
          <a:ext cx="5848350" cy="6981825"/>
        </a:xfrm>
        <a:prstGeom prst="rect">
          <a:avLst/>
        </a:prstGeom>
      </xdr:spPr>
    </xdr:pic>
    <xdr:clientData/>
  </xdr:twoCellAnchor>
  <xdr:twoCellAnchor editAs="oneCell">
    <xdr:from>
      <xdr:col>14</xdr:col>
      <xdr:colOff>238125</xdr:colOff>
      <xdr:row>49</xdr:row>
      <xdr:rowOff>180975</xdr:rowOff>
    </xdr:from>
    <xdr:to>
      <xdr:col>21</xdr:col>
      <xdr:colOff>466725</xdr:colOff>
      <xdr:row>84</xdr:row>
      <xdr:rowOff>47625</xdr:rowOff>
    </xdr:to>
    <xdr:pic>
      <xdr:nvPicPr>
        <xdr:cNvPr id="5" name="Imagen 4">
          <a:extLst>
            <a:ext uri="{FF2B5EF4-FFF2-40B4-BE49-F238E27FC236}">
              <a16:creationId xmlns:a16="http://schemas.microsoft.com/office/drawing/2014/main" id="{0FE701A1-69E4-4C4E-8D1D-35C079D9CDE1}"/>
            </a:ext>
          </a:extLst>
        </xdr:cNvPr>
        <xdr:cNvPicPr>
          <a:picLocks noChangeAspect="1"/>
        </xdr:cNvPicPr>
      </xdr:nvPicPr>
      <xdr:blipFill>
        <a:blip xmlns:r="http://schemas.openxmlformats.org/officeDocument/2006/relationships" r:embed="rId4"/>
        <a:stretch>
          <a:fillRect/>
        </a:stretch>
      </xdr:blipFill>
      <xdr:spPr>
        <a:xfrm>
          <a:off x="10906125" y="9515475"/>
          <a:ext cx="5562600" cy="6534150"/>
        </a:xfrm>
        <a:prstGeom prst="rect">
          <a:avLst/>
        </a:prstGeom>
      </xdr:spPr>
    </xdr:pic>
    <xdr:clientData/>
  </xdr:twoCellAnchor>
  <xdr:twoCellAnchor editAs="oneCell">
    <xdr:from>
      <xdr:col>2</xdr:col>
      <xdr:colOff>0</xdr:colOff>
      <xdr:row>97</xdr:row>
      <xdr:rowOff>0</xdr:rowOff>
    </xdr:from>
    <xdr:to>
      <xdr:col>10</xdr:col>
      <xdr:colOff>257175</xdr:colOff>
      <xdr:row>119</xdr:row>
      <xdr:rowOff>143480</xdr:rowOff>
    </xdr:to>
    <xdr:pic>
      <xdr:nvPicPr>
        <xdr:cNvPr id="6" name="Imagen 5">
          <a:extLst>
            <a:ext uri="{FF2B5EF4-FFF2-40B4-BE49-F238E27FC236}">
              <a16:creationId xmlns:a16="http://schemas.microsoft.com/office/drawing/2014/main" id="{5409C7B3-E3F2-42C9-8120-45868F03E0BD}"/>
            </a:ext>
          </a:extLst>
        </xdr:cNvPr>
        <xdr:cNvPicPr>
          <a:picLocks noChangeAspect="1"/>
        </xdr:cNvPicPr>
      </xdr:nvPicPr>
      <xdr:blipFill>
        <a:blip xmlns:r="http://schemas.openxmlformats.org/officeDocument/2006/relationships" r:embed="rId5"/>
        <a:stretch>
          <a:fillRect/>
        </a:stretch>
      </xdr:blipFill>
      <xdr:spPr>
        <a:xfrm>
          <a:off x="1524000" y="18478500"/>
          <a:ext cx="6353175" cy="43344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547688</xdr:colOff>
      <xdr:row>5</xdr:row>
      <xdr:rowOff>-1</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bwMode="auto">
        <a:xfrm flipH="1">
          <a:off x="1219200" y="161925"/>
          <a:ext cx="2376488" cy="69532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5</xdr:row>
      <xdr:rowOff>66674</xdr:rowOff>
    </xdr:to>
    <xdr:sp macro="" textlink="">
      <xdr:nvSpPr>
        <xdr:cNvPr id="3" name="Flecha: a la derecha 3">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bwMode="auto">
        <a:xfrm flipH="1">
          <a:off x="762000" y="190500"/>
          <a:ext cx="1309688" cy="83819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752476</xdr:colOff>
      <xdr:row>3</xdr:row>
      <xdr:rowOff>95250</xdr:rowOff>
    </xdr:from>
    <xdr:to>
      <xdr:col>9</xdr:col>
      <xdr:colOff>552008</xdr:colOff>
      <xdr:row>51</xdr:row>
      <xdr:rowOff>17761</xdr:rowOff>
    </xdr:to>
    <xdr:pic>
      <xdr:nvPicPr>
        <xdr:cNvPr id="2" name="Imagen 1">
          <a:extLst>
            <a:ext uri="{FF2B5EF4-FFF2-40B4-BE49-F238E27FC236}">
              <a16:creationId xmlns:a16="http://schemas.microsoft.com/office/drawing/2014/main" id="{00000000-0008-0000-1800-000002000000}"/>
            </a:ext>
          </a:extLst>
        </xdr:cNvPr>
        <xdr:cNvPicPr>
          <a:picLocks noChangeAspect="1"/>
        </xdr:cNvPicPr>
      </xdr:nvPicPr>
      <xdr:blipFill rotWithShape="1">
        <a:blip xmlns:r="http://schemas.openxmlformats.org/officeDocument/2006/relationships" r:embed="rId1"/>
        <a:srcRect l="49954" t="-277" r="24288" b="-1"/>
        <a:stretch/>
      </xdr:blipFill>
      <xdr:spPr>
        <a:xfrm>
          <a:off x="752476" y="742950"/>
          <a:ext cx="8257732" cy="9066511"/>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95254</xdr:colOff>
      <xdr:row>0</xdr:row>
      <xdr:rowOff>71439</xdr:rowOff>
    </xdr:from>
    <xdr:to>
      <xdr:col>0</xdr:col>
      <xdr:colOff>1404942</xdr:colOff>
      <xdr:row>4</xdr:row>
      <xdr:rowOff>47625</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bwMode="auto">
        <a:xfrm flipH="1">
          <a:off x="95254" y="71439"/>
          <a:ext cx="1309688" cy="700086"/>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twoCellAnchor>
    <xdr:from>
      <xdr:col>1</xdr:col>
      <xdr:colOff>0</xdr:colOff>
      <xdr:row>1</xdr:row>
      <xdr:rowOff>0</xdr:rowOff>
    </xdr:from>
    <xdr:to>
      <xdr:col>1</xdr:col>
      <xdr:colOff>333375</xdr:colOff>
      <xdr:row>2</xdr:row>
      <xdr:rowOff>119063</xdr:rowOff>
    </xdr:to>
    <xdr:sp macro="" textlink="">
      <xdr:nvSpPr>
        <xdr:cNvPr id="3" name="Estrella: 5 puntas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bwMode="auto">
        <a:xfrm>
          <a:off x="2476500" y="161925"/>
          <a:ext cx="333375" cy="280988"/>
        </a:xfrm>
        <a:prstGeom prst="star5">
          <a:avLst/>
        </a:prstGeom>
        <a:solidFill>
          <a:srgbClr val="00206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s-CL"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559593</xdr:colOff>
      <xdr:row>3</xdr:row>
      <xdr:rowOff>83342</xdr:rowOff>
    </xdr:from>
    <xdr:to>
      <xdr:col>1</xdr:col>
      <xdr:colOff>0</xdr:colOff>
      <xdr:row>6</xdr:row>
      <xdr:rowOff>178591</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flipH="1">
          <a:off x="559593" y="569117"/>
          <a:ext cx="1735932" cy="72389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83342</xdr:colOff>
      <xdr:row>0</xdr:row>
      <xdr:rowOff>107164</xdr:rowOff>
    </xdr:from>
    <xdr:to>
      <xdr:col>0</xdr:col>
      <xdr:colOff>1393030</xdr:colOff>
      <xdr:row>4</xdr:row>
      <xdr:rowOff>71444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bwMode="auto">
        <a:xfrm flipH="1">
          <a:off x="83342" y="107164"/>
          <a:ext cx="1128713" cy="697705"/>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333375</xdr:colOff>
      <xdr:row>2</xdr:row>
      <xdr:rowOff>47625</xdr:rowOff>
    </xdr:from>
    <xdr:to>
      <xdr:col>32</xdr:col>
      <xdr:colOff>750093</xdr:colOff>
      <xdr:row>3</xdr:row>
      <xdr:rowOff>178593</xdr:rowOff>
    </xdr:to>
    <xdr:sp macro="" textlink="">
      <xdr:nvSpPr>
        <xdr:cNvPr id="2" name="Flecha derecha 5">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bwMode="auto">
        <a:xfrm rot="10800000">
          <a:off x="38490525" y="371475"/>
          <a:ext cx="416718" cy="292893"/>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24</xdr:col>
      <xdr:colOff>0</xdr:colOff>
      <xdr:row>3</xdr:row>
      <xdr:rowOff>0</xdr:rowOff>
    </xdr:from>
    <xdr:to>
      <xdr:col>24</xdr:col>
      <xdr:colOff>416718</xdr:colOff>
      <xdr:row>4</xdr:row>
      <xdr:rowOff>59531</xdr:rowOff>
    </xdr:to>
    <xdr:sp macro="" textlink="">
      <xdr:nvSpPr>
        <xdr:cNvPr id="3" name="Flecha derecha 6">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bwMode="auto">
        <a:xfrm rot="10800000">
          <a:off x="309276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20</xdr:col>
      <xdr:colOff>0</xdr:colOff>
      <xdr:row>3</xdr:row>
      <xdr:rowOff>0</xdr:rowOff>
    </xdr:from>
    <xdr:to>
      <xdr:col>20</xdr:col>
      <xdr:colOff>416718</xdr:colOff>
      <xdr:row>4</xdr:row>
      <xdr:rowOff>59531</xdr:rowOff>
    </xdr:to>
    <xdr:sp macro="" textlink="">
      <xdr:nvSpPr>
        <xdr:cNvPr id="4" name="Flecha derecha 7">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bwMode="auto">
        <a:xfrm rot="10800000">
          <a:off x="24526875"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12</xdr:col>
      <xdr:colOff>369094</xdr:colOff>
      <xdr:row>3</xdr:row>
      <xdr:rowOff>23813</xdr:rowOff>
    </xdr:from>
    <xdr:to>
      <xdr:col>12</xdr:col>
      <xdr:colOff>785812</xdr:colOff>
      <xdr:row>4</xdr:row>
      <xdr:rowOff>83344</xdr:rowOff>
    </xdr:to>
    <xdr:sp macro="" textlink="">
      <xdr:nvSpPr>
        <xdr:cNvPr id="5" name="Flecha derecha 8">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bwMode="auto">
        <a:xfrm rot="10800000">
          <a:off x="16590169" y="509588"/>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39</xdr:col>
      <xdr:colOff>0</xdr:colOff>
      <xdr:row>3</xdr:row>
      <xdr:rowOff>0</xdr:rowOff>
    </xdr:from>
    <xdr:to>
      <xdr:col>39</xdr:col>
      <xdr:colOff>416718</xdr:colOff>
      <xdr:row>4</xdr:row>
      <xdr:rowOff>59531</xdr:rowOff>
    </xdr:to>
    <xdr:sp macro="" textlink="">
      <xdr:nvSpPr>
        <xdr:cNvPr id="6" name="Flecha derecha 10">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bwMode="auto">
        <a:xfrm rot="10800000">
          <a:off x="44634150" y="485775"/>
          <a:ext cx="416718" cy="297656"/>
        </a:xfrm>
        <a:prstGeom prst="rightArrow">
          <a:avLst/>
        </a:prstGeom>
        <a:solidFill>
          <a:srgbClr val="0000CC"/>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L" sz="1100"/>
        </a:p>
      </xdr:txBody>
    </xdr:sp>
    <xdr:clientData/>
  </xdr:twoCellAnchor>
  <xdr:twoCellAnchor>
    <xdr:from>
      <xdr:col>1</xdr:col>
      <xdr:colOff>0</xdr:colOff>
      <xdr:row>2</xdr:row>
      <xdr:rowOff>0</xdr:rowOff>
    </xdr:from>
    <xdr:to>
      <xdr:col>1</xdr:col>
      <xdr:colOff>1309688</xdr:colOff>
      <xdr:row>5</xdr:row>
      <xdr:rowOff>142874</xdr:rowOff>
    </xdr:to>
    <xdr:sp macro="" textlink="">
      <xdr:nvSpPr>
        <xdr:cNvPr id="7" name="Flecha: a la derecha 1">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bwMode="auto">
        <a:xfrm flipH="1">
          <a:off x="838200" y="32385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95248</xdr:colOff>
      <xdr:row>0</xdr:row>
      <xdr:rowOff>130970</xdr:rowOff>
    </xdr:from>
    <xdr:to>
      <xdr:col>0</xdr:col>
      <xdr:colOff>1404936</xdr:colOff>
      <xdr:row>4</xdr:row>
      <xdr:rowOff>130969</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bwMode="auto">
        <a:xfrm flipH="1">
          <a:off x="95248" y="130970"/>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bwMode="auto">
        <a:xfrm flipH="1">
          <a:off x="22860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59530</xdr:colOff>
      <xdr:row>1</xdr:row>
      <xdr:rowOff>0</xdr:rowOff>
    </xdr:from>
    <xdr:to>
      <xdr:col>0</xdr:col>
      <xdr:colOff>1369218</xdr:colOff>
      <xdr:row>4</xdr:row>
      <xdr:rowOff>142874</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bwMode="auto">
        <a:xfrm flipH="1">
          <a:off x="59530" y="161925"/>
          <a:ext cx="1309688" cy="704849"/>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1309688</xdr:colOff>
      <xdr:row>5</xdr:row>
      <xdr:rowOff>66674</xdr:rowOff>
    </xdr:to>
    <xdr:sp macro="" textlink="">
      <xdr:nvSpPr>
        <xdr:cNvPr id="2" name="Flecha: a la derecha 3">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bwMode="auto">
        <a:xfrm flipH="1">
          <a:off x="762000" y="161925"/>
          <a:ext cx="1309688" cy="752474"/>
        </a:xfrm>
        <a:prstGeom prst="rightArrow">
          <a:avLst>
            <a:gd name="adj1" fmla="val 68919"/>
            <a:gd name="adj2" fmla="val 37302"/>
          </a:avLst>
        </a:prstGeom>
        <a:solidFill>
          <a:srgbClr val="00B0F0"/>
        </a:solidFill>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es-CL" sz="1200" b="1">
              <a:solidFill>
                <a:srgbClr val="FF0000"/>
              </a:solidFill>
            </a:rPr>
            <a:t>Regresar</a:t>
          </a:r>
        </a:p>
        <a:p>
          <a:pPr algn="ctr"/>
          <a:r>
            <a:rPr lang="es-CL" sz="1200" b="1">
              <a:solidFill>
                <a:srgbClr val="FF0000"/>
              </a:solidFill>
            </a:rPr>
            <a:t>Indice</a:t>
          </a:r>
          <a:r>
            <a:rPr lang="es-CL" sz="1200" b="1" baseline="0">
              <a:solidFill>
                <a:srgbClr val="FF0000"/>
              </a:solidFill>
            </a:rPr>
            <a:t> Tablas</a:t>
          </a:r>
        </a:p>
        <a:p>
          <a:pPr algn="ctr"/>
          <a:endParaRPr lang="es-CL" sz="12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196187308\Desktop\Tablas%20Antiguas\3000%20BIENVALP%20TARIFA%202022%20A.%20RECREATI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004%20ASISTENCIA%20RECREATIVA\TARIFAS\TARIFAS%202026\3000%20BIENVALP%20RECREATIVA%202026%20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Users\13426884\Desktop\PLANILLAS%20TARIFAS%202020%20(A.%20EDUCACIONAL)\PLANILLA%20TARIFAS%20A.%20EDUCACIONAL%202020%20(BIENTAL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004%20ASISTENCIA%20RECREATIVA\TARIFAS\TARIFAS%202026\3000%20BIENVAL%20RECREATIVA%202026%20RALUN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
      <sheetName val="Índice Tablas "/>
      <sheetName val="A) Resumen Ingresos y Egresos"/>
      <sheetName val="B) Reajuste Tarifas y Ocupación"/>
      <sheetName val="C) Estimación Costos Directos"/>
      <sheetName val="D) Costos Indirectos "/>
      <sheetName val="E) Resumen Tarifado "/>
      <sheetName val="F) Remuneraciones"/>
      <sheetName val="G) Comparación Mercado"/>
      <sheetName val="H) Detalle Datos"/>
      <sheetName val="I) Costo Desayuno"/>
      <sheetName val="J)ESTRUCTURA ECONOMICA MENS."/>
    </sheetNames>
    <sheetDataSet>
      <sheetData sheetId="0" refreshError="1"/>
      <sheetData sheetId="1" refreshError="1"/>
      <sheetData sheetId="2" refreshError="1"/>
      <sheetData sheetId="3" refreshError="1">
        <row r="5">
          <cell r="F5" t="str">
            <v>BIENVALP</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Índice Tabla"/>
      <sheetName val="A) Resumen Ingresos y Egresos"/>
      <sheetName val="B) Reajuste Tarifas y Ocupación"/>
      <sheetName val="% Reajuste"/>
      <sheetName val="C) Costos Directos"/>
      <sheetName val="VISTAMAR"/>
      <sheetName val="D) Costos Indirectos "/>
      <sheetName val="E) Resumen Tarifado "/>
      <sheetName val="F) Remuneraciones"/>
      <sheetName val="G) Comparación Mercado"/>
      <sheetName val="H) Detalle Datos"/>
      <sheetName val="I) Costo Desayuno"/>
      <sheetName val="J)Estructura Economica Mensu."/>
      <sheetName val="MARE NOSTRUM"/>
      <sheetName val="CRLS"/>
      <sheetName val="CPO"/>
      <sheetName val="RUR"/>
      <sheetName val="RUS"/>
      <sheetName val="ISLA DE PASCUA"/>
      <sheetName val="PAPUDO"/>
      <sheetName val="RALUNCO"/>
      <sheetName val="SEGUROS"/>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1">
          <cell r="D41">
            <v>1360920</v>
          </cell>
        </row>
        <row r="43">
          <cell r="D43">
            <v>1237200</v>
          </cell>
        </row>
        <row r="45">
          <cell r="D45">
            <v>824799.99999999988</v>
          </cell>
        </row>
        <row r="47">
          <cell r="D47">
            <v>1855799.9999999998</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Índice Tablas"/>
      <sheetName val="A) Resumen Ingresos y Egresos"/>
      <sheetName val="B) Reajuste Tarifas y Ocupación"/>
      <sheetName val="C) Costos Directos"/>
      <sheetName val="D) Costos Indirectos"/>
      <sheetName val="E) Resumen Tarifado "/>
      <sheetName val="F) Remuneraciones"/>
      <sheetName val="G) Comparación Mercado"/>
      <sheetName val="H) Detalle Datos"/>
    </sheetNames>
    <sheetDataSet>
      <sheetData sheetId="0"/>
      <sheetData sheetId="1"/>
      <sheetData sheetId="2"/>
      <sheetData sheetId="3">
        <row r="5">
          <cell r="F5" t="str">
            <v>(DEPTO./DELEG.)</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GENERAL"/>
      <sheetName val="ST 21 01 004"/>
      <sheetName val="ST 22 01 002"/>
      <sheetName val="ST 22 02 001"/>
      <sheetName val="ST 22 02 002"/>
      <sheetName val="ST 22 02 003"/>
      <sheetName val="ST 22 04 001"/>
      <sheetName val="ST 22 04 003"/>
      <sheetName val="ST 22 04 004"/>
      <sheetName val="ST 22 04 007"/>
      <sheetName val="ST 22 04 008"/>
      <sheetName val="ST 22 04 009"/>
      <sheetName val="ST 22 04 010"/>
      <sheetName val="ST 22 06 001"/>
      <sheetName val="ST 22 08 999"/>
      <sheetName val="ST 22 12 002"/>
    </sheetNames>
    <sheetDataSet>
      <sheetData sheetId="0"/>
      <sheetData sheetId="1"/>
      <sheetData sheetId="2"/>
      <sheetData sheetId="3">
        <row r="14">
          <cell r="G14">
            <v>350000</v>
          </cell>
        </row>
      </sheetData>
      <sheetData sheetId="4">
        <row r="16">
          <cell r="G16">
            <v>276500</v>
          </cell>
        </row>
      </sheetData>
      <sheetData sheetId="5">
        <row r="14">
          <cell r="G14">
            <v>264000</v>
          </cell>
        </row>
      </sheetData>
      <sheetData sheetId="6">
        <row r="29">
          <cell r="G29">
            <v>317310</v>
          </cell>
        </row>
      </sheetData>
      <sheetData sheetId="7"/>
      <sheetData sheetId="8">
        <row r="29">
          <cell r="G29">
            <v>160000</v>
          </cell>
        </row>
      </sheetData>
      <sheetData sheetId="9">
        <row r="34">
          <cell r="G34">
            <v>3333500</v>
          </cell>
        </row>
      </sheetData>
      <sheetData sheetId="10">
        <row r="29">
          <cell r="G29">
            <v>639480</v>
          </cell>
        </row>
      </sheetData>
      <sheetData sheetId="11"/>
      <sheetData sheetId="12">
        <row r="29">
          <cell r="G29">
            <v>3692640</v>
          </cell>
        </row>
      </sheetData>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2:N135"/>
  <sheetViews>
    <sheetView view="pageBreakPreview" zoomScaleNormal="100" zoomScaleSheetLayoutView="100" workbookViewId="0">
      <selection activeCell="N59" sqref="N59"/>
    </sheetView>
  </sheetViews>
  <sheetFormatPr baseColWidth="10" defaultColWidth="11.453125" defaultRowHeight="14.5" x14ac:dyDescent="0.35"/>
  <cols>
    <col min="1" max="16384" width="11.453125" style="157"/>
  </cols>
  <sheetData>
    <row r="2" spans="13:14" x14ac:dyDescent="0.35">
      <c r="N2" s="157" t="s">
        <v>512</v>
      </c>
    </row>
    <row r="8" spans="13:14" x14ac:dyDescent="0.35">
      <c r="M8" s="552"/>
    </row>
    <row r="9" spans="13:14" x14ac:dyDescent="0.35">
      <c r="M9" s="552"/>
    </row>
    <row r="10" spans="13:14" x14ac:dyDescent="0.35">
      <c r="M10" s="552"/>
    </row>
    <row r="11" spans="13:14" x14ac:dyDescent="0.35">
      <c r="M11" s="552"/>
    </row>
    <row r="12" spans="13:14" x14ac:dyDescent="0.35">
      <c r="M12" s="552"/>
    </row>
    <row r="13" spans="13:14" x14ac:dyDescent="0.35">
      <c r="M13" s="552"/>
    </row>
    <row r="14" spans="13:14" x14ac:dyDescent="0.35">
      <c r="M14" s="552"/>
    </row>
    <row r="15" spans="13:14" x14ac:dyDescent="0.35">
      <c r="M15" s="552"/>
    </row>
    <row r="16" spans="13:14" x14ac:dyDescent="0.35">
      <c r="M16" s="552"/>
    </row>
    <row r="17" spans="13:13" x14ac:dyDescent="0.35">
      <c r="M17" s="552"/>
    </row>
    <row r="18" spans="13:13" x14ac:dyDescent="0.35">
      <c r="M18" s="552"/>
    </row>
    <row r="19" spans="13:13" x14ac:dyDescent="0.35">
      <c r="M19" s="552"/>
    </row>
    <row r="20" spans="13:13" x14ac:dyDescent="0.35">
      <c r="M20" s="552"/>
    </row>
    <row r="21" spans="13:13" x14ac:dyDescent="0.35">
      <c r="M21" s="552"/>
    </row>
    <row r="22" spans="13:13" x14ac:dyDescent="0.35">
      <c r="M22" s="552"/>
    </row>
    <row r="23" spans="13:13" x14ac:dyDescent="0.35">
      <c r="M23" s="552"/>
    </row>
    <row r="24" spans="13:13" x14ac:dyDescent="0.35">
      <c r="M24" s="552"/>
    </row>
    <row r="25" spans="13:13" x14ac:dyDescent="0.35">
      <c r="M25" s="552"/>
    </row>
    <row r="26" spans="13:13" x14ac:dyDescent="0.35">
      <c r="M26" s="552"/>
    </row>
    <row r="27" spans="13:13" x14ac:dyDescent="0.35">
      <c r="M27" s="552"/>
    </row>
    <row r="28" spans="13:13" x14ac:dyDescent="0.35">
      <c r="M28" s="552"/>
    </row>
    <row r="29" spans="13:13" x14ac:dyDescent="0.35">
      <c r="M29" s="552"/>
    </row>
    <row r="30" spans="13:13" x14ac:dyDescent="0.35">
      <c r="M30" s="552"/>
    </row>
    <row r="31" spans="13:13" x14ac:dyDescent="0.35">
      <c r="M31" s="552"/>
    </row>
    <row r="32" spans="13:13" x14ac:dyDescent="0.35">
      <c r="M32" s="552"/>
    </row>
    <row r="33" spans="13:13" x14ac:dyDescent="0.35">
      <c r="M33" s="552"/>
    </row>
    <row r="34" spans="13:13" x14ac:dyDescent="0.35">
      <c r="M34" s="552"/>
    </row>
    <row r="35" spans="13:13" x14ac:dyDescent="0.35">
      <c r="M35" s="552"/>
    </row>
    <row r="36" spans="13:13" x14ac:dyDescent="0.35">
      <c r="M36" s="552"/>
    </row>
    <row r="37" spans="13:13" x14ac:dyDescent="0.35">
      <c r="M37" s="552"/>
    </row>
    <row r="38" spans="13:13" x14ac:dyDescent="0.35">
      <c r="M38" s="552"/>
    </row>
    <row r="39" spans="13:13" x14ac:dyDescent="0.35">
      <c r="M39" s="552"/>
    </row>
    <row r="40" spans="13:13" x14ac:dyDescent="0.35">
      <c r="M40" s="552"/>
    </row>
    <row r="41" spans="13:13" x14ac:dyDescent="0.35">
      <c r="M41" s="552"/>
    </row>
    <row r="42" spans="13:13" x14ac:dyDescent="0.35">
      <c r="M42" s="552"/>
    </row>
    <row r="43" spans="13:13" x14ac:dyDescent="0.35">
      <c r="M43" s="552"/>
    </row>
    <row r="44" spans="13:13" x14ac:dyDescent="0.35">
      <c r="M44" s="552"/>
    </row>
    <row r="45" spans="13:13" x14ac:dyDescent="0.35">
      <c r="M45" s="552"/>
    </row>
    <row r="46" spans="13:13" x14ac:dyDescent="0.35">
      <c r="M46" s="552"/>
    </row>
    <row r="47" spans="13:13" x14ac:dyDescent="0.35">
      <c r="M47" s="552"/>
    </row>
    <row r="48" spans="13:13" s="553" customFormat="1" x14ac:dyDescent="0.35">
      <c r="M48" s="1964"/>
    </row>
    <row r="49" spans="13:13" x14ac:dyDescent="0.35">
      <c r="M49" s="552"/>
    </row>
    <row r="50" spans="13:13" x14ac:dyDescent="0.35">
      <c r="M50" s="552"/>
    </row>
    <row r="51" spans="13:13" x14ac:dyDescent="0.35">
      <c r="M51" s="552"/>
    </row>
    <row r="52" spans="13:13" x14ac:dyDescent="0.35">
      <c r="M52" s="552"/>
    </row>
    <row r="53" spans="13:13" x14ac:dyDescent="0.35">
      <c r="M53" s="552"/>
    </row>
    <row r="54" spans="13:13" x14ac:dyDescent="0.35">
      <c r="M54" s="552"/>
    </row>
    <row r="55" spans="13:13" x14ac:dyDescent="0.35">
      <c r="M55" s="552"/>
    </row>
    <row r="56" spans="13:13" x14ac:dyDescent="0.35">
      <c r="M56" s="552"/>
    </row>
    <row r="57" spans="13:13" x14ac:dyDescent="0.35">
      <c r="M57" s="552"/>
    </row>
    <row r="58" spans="13:13" x14ac:dyDescent="0.35">
      <c r="M58" s="552"/>
    </row>
    <row r="59" spans="13:13" x14ac:dyDescent="0.35">
      <c r="M59" s="552"/>
    </row>
    <row r="60" spans="13:13" x14ac:dyDescent="0.35">
      <c r="M60" s="552"/>
    </row>
    <row r="61" spans="13:13" x14ac:dyDescent="0.35">
      <c r="M61" s="552"/>
    </row>
    <row r="62" spans="13:13" x14ac:dyDescent="0.35">
      <c r="M62" s="552"/>
    </row>
    <row r="63" spans="13:13" x14ac:dyDescent="0.35">
      <c r="M63" s="552"/>
    </row>
    <row r="64" spans="13:13" x14ac:dyDescent="0.35">
      <c r="M64" s="552"/>
    </row>
    <row r="65" spans="13:13" x14ac:dyDescent="0.35">
      <c r="M65" s="552"/>
    </row>
    <row r="66" spans="13:13" x14ac:dyDescent="0.35">
      <c r="M66" s="552"/>
    </row>
    <row r="67" spans="13:13" x14ac:dyDescent="0.35">
      <c r="M67" s="552"/>
    </row>
    <row r="68" spans="13:13" x14ac:dyDescent="0.35">
      <c r="M68" s="552"/>
    </row>
    <row r="69" spans="13:13" x14ac:dyDescent="0.35">
      <c r="M69" s="552"/>
    </row>
    <row r="70" spans="13:13" x14ac:dyDescent="0.35">
      <c r="M70" s="552"/>
    </row>
    <row r="71" spans="13:13" x14ac:dyDescent="0.35">
      <c r="M71" s="552"/>
    </row>
    <row r="72" spans="13:13" x14ac:dyDescent="0.35">
      <c r="M72" s="552"/>
    </row>
    <row r="73" spans="13:13" x14ac:dyDescent="0.35">
      <c r="M73" s="552"/>
    </row>
    <row r="74" spans="13:13" x14ac:dyDescent="0.35">
      <c r="M74" s="552"/>
    </row>
    <row r="75" spans="13:13" x14ac:dyDescent="0.35">
      <c r="M75" s="552"/>
    </row>
    <row r="76" spans="13:13" x14ac:dyDescent="0.35">
      <c r="M76" s="552"/>
    </row>
    <row r="77" spans="13:13" x14ac:dyDescent="0.35">
      <c r="M77" s="552"/>
    </row>
    <row r="78" spans="13:13" x14ac:dyDescent="0.35">
      <c r="M78" s="552"/>
    </row>
    <row r="79" spans="13:13" x14ac:dyDescent="0.35">
      <c r="M79" s="552"/>
    </row>
    <row r="80" spans="13:13" x14ac:dyDescent="0.35">
      <c r="M80" s="552"/>
    </row>
    <row r="81" spans="13:13" x14ac:dyDescent="0.35">
      <c r="M81" s="552"/>
    </row>
    <row r="82" spans="13:13" x14ac:dyDescent="0.35">
      <c r="M82" s="552"/>
    </row>
    <row r="83" spans="13:13" x14ac:dyDescent="0.35">
      <c r="M83" s="552"/>
    </row>
    <row r="84" spans="13:13" x14ac:dyDescent="0.35">
      <c r="M84" s="552"/>
    </row>
    <row r="85" spans="13:13" x14ac:dyDescent="0.35">
      <c r="M85" s="552"/>
    </row>
    <row r="86" spans="13:13" x14ac:dyDescent="0.35">
      <c r="M86" s="552"/>
    </row>
    <row r="87" spans="13:13" x14ac:dyDescent="0.35">
      <c r="M87" s="552"/>
    </row>
    <row r="88" spans="13:13" x14ac:dyDescent="0.35">
      <c r="M88" s="552"/>
    </row>
    <row r="89" spans="13:13" x14ac:dyDescent="0.35">
      <c r="M89" s="552"/>
    </row>
    <row r="90" spans="13:13" x14ac:dyDescent="0.35">
      <c r="M90" s="552"/>
    </row>
    <row r="91" spans="13:13" x14ac:dyDescent="0.35">
      <c r="M91" s="552"/>
    </row>
    <row r="92" spans="13:13" x14ac:dyDescent="0.35">
      <c r="M92" s="552"/>
    </row>
    <row r="93" spans="13:13" x14ac:dyDescent="0.35">
      <c r="M93" s="552"/>
    </row>
    <row r="94" spans="13:13" s="553" customFormat="1" x14ac:dyDescent="0.35">
      <c r="M94" s="1964"/>
    </row>
    <row r="95" spans="13:13" x14ac:dyDescent="0.35">
      <c r="M95" s="552"/>
    </row>
    <row r="96" spans="13:13" x14ac:dyDescent="0.35">
      <c r="M96" s="552"/>
    </row>
    <row r="97" spans="13:13" x14ac:dyDescent="0.35">
      <c r="M97" s="552"/>
    </row>
    <row r="98" spans="13:13" x14ac:dyDescent="0.35">
      <c r="M98" s="552"/>
    </row>
    <row r="99" spans="13:13" x14ac:dyDescent="0.35">
      <c r="M99" s="552"/>
    </row>
    <row r="100" spans="13:13" x14ac:dyDescent="0.35">
      <c r="M100" s="552"/>
    </row>
    <row r="101" spans="13:13" x14ac:dyDescent="0.35">
      <c r="M101" s="552"/>
    </row>
    <row r="102" spans="13:13" x14ac:dyDescent="0.35">
      <c r="M102" s="552"/>
    </row>
    <row r="103" spans="13:13" x14ac:dyDescent="0.35">
      <c r="M103" s="552"/>
    </row>
    <row r="104" spans="13:13" x14ac:dyDescent="0.35">
      <c r="M104" s="552"/>
    </row>
    <row r="105" spans="13:13" x14ac:dyDescent="0.35">
      <c r="M105" s="552"/>
    </row>
    <row r="106" spans="13:13" x14ac:dyDescent="0.35">
      <c r="M106" s="552"/>
    </row>
    <row r="107" spans="13:13" x14ac:dyDescent="0.35">
      <c r="M107" s="552"/>
    </row>
    <row r="108" spans="13:13" x14ac:dyDescent="0.35">
      <c r="M108" s="552"/>
    </row>
    <row r="109" spans="13:13" x14ac:dyDescent="0.35">
      <c r="M109" s="552"/>
    </row>
    <row r="110" spans="13:13" x14ac:dyDescent="0.35">
      <c r="M110" s="552"/>
    </row>
    <row r="111" spans="13:13" x14ac:dyDescent="0.35">
      <c r="M111" s="552"/>
    </row>
    <row r="112" spans="13:13" x14ac:dyDescent="0.35">
      <c r="M112" s="552"/>
    </row>
    <row r="113" spans="13:13" x14ac:dyDescent="0.35">
      <c r="M113" s="552"/>
    </row>
    <row r="114" spans="13:13" x14ac:dyDescent="0.35">
      <c r="M114" s="552"/>
    </row>
    <row r="115" spans="13:13" x14ac:dyDescent="0.35">
      <c r="M115" s="552"/>
    </row>
    <row r="116" spans="13:13" x14ac:dyDescent="0.35">
      <c r="M116" s="552"/>
    </row>
    <row r="117" spans="13:13" x14ac:dyDescent="0.35">
      <c r="M117" s="552"/>
    </row>
    <row r="118" spans="13:13" x14ac:dyDescent="0.35">
      <c r="M118" s="552"/>
    </row>
    <row r="119" spans="13:13" x14ac:dyDescent="0.35">
      <c r="M119" s="552"/>
    </row>
    <row r="120" spans="13:13" x14ac:dyDescent="0.35">
      <c r="M120" s="552"/>
    </row>
    <row r="121" spans="13:13" x14ac:dyDescent="0.35">
      <c r="M121" s="552"/>
    </row>
    <row r="122" spans="13:13" x14ac:dyDescent="0.35">
      <c r="M122" s="552"/>
    </row>
    <row r="123" spans="13:13" x14ac:dyDescent="0.35">
      <c r="M123" s="552"/>
    </row>
    <row r="124" spans="13:13" x14ac:dyDescent="0.35">
      <c r="M124" s="552"/>
    </row>
    <row r="125" spans="13:13" x14ac:dyDescent="0.35">
      <c r="M125" s="552"/>
    </row>
    <row r="126" spans="13:13" x14ac:dyDescent="0.35">
      <c r="M126" s="552"/>
    </row>
    <row r="127" spans="13:13" x14ac:dyDescent="0.35">
      <c r="M127" s="552"/>
    </row>
    <row r="128" spans="13:13" x14ac:dyDescent="0.35">
      <c r="M128" s="552"/>
    </row>
    <row r="129" spans="13:13" x14ac:dyDescent="0.35">
      <c r="M129" s="552"/>
    </row>
    <row r="130" spans="13:13" x14ac:dyDescent="0.35">
      <c r="M130" s="552"/>
    </row>
    <row r="131" spans="13:13" x14ac:dyDescent="0.35">
      <c r="M131" s="552"/>
    </row>
    <row r="132" spans="13:13" x14ac:dyDescent="0.35">
      <c r="M132" s="552"/>
    </row>
    <row r="133" spans="13:13" x14ac:dyDescent="0.35">
      <c r="M133" s="552"/>
    </row>
    <row r="134" spans="13:13" x14ac:dyDescent="0.35">
      <c r="M134" s="552"/>
    </row>
    <row r="135" spans="13:13" x14ac:dyDescent="0.35">
      <c r="M135" s="552"/>
    </row>
  </sheetData>
  <pageMargins left="0.7" right="0.7" top="0.75" bottom="0.75" header="0.3" footer="0.3"/>
  <pageSetup paperSize="14" scale="61" orientation="portrait" horizontalDpi="360" verticalDpi="360" r:id="rId1"/>
  <rowBreaks count="1" manualBreakCount="1">
    <brk id="43" max="16383" man="1"/>
  </rowBreaks>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N346"/>
  <sheetViews>
    <sheetView showGridLines="0" topLeftCell="G1" zoomScale="70" zoomScaleNormal="70" workbookViewId="0">
      <selection activeCell="O16" sqref="O16"/>
    </sheetView>
  </sheetViews>
  <sheetFormatPr baseColWidth="10" defaultRowHeight="14.5" x14ac:dyDescent="0.35"/>
  <cols>
    <col min="1" max="1" width="3.453125" style="1410" customWidth="1"/>
    <col min="2" max="2" width="29.7265625" style="1410" customWidth="1"/>
    <col min="3" max="3" width="31.7265625" style="1410" customWidth="1"/>
    <col min="4" max="4" width="66.81640625" style="1527" bestFit="1" customWidth="1"/>
    <col min="5" max="5" width="44.26953125" style="1410" customWidth="1"/>
    <col min="6" max="6" width="67.81640625" style="1410" bestFit="1" customWidth="1"/>
    <col min="7" max="7" width="37.1796875" style="1527" bestFit="1" customWidth="1"/>
    <col min="8" max="8" width="24.54296875" style="1410" customWidth="1"/>
    <col min="9" max="9" width="25.81640625" style="1410" bestFit="1" customWidth="1"/>
    <col min="10" max="10" width="21.1796875" style="1410" bestFit="1" customWidth="1"/>
    <col min="11" max="11" width="27.26953125" style="1410" bestFit="1" customWidth="1"/>
    <col min="12" max="12" width="20" style="1410" customWidth="1"/>
    <col min="13" max="13" width="68.1796875" style="1410" bestFit="1" customWidth="1"/>
  </cols>
  <sheetData>
    <row r="1" spans="1:13" x14ac:dyDescent="0.35">
      <c r="A1" s="2"/>
      <c r="B1" s="2"/>
      <c r="C1" s="2"/>
      <c r="D1" s="2"/>
      <c r="E1" s="2"/>
      <c r="F1" s="3"/>
      <c r="G1" s="3"/>
      <c r="H1" s="3"/>
      <c r="I1" s="3"/>
      <c r="J1" s="3"/>
      <c r="K1" s="3"/>
      <c r="L1" s="2"/>
      <c r="M1" s="2"/>
    </row>
    <row r="2" spans="1:13" x14ac:dyDescent="0.35">
      <c r="A2" s="2"/>
      <c r="B2" s="2"/>
      <c r="C2" s="2"/>
      <c r="D2" s="2"/>
      <c r="E2" s="2"/>
      <c r="F2" s="3" t="s">
        <v>211</v>
      </c>
      <c r="G2" s="3"/>
      <c r="H2" s="3"/>
      <c r="I2" s="3"/>
      <c r="J2" s="3"/>
      <c r="K2" s="3"/>
      <c r="L2" s="2"/>
      <c r="M2" s="2"/>
    </row>
    <row r="3" spans="1:13" x14ac:dyDescent="0.35">
      <c r="A3" s="2"/>
      <c r="B3" s="1521"/>
      <c r="C3" s="1521"/>
      <c r="D3" s="2"/>
      <c r="E3" s="2"/>
      <c r="F3" s="2"/>
      <c r="G3" s="2"/>
      <c r="H3" s="2"/>
      <c r="I3" s="2"/>
      <c r="J3" s="2"/>
      <c r="K3" s="2"/>
      <c r="L3" s="2"/>
      <c r="M3" s="2"/>
    </row>
    <row r="4" spans="1:13" ht="15.5" x14ac:dyDescent="0.35">
      <c r="A4" s="2"/>
      <c r="B4" s="1521"/>
      <c r="C4" s="1521"/>
      <c r="D4" s="2"/>
      <c r="E4" s="964" t="s">
        <v>1</v>
      </c>
      <c r="F4" s="1522" t="s">
        <v>34</v>
      </c>
      <c r="G4" s="1408"/>
      <c r="H4" s="1409"/>
      <c r="I4" s="1409"/>
      <c r="J4" s="1409"/>
      <c r="K4" s="1409"/>
      <c r="L4" s="2"/>
      <c r="M4" s="2"/>
    </row>
    <row r="5" spans="1:13" x14ac:dyDescent="0.35">
      <c r="A5" s="2"/>
      <c r="B5" s="1521"/>
      <c r="C5" s="1521"/>
      <c r="D5" s="2"/>
      <c r="E5" s="8"/>
      <c r="F5" s="3"/>
      <c r="G5" s="3"/>
      <c r="H5" s="3"/>
      <c r="I5" s="3"/>
      <c r="J5" s="3"/>
      <c r="K5" s="3"/>
      <c r="L5" s="2"/>
      <c r="M5" s="2"/>
    </row>
    <row r="6" spans="1:13" x14ac:dyDescent="0.35">
      <c r="A6" s="2"/>
      <c r="B6" s="1521"/>
      <c r="C6" s="1521"/>
      <c r="D6" s="2"/>
      <c r="E6" s="8"/>
      <c r="F6" s="3"/>
      <c r="G6" s="3"/>
      <c r="H6" s="3"/>
      <c r="I6" s="3"/>
      <c r="J6" s="3"/>
      <c r="K6" s="3"/>
      <c r="L6" s="2"/>
      <c r="M6" s="2"/>
    </row>
    <row r="7" spans="1:13" ht="15.5" x14ac:dyDescent="0.35">
      <c r="A7" s="2"/>
      <c r="B7" s="3146" t="s">
        <v>212</v>
      </c>
      <c r="C7" s="3146"/>
      <c r="D7" s="3146"/>
      <c r="E7" s="3146"/>
      <c r="F7" s="3146"/>
      <c r="G7" s="1523"/>
      <c r="H7" s="1524"/>
      <c r="I7" s="1524"/>
      <c r="J7" s="1524"/>
      <c r="K7" s="1524"/>
      <c r="L7" s="1525" t="s">
        <v>38</v>
      </c>
      <c r="M7" s="1526">
        <v>4.4999999999999998E-2</v>
      </c>
    </row>
    <row r="8" spans="1:13" ht="15" thickBot="1" x14ac:dyDescent="0.4">
      <c r="L8" s="1525" t="s">
        <v>350</v>
      </c>
      <c r="M8" s="1526"/>
    </row>
    <row r="9" spans="1:13" x14ac:dyDescent="0.35">
      <c r="B9" s="3087" t="s">
        <v>3</v>
      </c>
      <c r="C9" s="3087" t="s">
        <v>213</v>
      </c>
      <c r="D9" s="3147" t="s">
        <v>182</v>
      </c>
      <c r="E9" s="3072" t="s">
        <v>183</v>
      </c>
      <c r="F9" s="3074" t="s">
        <v>184</v>
      </c>
      <c r="G9" s="3155" t="s">
        <v>21</v>
      </c>
      <c r="H9" s="3087" t="s">
        <v>345</v>
      </c>
      <c r="I9" s="3161" t="s">
        <v>190</v>
      </c>
      <c r="J9" s="3159" t="s">
        <v>189</v>
      </c>
      <c r="K9" s="3157" t="s">
        <v>529</v>
      </c>
      <c r="L9" s="3163" t="s">
        <v>524</v>
      </c>
      <c r="M9" s="3165" t="s">
        <v>214</v>
      </c>
    </row>
    <row r="10" spans="1:13" ht="25.5" customHeight="1" thickBot="1" x14ac:dyDescent="0.4">
      <c r="B10" s="3088"/>
      <c r="C10" s="3088"/>
      <c r="D10" s="3148"/>
      <c r="E10" s="3073"/>
      <c r="F10" s="3075"/>
      <c r="G10" s="3156"/>
      <c r="H10" s="3088"/>
      <c r="I10" s="3162"/>
      <c r="J10" s="3160"/>
      <c r="K10" s="3158"/>
      <c r="L10" s="3164"/>
      <c r="M10" s="3166"/>
    </row>
    <row r="11" spans="1:13" x14ac:dyDescent="0.35">
      <c r="A11"/>
      <c r="B11" s="3167" t="str">
        <f>+'B) Reajuste Tarifas y Ocupación'!A12</f>
        <v>C. H. Mare Nostrum</v>
      </c>
      <c r="C11" s="3150" t="s">
        <v>215</v>
      </c>
      <c r="D11" s="2454" t="s">
        <v>390</v>
      </c>
      <c r="E11" s="2454" t="s">
        <v>395</v>
      </c>
      <c r="F11" s="2454" t="s">
        <v>399</v>
      </c>
      <c r="G11" s="2454" t="s">
        <v>400</v>
      </c>
      <c r="H11" s="868">
        <v>15720768</v>
      </c>
      <c r="I11" s="2455">
        <v>170128</v>
      </c>
      <c r="J11" s="868">
        <v>217145</v>
      </c>
      <c r="K11" s="1528">
        <f>SUM(H11:J11)</f>
        <v>16108041</v>
      </c>
      <c r="L11" s="1448">
        <f>+(H11*(1+$M$7))*(1+$M$8)+I11+J11</f>
        <v>16815475.559999999</v>
      </c>
      <c r="M11" s="3152">
        <f>SUM(L11:L35)</f>
        <v>70913676.537999988</v>
      </c>
    </row>
    <row r="12" spans="1:13" x14ac:dyDescent="0.35">
      <c r="A12"/>
      <c r="B12" s="3168"/>
      <c r="C12" s="3150"/>
      <c r="D12" s="2454" t="s">
        <v>1048</v>
      </c>
      <c r="E12" s="2454" t="s">
        <v>1049</v>
      </c>
      <c r="F12" s="2454" t="s">
        <v>418</v>
      </c>
      <c r="G12" s="2454" t="s">
        <v>400</v>
      </c>
      <c r="H12" s="869">
        <v>5415480</v>
      </c>
      <c r="I12" s="2455">
        <v>174472</v>
      </c>
      <c r="J12" s="869">
        <v>389357</v>
      </c>
      <c r="K12" s="1529">
        <f t="shared" ref="K12:K76" si="0">SUM(H12:J12)</f>
        <v>5979309</v>
      </c>
      <c r="L12" s="1485">
        <f t="shared" ref="L12:L76" si="1">+(H12*(1+$M$7))*(1+$M$8)+I12+J12</f>
        <v>6223005.5999999996</v>
      </c>
      <c r="M12" s="3153"/>
    </row>
    <row r="13" spans="1:13" x14ac:dyDescent="0.35">
      <c r="A13"/>
      <c r="B13" s="3168"/>
      <c r="C13" s="3150"/>
      <c r="D13" s="2454" t="s">
        <v>388</v>
      </c>
      <c r="E13" s="2454" t="s">
        <v>392</v>
      </c>
      <c r="F13" s="2454" t="s">
        <v>398</v>
      </c>
      <c r="G13" s="2454" t="s">
        <v>400</v>
      </c>
      <c r="H13" s="869">
        <v>9859752</v>
      </c>
      <c r="I13" s="2455">
        <v>174472</v>
      </c>
      <c r="J13" s="869">
        <v>389357</v>
      </c>
      <c r="K13" s="1529">
        <f t="shared" si="0"/>
        <v>10423581</v>
      </c>
      <c r="L13" s="1485">
        <f t="shared" si="1"/>
        <v>10867269.84</v>
      </c>
      <c r="M13" s="3153"/>
    </row>
    <row r="14" spans="1:13" x14ac:dyDescent="0.35">
      <c r="A14"/>
      <c r="B14" s="3168"/>
      <c r="C14" s="3150"/>
      <c r="D14" s="2454" t="s">
        <v>389</v>
      </c>
      <c r="E14" s="2454" t="s">
        <v>393</v>
      </c>
      <c r="F14" s="2454" t="s">
        <v>398</v>
      </c>
      <c r="G14" s="2454" t="s">
        <v>400</v>
      </c>
      <c r="H14" s="869">
        <v>8711904</v>
      </c>
      <c r="I14" s="2455">
        <v>174472</v>
      </c>
      <c r="J14" s="869">
        <v>389357</v>
      </c>
      <c r="K14" s="1529">
        <f t="shared" si="0"/>
        <v>9275733</v>
      </c>
      <c r="L14" s="1485">
        <f t="shared" si="1"/>
        <v>9667768.6799999997</v>
      </c>
      <c r="M14" s="3153"/>
    </row>
    <row r="15" spans="1:13" x14ac:dyDescent="0.35">
      <c r="A15"/>
      <c r="B15" s="3168"/>
      <c r="C15" s="3150"/>
      <c r="D15" s="2454" t="s">
        <v>1050</v>
      </c>
      <c r="E15" s="2454" t="s">
        <v>394</v>
      </c>
      <c r="F15" s="2454" t="s">
        <v>398</v>
      </c>
      <c r="G15" s="2454" t="s">
        <v>400</v>
      </c>
      <c r="H15" s="869">
        <v>9073416</v>
      </c>
      <c r="I15" s="2455">
        <v>174472</v>
      </c>
      <c r="J15" s="869">
        <v>389357</v>
      </c>
      <c r="K15" s="1529">
        <f t="shared" si="0"/>
        <v>9637245</v>
      </c>
      <c r="L15" s="1485">
        <f t="shared" si="1"/>
        <v>10045548.719999999</v>
      </c>
      <c r="M15" s="3153"/>
    </row>
    <row r="16" spans="1:13" x14ac:dyDescent="0.35">
      <c r="A16"/>
      <c r="B16" s="3168"/>
      <c r="C16" s="3150"/>
      <c r="D16" s="2454" t="s">
        <v>419</v>
      </c>
      <c r="E16" s="2454" t="s">
        <v>420</v>
      </c>
      <c r="F16" s="2454" t="s">
        <v>396</v>
      </c>
      <c r="G16" s="2454" t="s">
        <v>400</v>
      </c>
      <c r="H16" s="869">
        <v>3303180</v>
      </c>
      <c r="I16" s="2455">
        <v>174472</v>
      </c>
      <c r="J16" s="869">
        <v>389357</v>
      </c>
      <c r="K16" s="1529">
        <f t="shared" si="0"/>
        <v>3867009</v>
      </c>
      <c r="L16" s="1485">
        <f t="shared" si="1"/>
        <v>4015652.0999999996</v>
      </c>
      <c r="M16" s="3153"/>
    </row>
    <row r="17" spans="1:13" x14ac:dyDescent="0.35">
      <c r="A17"/>
      <c r="B17" s="3168"/>
      <c r="C17" s="3150"/>
      <c r="D17" s="2454" t="s">
        <v>387</v>
      </c>
      <c r="E17" s="2454" t="s">
        <v>391</v>
      </c>
      <c r="F17" s="2454" t="s">
        <v>396</v>
      </c>
      <c r="G17" s="2454" t="s">
        <v>400</v>
      </c>
      <c r="H17" s="869">
        <v>3301248</v>
      </c>
      <c r="I17" s="2455">
        <v>174472</v>
      </c>
      <c r="J17" s="869">
        <v>389357</v>
      </c>
      <c r="K17" s="1529">
        <f t="shared" si="0"/>
        <v>3865077</v>
      </c>
      <c r="L17" s="1485">
        <f t="shared" si="1"/>
        <v>4013633.1599999997</v>
      </c>
      <c r="M17" s="3153"/>
    </row>
    <row r="18" spans="1:13" x14ac:dyDescent="0.35">
      <c r="A18"/>
      <c r="B18" s="3168"/>
      <c r="C18" s="3150"/>
      <c r="D18" s="2454" t="s">
        <v>1051</v>
      </c>
      <c r="E18" s="2454" t="s">
        <v>1052</v>
      </c>
      <c r="F18" s="2454" t="s">
        <v>408</v>
      </c>
      <c r="G18" s="2454" t="s">
        <v>400</v>
      </c>
      <c r="H18" s="869">
        <v>7880448</v>
      </c>
      <c r="I18" s="2455">
        <v>174472</v>
      </c>
      <c r="J18" s="869">
        <v>389357</v>
      </c>
      <c r="K18" s="1529">
        <f t="shared" si="0"/>
        <v>8444277</v>
      </c>
      <c r="L18" s="1485">
        <f t="shared" si="1"/>
        <v>8798897.1600000001</v>
      </c>
      <c r="M18" s="3153"/>
    </row>
    <row r="19" spans="1:13" x14ac:dyDescent="0.35">
      <c r="A19"/>
      <c r="B19" s="3168"/>
      <c r="C19" s="3150"/>
      <c r="D19" s="875"/>
      <c r="E19" s="151"/>
      <c r="F19" s="151"/>
      <c r="G19" s="883"/>
      <c r="H19" s="865"/>
      <c r="I19" s="866"/>
      <c r="J19" s="865"/>
      <c r="K19" s="1529">
        <f t="shared" si="0"/>
        <v>0</v>
      </c>
      <c r="L19" s="1485">
        <f t="shared" si="1"/>
        <v>0</v>
      </c>
      <c r="M19" s="3153"/>
    </row>
    <row r="20" spans="1:13" x14ac:dyDescent="0.35">
      <c r="A20"/>
      <c r="B20" s="3168"/>
      <c r="C20" s="3150"/>
      <c r="D20" s="875"/>
      <c r="E20" s="151"/>
      <c r="F20" s="151"/>
      <c r="G20" s="883"/>
      <c r="H20" s="865"/>
      <c r="I20" s="866"/>
      <c r="J20" s="865"/>
      <c r="K20" s="1529">
        <f t="shared" si="0"/>
        <v>0</v>
      </c>
      <c r="L20" s="1485">
        <f t="shared" si="1"/>
        <v>0</v>
      </c>
      <c r="M20" s="3153"/>
    </row>
    <row r="21" spans="1:13" x14ac:dyDescent="0.35">
      <c r="A21"/>
      <c r="B21" s="3168"/>
      <c r="C21" s="3150"/>
      <c r="D21" s="875"/>
      <c r="E21" s="151"/>
      <c r="F21" s="151"/>
      <c r="G21" s="883"/>
      <c r="H21" s="865"/>
      <c r="I21" s="866"/>
      <c r="J21" s="865"/>
      <c r="K21" s="1529">
        <f t="shared" si="0"/>
        <v>0</v>
      </c>
      <c r="L21" s="1485">
        <f t="shared" si="1"/>
        <v>0</v>
      </c>
      <c r="M21" s="3153"/>
    </row>
    <row r="22" spans="1:13" x14ac:dyDescent="0.35">
      <c r="A22"/>
      <c r="B22" s="3168"/>
      <c r="C22" s="3150"/>
      <c r="D22" s="875"/>
      <c r="E22" s="151"/>
      <c r="F22" s="151"/>
      <c r="G22" s="883"/>
      <c r="H22" s="865"/>
      <c r="I22" s="866"/>
      <c r="J22" s="865"/>
      <c r="K22" s="1529">
        <f t="shared" si="0"/>
        <v>0</v>
      </c>
      <c r="L22" s="1485">
        <f t="shared" si="1"/>
        <v>0</v>
      </c>
      <c r="M22" s="3153"/>
    </row>
    <row r="23" spans="1:13" x14ac:dyDescent="0.35">
      <c r="A23"/>
      <c r="B23" s="3168"/>
      <c r="C23" s="3150"/>
      <c r="D23" s="874"/>
      <c r="E23" s="151"/>
      <c r="F23" s="151"/>
      <c r="G23" s="883"/>
      <c r="H23" s="865"/>
      <c r="I23" s="866"/>
      <c r="J23" s="865"/>
      <c r="K23" s="1529">
        <f t="shared" si="0"/>
        <v>0</v>
      </c>
      <c r="L23" s="1485">
        <f t="shared" si="1"/>
        <v>0</v>
      </c>
      <c r="M23" s="3153"/>
    </row>
    <row r="24" spans="1:13" ht="15" thickBot="1" x14ac:dyDescent="0.4">
      <c r="A24"/>
      <c r="B24" s="3168"/>
      <c r="C24" s="3151"/>
      <c r="D24" s="919"/>
      <c r="E24" s="150"/>
      <c r="F24" s="150"/>
      <c r="G24" s="926"/>
      <c r="H24" s="327"/>
      <c r="I24" s="882"/>
      <c r="J24" s="327"/>
      <c r="K24" s="1530">
        <f t="shared" si="0"/>
        <v>0</v>
      </c>
      <c r="L24" s="1484">
        <f t="shared" si="1"/>
        <v>0</v>
      </c>
      <c r="M24" s="3153"/>
    </row>
    <row r="25" spans="1:13" x14ac:dyDescent="0.35">
      <c r="A25"/>
      <c r="B25" s="3168"/>
      <c r="C25" s="3149" t="s">
        <v>216</v>
      </c>
      <c r="D25" s="2456" t="s">
        <v>1053</v>
      </c>
      <c r="E25" s="2457"/>
      <c r="F25" s="2458"/>
      <c r="G25" s="2459">
        <v>2</v>
      </c>
      <c r="H25" s="328">
        <v>223170.2</v>
      </c>
      <c r="I25" s="321"/>
      <c r="J25" s="147"/>
      <c r="K25" s="1528">
        <f t="shared" si="0"/>
        <v>223170.2</v>
      </c>
      <c r="L25" s="1448">
        <f t="shared" si="1"/>
        <v>233212.859</v>
      </c>
      <c r="M25" s="3153"/>
    </row>
    <row r="26" spans="1:13" x14ac:dyDescent="0.35">
      <c r="A26"/>
      <c r="B26" s="3168"/>
      <c r="C26" s="3150"/>
      <c r="D26" s="2456" t="s">
        <v>1053</v>
      </c>
      <c r="E26" s="2458"/>
      <c r="F26" s="2458"/>
      <c r="G26" s="2459">
        <v>2</v>
      </c>
      <c r="H26" s="865">
        <v>223170.2</v>
      </c>
      <c r="I26" s="321"/>
      <c r="J26" s="147"/>
      <c r="K26" s="1529">
        <f t="shared" si="0"/>
        <v>223170.2</v>
      </c>
      <c r="L26" s="1485">
        <f t="shared" si="1"/>
        <v>233212.859</v>
      </c>
      <c r="M26" s="3153"/>
    </row>
    <row r="27" spans="1:13" x14ac:dyDescent="0.35">
      <c r="A27"/>
      <c r="B27" s="3168"/>
      <c r="C27" s="3150"/>
      <c r="D27" s="2460"/>
      <c r="E27" s="2458"/>
      <c r="F27" s="2458"/>
      <c r="G27" s="2461"/>
      <c r="H27" s="865"/>
      <c r="I27" s="321"/>
      <c r="J27" s="147"/>
      <c r="K27" s="1529">
        <f t="shared" si="0"/>
        <v>0</v>
      </c>
      <c r="L27" s="1485">
        <f t="shared" si="1"/>
        <v>0</v>
      </c>
      <c r="M27" s="3153"/>
    </row>
    <row r="28" spans="1:13" x14ac:dyDescent="0.35">
      <c r="A28"/>
      <c r="B28" s="3168"/>
      <c r="C28" s="3150"/>
      <c r="D28" s="2460"/>
      <c r="E28" s="2458"/>
      <c r="F28" s="2458"/>
      <c r="G28" s="2459" t="s">
        <v>510</v>
      </c>
      <c r="H28" s="865"/>
      <c r="I28" s="321"/>
      <c r="J28" s="147"/>
      <c r="K28" s="1529">
        <f t="shared" si="0"/>
        <v>0</v>
      </c>
      <c r="L28" s="1485">
        <f t="shared" si="1"/>
        <v>0</v>
      </c>
      <c r="M28" s="3153"/>
    </row>
    <row r="29" spans="1:13" x14ac:dyDescent="0.35">
      <c r="A29"/>
      <c r="B29" s="3168"/>
      <c r="C29" s="3150"/>
      <c r="D29" s="874"/>
      <c r="E29" s="151"/>
      <c r="F29" s="151"/>
      <c r="G29" s="927"/>
      <c r="H29" s="326"/>
      <c r="I29" s="321"/>
      <c r="J29" s="147"/>
      <c r="K29" s="1529">
        <f t="shared" si="0"/>
        <v>0</v>
      </c>
      <c r="L29" s="1485">
        <f t="shared" si="1"/>
        <v>0</v>
      </c>
      <c r="M29" s="3153"/>
    </row>
    <row r="30" spans="1:13" x14ac:dyDescent="0.35">
      <c r="A30"/>
      <c r="B30" s="3168"/>
      <c r="C30" s="3150"/>
      <c r="D30" s="874"/>
      <c r="E30" s="151"/>
      <c r="F30" s="151"/>
      <c r="G30" s="927"/>
      <c r="H30" s="326"/>
      <c r="I30" s="321"/>
      <c r="J30" s="147"/>
      <c r="K30" s="1529">
        <f t="shared" si="0"/>
        <v>0</v>
      </c>
      <c r="L30" s="1485">
        <f t="shared" si="1"/>
        <v>0</v>
      </c>
      <c r="M30" s="3153"/>
    </row>
    <row r="31" spans="1:13" x14ac:dyDescent="0.35">
      <c r="A31"/>
      <c r="B31" s="3168"/>
      <c r="C31" s="3150"/>
      <c r="D31" s="874"/>
      <c r="E31" s="151"/>
      <c r="F31" s="151"/>
      <c r="G31" s="927"/>
      <c r="H31" s="326"/>
      <c r="I31" s="321"/>
      <c r="J31" s="147"/>
      <c r="K31" s="1529">
        <f t="shared" si="0"/>
        <v>0</v>
      </c>
      <c r="L31" s="1485">
        <f t="shared" si="1"/>
        <v>0</v>
      </c>
      <c r="M31" s="3153"/>
    </row>
    <row r="32" spans="1:13" x14ac:dyDescent="0.35">
      <c r="A32"/>
      <c r="B32" s="3168"/>
      <c r="C32" s="3150"/>
      <c r="D32" s="874"/>
      <c r="E32" s="151"/>
      <c r="F32" s="151"/>
      <c r="G32" s="927"/>
      <c r="H32" s="326"/>
      <c r="I32" s="321"/>
      <c r="J32" s="147"/>
      <c r="K32" s="1529">
        <f t="shared" si="0"/>
        <v>0</v>
      </c>
      <c r="L32" s="1485">
        <f t="shared" si="1"/>
        <v>0</v>
      </c>
      <c r="M32" s="3153"/>
    </row>
    <row r="33" spans="1:13" x14ac:dyDescent="0.35">
      <c r="A33"/>
      <c r="B33" s="3168"/>
      <c r="C33" s="3150"/>
      <c r="D33" s="874"/>
      <c r="E33" s="151"/>
      <c r="F33" s="151"/>
      <c r="G33" s="927"/>
      <c r="H33" s="326"/>
      <c r="I33" s="321"/>
      <c r="J33" s="147"/>
      <c r="K33" s="1529">
        <f t="shared" si="0"/>
        <v>0</v>
      </c>
      <c r="L33" s="1485">
        <f t="shared" si="1"/>
        <v>0</v>
      </c>
      <c r="M33" s="3153"/>
    </row>
    <row r="34" spans="1:13" x14ac:dyDescent="0.35">
      <c r="A34"/>
      <c r="B34" s="3168"/>
      <c r="C34" s="3150"/>
      <c r="D34" s="874"/>
      <c r="E34" s="151"/>
      <c r="F34" s="151"/>
      <c r="G34" s="927"/>
      <c r="H34" s="326"/>
      <c r="I34" s="321"/>
      <c r="J34" s="147"/>
      <c r="K34" s="1529">
        <f t="shared" si="0"/>
        <v>0</v>
      </c>
      <c r="L34" s="1485">
        <f t="shared" si="1"/>
        <v>0</v>
      </c>
      <c r="M34" s="3153"/>
    </row>
    <row r="35" spans="1:13" ht="15" thickBot="1" x14ac:dyDescent="0.4">
      <c r="B35" s="3169"/>
      <c r="C35" s="3151"/>
      <c r="D35" s="920"/>
      <c r="E35" s="150"/>
      <c r="F35" s="150"/>
      <c r="G35" s="928"/>
      <c r="H35" s="327"/>
      <c r="I35" s="322"/>
      <c r="J35" s="152"/>
      <c r="K35" s="1529">
        <f t="shared" si="0"/>
        <v>0</v>
      </c>
      <c r="L35" s="1484">
        <f t="shared" si="1"/>
        <v>0</v>
      </c>
      <c r="M35" s="3154"/>
    </row>
    <row r="36" spans="1:13" x14ac:dyDescent="0.35">
      <c r="B36" s="3149" t="str">
        <f>+'B) Reajuste Tarifas y Ocupación'!A22</f>
        <v>Cabañas Punta Osas</v>
      </c>
      <c r="C36" s="3149" t="s">
        <v>215</v>
      </c>
      <c r="D36" s="2454" t="s">
        <v>403</v>
      </c>
      <c r="E36" s="2454" t="s">
        <v>406</v>
      </c>
      <c r="F36" s="2454" t="s">
        <v>399</v>
      </c>
      <c r="G36" s="2454" t="s">
        <v>380</v>
      </c>
      <c r="H36" s="868">
        <v>19392048</v>
      </c>
      <c r="I36" s="2455">
        <v>170128</v>
      </c>
      <c r="J36" s="868">
        <v>217145</v>
      </c>
      <c r="K36" s="1528">
        <f t="shared" si="0"/>
        <v>19779321</v>
      </c>
      <c r="L36" s="1448">
        <f t="shared" si="1"/>
        <v>20651963.16</v>
      </c>
      <c r="M36" s="3152">
        <f>SUM(L36:L57)</f>
        <v>86385596.340000004</v>
      </c>
    </row>
    <row r="37" spans="1:13" x14ac:dyDescent="0.35">
      <c r="B37" s="3150"/>
      <c r="C37" s="3150"/>
      <c r="D37" s="2454" t="s">
        <v>1054</v>
      </c>
      <c r="E37" s="2454" t="s">
        <v>1055</v>
      </c>
      <c r="F37" s="2454" t="s">
        <v>412</v>
      </c>
      <c r="G37" s="2454" t="s">
        <v>380</v>
      </c>
      <c r="H37" s="869">
        <v>7921896</v>
      </c>
      <c r="I37" s="2455">
        <v>174472</v>
      </c>
      <c r="J37" s="869">
        <v>389357</v>
      </c>
      <c r="K37" s="1529">
        <f t="shared" si="0"/>
        <v>8485725</v>
      </c>
      <c r="L37" s="1485">
        <f t="shared" si="1"/>
        <v>8842210.3200000003</v>
      </c>
      <c r="M37" s="3153"/>
    </row>
    <row r="38" spans="1:13" x14ac:dyDescent="0.35">
      <c r="B38" s="3150"/>
      <c r="C38" s="3150"/>
      <c r="D38" s="2454" t="s">
        <v>1056</v>
      </c>
      <c r="E38" s="2454" t="s">
        <v>1057</v>
      </c>
      <c r="F38" s="2454" t="s">
        <v>397</v>
      </c>
      <c r="G38" s="2454" t="s">
        <v>380</v>
      </c>
      <c r="H38" s="869">
        <v>2764440</v>
      </c>
      <c r="I38" s="2455">
        <v>174472</v>
      </c>
      <c r="J38" s="869">
        <v>389357</v>
      </c>
      <c r="K38" s="1529">
        <f t="shared" si="0"/>
        <v>3328269</v>
      </c>
      <c r="L38" s="1485">
        <f t="shared" si="1"/>
        <v>3452668.8</v>
      </c>
      <c r="M38" s="3153"/>
    </row>
    <row r="39" spans="1:13" x14ac:dyDescent="0.35">
      <c r="B39" s="3150"/>
      <c r="C39" s="3150"/>
      <c r="D39" s="2454" t="s">
        <v>1058</v>
      </c>
      <c r="E39" s="2454" t="s">
        <v>1059</v>
      </c>
      <c r="F39" s="2454" t="s">
        <v>407</v>
      </c>
      <c r="G39" s="2454" t="s">
        <v>380</v>
      </c>
      <c r="H39" s="869">
        <v>7925556</v>
      </c>
      <c r="I39" s="2455">
        <v>174472</v>
      </c>
      <c r="J39" s="869">
        <v>389357</v>
      </c>
      <c r="K39" s="1529">
        <f t="shared" si="0"/>
        <v>8489385</v>
      </c>
      <c r="L39" s="1485">
        <f t="shared" si="1"/>
        <v>8846035.0199999996</v>
      </c>
      <c r="M39" s="3153"/>
    </row>
    <row r="40" spans="1:13" x14ac:dyDescent="0.35">
      <c r="B40" s="3150"/>
      <c r="C40" s="3150"/>
      <c r="D40" s="2454" t="s">
        <v>401</v>
      </c>
      <c r="E40" s="2454" t="s">
        <v>404</v>
      </c>
      <c r="F40" s="2454" t="s">
        <v>398</v>
      </c>
      <c r="G40" s="2454" t="s">
        <v>380</v>
      </c>
      <c r="H40" s="869">
        <v>9815004</v>
      </c>
      <c r="I40" s="2455">
        <v>174472</v>
      </c>
      <c r="J40" s="869">
        <v>389357</v>
      </c>
      <c r="K40" s="1529">
        <f t="shared" si="0"/>
        <v>10378833</v>
      </c>
      <c r="L40" s="1485">
        <f t="shared" si="1"/>
        <v>10820508.18</v>
      </c>
      <c r="M40" s="3153"/>
    </row>
    <row r="41" spans="1:13" x14ac:dyDescent="0.35">
      <c r="B41" s="3150"/>
      <c r="C41" s="3150"/>
      <c r="D41" s="2454" t="s">
        <v>1060</v>
      </c>
      <c r="E41" s="2454" t="s">
        <v>1061</v>
      </c>
      <c r="F41" s="2454" t="s">
        <v>398</v>
      </c>
      <c r="G41" s="2454" t="s">
        <v>380</v>
      </c>
      <c r="H41" s="869">
        <v>9584304</v>
      </c>
      <c r="I41" s="2455">
        <v>174472</v>
      </c>
      <c r="J41" s="869">
        <v>389357</v>
      </c>
      <c r="K41" s="1529">
        <f t="shared" si="0"/>
        <v>10148133</v>
      </c>
      <c r="L41" s="1485">
        <f t="shared" si="1"/>
        <v>10579426.68</v>
      </c>
      <c r="M41" s="3153"/>
    </row>
    <row r="42" spans="1:13" x14ac:dyDescent="0.35">
      <c r="B42" s="3150"/>
      <c r="C42" s="3150"/>
      <c r="D42" s="2454" t="s">
        <v>402</v>
      </c>
      <c r="E42" s="2454" t="s">
        <v>405</v>
      </c>
      <c r="F42" s="2454" t="s">
        <v>408</v>
      </c>
      <c r="G42" s="2454" t="s">
        <v>380</v>
      </c>
      <c r="H42" s="869">
        <v>7542828</v>
      </c>
      <c r="I42" s="2455">
        <v>174472</v>
      </c>
      <c r="J42" s="869">
        <v>389357</v>
      </c>
      <c r="K42" s="1529">
        <f t="shared" si="0"/>
        <v>8106657</v>
      </c>
      <c r="L42" s="1485">
        <f t="shared" si="1"/>
        <v>8446084.2599999998</v>
      </c>
      <c r="M42" s="3153"/>
    </row>
    <row r="43" spans="1:13" x14ac:dyDescent="0.35">
      <c r="B43" s="3150"/>
      <c r="C43" s="3150"/>
      <c r="D43" s="2454" t="s">
        <v>1062</v>
      </c>
      <c r="E43" s="2454" t="s">
        <v>1063</v>
      </c>
      <c r="F43" s="2454" t="s">
        <v>408</v>
      </c>
      <c r="G43" s="2454" t="s">
        <v>380</v>
      </c>
      <c r="H43" s="869">
        <v>7817796</v>
      </c>
      <c r="I43" s="2455">
        <v>174472</v>
      </c>
      <c r="J43" s="869">
        <v>389357</v>
      </c>
      <c r="K43" s="1529">
        <f t="shared" si="0"/>
        <v>8381625</v>
      </c>
      <c r="L43" s="1485">
        <f t="shared" si="1"/>
        <v>8733425.8200000003</v>
      </c>
      <c r="M43" s="3153"/>
    </row>
    <row r="44" spans="1:13" x14ac:dyDescent="0.35">
      <c r="B44" s="3150"/>
      <c r="C44" s="3150"/>
      <c r="D44" s="2454" t="s">
        <v>1064</v>
      </c>
      <c r="E44" s="2454" t="s">
        <v>1065</v>
      </c>
      <c r="F44" s="2454" t="s">
        <v>1066</v>
      </c>
      <c r="G44" s="2454" t="s">
        <v>380</v>
      </c>
      <c r="H44" s="869">
        <v>5214780</v>
      </c>
      <c r="I44" s="2455">
        <v>174472</v>
      </c>
      <c r="J44" s="869">
        <v>389357</v>
      </c>
      <c r="K44" s="1529">
        <f t="shared" si="0"/>
        <v>5778609</v>
      </c>
      <c r="L44" s="1485">
        <f t="shared" si="1"/>
        <v>6013274.0999999996</v>
      </c>
      <c r="M44" s="3153"/>
    </row>
    <row r="45" spans="1:13" x14ac:dyDescent="0.35">
      <c r="B45" s="3150"/>
      <c r="C45" s="3150"/>
      <c r="D45" s="2460"/>
      <c r="E45" s="2458"/>
      <c r="F45" s="2458"/>
      <c r="G45" s="2461"/>
      <c r="H45" s="865"/>
      <c r="I45" s="2462"/>
      <c r="J45" s="865"/>
      <c r="K45" s="1529">
        <f t="shared" si="0"/>
        <v>0</v>
      </c>
      <c r="L45" s="1485">
        <f t="shared" si="1"/>
        <v>0</v>
      </c>
      <c r="M45" s="3153"/>
    </row>
    <row r="46" spans="1:13" ht="15" thickBot="1" x14ac:dyDescent="0.4">
      <c r="B46" s="3150"/>
      <c r="C46" s="3151"/>
      <c r="D46" s="920"/>
      <c r="E46" s="150"/>
      <c r="F46" s="150"/>
      <c r="G46" s="929"/>
      <c r="H46" s="327"/>
      <c r="I46" s="867"/>
      <c r="J46" s="327"/>
      <c r="K46" s="1529">
        <f t="shared" si="0"/>
        <v>0</v>
      </c>
      <c r="L46" s="1484">
        <f t="shared" si="1"/>
        <v>0</v>
      </c>
      <c r="M46" s="3153"/>
    </row>
    <row r="47" spans="1:13" x14ac:dyDescent="0.35">
      <c r="B47" s="3150"/>
      <c r="C47" s="3149" t="s">
        <v>216</v>
      </c>
      <c r="D47" s="875"/>
      <c r="E47" s="154"/>
      <c r="F47" s="154"/>
      <c r="G47" s="930"/>
      <c r="H47" s="328"/>
      <c r="I47" s="323"/>
      <c r="J47" s="155"/>
      <c r="K47" s="1528">
        <f t="shared" si="0"/>
        <v>0</v>
      </c>
      <c r="L47" s="1448">
        <f t="shared" si="1"/>
        <v>0</v>
      </c>
      <c r="M47" s="3153"/>
    </row>
    <row r="48" spans="1:13" x14ac:dyDescent="0.35">
      <c r="B48" s="3150"/>
      <c r="C48" s="3150"/>
      <c r="D48" s="874"/>
      <c r="E48" s="151"/>
      <c r="F48" s="151"/>
      <c r="G48" s="927"/>
      <c r="H48" s="326"/>
      <c r="I48" s="321"/>
      <c r="J48" s="147"/>
      <c r="K48" s="1529">
        <f t="shared" si="0"/>
        <v>0</v>
      </c>
      <c r="L48" s="1485">
        <f t="shared" si="1"/>
        <v>0</v>
      </c>
      <c r="M48" s="3153"/>
    </row>
    <row r="49" spans="2:13" x14ac:dyDescent="0.35">
      <c r="B49" s="3150"/>
      <c r="C49" s="3150"/>
      <c r="D49" s="874"/>
      <c r="E49" s="151"/>
      <c r="F49" s="151"/>
      <c r="G49" s="918"/>
      <c r="H49" s="326"/>
      <c r="I49" s="321"/>
      <c r="J49" s="147"/>
      <c r="K49" s="1529">
        <f t="shared" si="0"/>
        <v>0</v>
      </c>
      <c r="L49" s="1485">
        <f t="shared" si="1"/>
        <v>0</v>
      </c>
      <c r="M49" s="3153"/>
    </row>
    <row r="50" spans="2:13" x14ac:dyDescent="0.35">
      <c r="B50" s="3150"/>
      <c r="C50" s="3150"/>
      <c r="D50" s="874"/>
      <c r="E50" s="151"/>
      <c r="F50" s="151"/>
      <c r="G50" s="927"/>
      <c r="H50" s="326"/>
      <c r="I50" s="321"/>
      <c r="J50" s="147"/>
      <c r="K50" s="1529">
        <f t="shared" si="0"/>
        <v>0</v>
      </c>
      <c r="L50" s="1485">
        <f t="shared" si="1"/>
        <v>0</v>
      </c>
      <c r="M50" s="3153"/>
    </row>
    <row r="51" spans="2:13" x14ac:dyDescent="0.35">
      <c r="B51" s="3150"/>
      <c r="C51" s="3150"/>
      <c r="D51" s="874"/>
      <c r="E51" s="151"/>
      <c r="F51" s="151"/>
      <c r="G51" s="927"/>
      <c r="H51" s="326"/>
      <c r="I51" s="321"/>
      <c r="J51" s="147"/>
      <c r="K51" s="1529">
        <f t="shared" si="0"/>
        <v>0</v>
      </c>
      <c r="L51" s="1485">
        <f t="shared" si="1"/>
        <v>0</v>
      </c>
      <c r="M51" s="3153"/>
    </row>
    <row r="52" spans="2:13" x14ac:dyDescent="0.35">
      <c r="B52" s="3150"/>
      <c r="C52" s="3150"/>
      <c r="D52" s="874"/>
      <c r="E52" s="151"/>
      <c r="F52" s="151"/>
      <c r="G52" s="927"/>
      <c r="H52" s="326"/>
      <c r="I52" s="321"/>
      <c r="J52" s="147"/>
      <c r="K52" s="1529">
        <f t="shared" si="0"/>
        <v>0</v>
      </c>
      <c r="L52" s="1485">
        <f t="shared" si="1"/>
        <v>0</v>
      </c>
      <c r="M52" s="3153"/>
    </row>
    <row r="53" spans="2:13" x14ac:dyDescent="0.35">
      <c r="B53" s="3150"/>
      <c r="C53" s="3150"/>
      <c r="D53" s="874"/>
      <c r="E53" s="151"/>
      <c r="F53" s="151"/>
      <c r="G53" s="927"/>
      <c r="H53" s="326"/>
      <c r="I53" s="321"/>
      <c r="J53" s="147"/>
      <c r="K53" s="1529">
        <f t="shared" si="0"/>
        <v>0</v>
      </c>
      <c r="L53" s="1485">
        <f t="shared" si="1"/>
        <v>0</v>
      </c>
      <c r="M53" s="3153"/>
    </row>
    <row r="54" spans="2:13" x14ac:dyDescent="0.35">
      <c r="B54" s="3150"/>
      <c r="C54" s="3150"/>
      <c r="D54" s="874"/>
      <c r="E54" s="151"/>
      <c r="F54" s="151"/>
      <c r="G54" s="927"/>
      <c r="H54" s="326"/>
      <c r="I54" s="321"/>
      <c r="J54" s="147"/>
      <c r="K54" s="1529">
        <f t="shared" si="0"/>
        <v>0</v>
      </c>
      <c r="L54" s="1485">
        <f t="shared" si="1"/>
        <v>0</v>
      </c>
      <c r="M54" s="3153"/>
    </row>
    <row r="55" spans="2:13" x14ac:dyDescent="0.35">
      <c r="B55" s="3150"/>
      <c r="C55" s="3150"/>
      <c r="D55" s="874"/>
      <c r="E55" s="151"/>
      <c r="F55" s="151"/>
      <c r="G55" s="927"/>
      <c r="H55" s="326"/>
      <c r="I55" s="321"/>
      <c r="J55" s="147"/>
      <c r="K55" s="1529">
        <f t="shared" si="0"/>
        <v>0</v>
      </c>
      <c r="L55" s="1485">
        <f t="shared" si="1"/>
        <v>0</v>
      </c>
      <c r="M55" s="3153"/>
    </row>
    <row r="56" spans="2:13" x14ac:dyDescent="0.35">
      <c r="B56" s="3150"/>
      <c r="C56" s="3150"/>
      <c r="D56" s="874"/>
      <c r="E56" s="151"/>
      <c r="F56" s="151"/>
      <c r="G56" s="927"/>
      <c r="H56" s="326"/>
      <c r="I56" s="321"/>
      <c r="J56" s="147"/>
      <c r="K56" s="1529">
        <f t="shared" si="0"/>
        <v>0</v>
      </c>
      <c r="L56" s="1485">
        <f t="shared" si="1"/>
        <v>0</v>
      </c>
      <c r="M56" s="3153"/>
    </row>
    <row r="57" spans="2:13" ht="15" thickBot="1" x14ac:dyDescent="0.4">
      <c r="B57" s="3151"/>
      <c r="C57" s="3151"/>
      <c r="D57" s="920"/>
      <c r="E57" s="150"/>
      <c r="F57" s="150"/>
      <c r="G57" s="928"/>
      <c r="H57" s="327"/>
      <c r="I57" s="322"/>
      <c r="J57" s="152"/>
      <c r="K57" s="1529">
        <f t="shared" si="0"/>
        <v>0</v>
      </c>
      <c r="L57" s="1484">
        <f t="shared" si="1"/>
        <v>0</v>
      </c>
      <c r="M57" s="3154"/>
    </row>
    <row r="58" spans="2:13" x14ac:dyDescent="0.35">
      <c r="B58" s="3149" t="str">
        <f>+'B) Reajuste Tarifas y Ocupación'!A28</f>
        <v>C.R. Los Maitenes</v>
      </c>
      <c r="C58" s="3149" t="s">
        <v>215</v>
      </c>
      <c r="D58" s="2454" t="s">
        <v>410</v>
      </c>
      <c r="E58" s="2454" t="s">
        <v>411</v>
      </c>
      <c r="F58" s="2454" t="s">
        <v>412</v>
      </c>
      <c r="G58" s="2454" t="s">
        <v>413</v>
      </c>
      <c r="H58" s="868">
        <v>8501508</v>
      </c>
      <c r="I58" s="868">
        <v>174472</v>
      </c>
      <c r="J58" s="2455">
        <v>389357</v>
      </c>
      <c r="K58" s="1528">
        <f t="shared" si="0"/>
        <v>9065337</v>
      </c>
      <c r="L58" s="1448">
        <f t="shared" si="1"/>
        <v>9447904.8599999994</v>
      </c>
      <c r="M58" s="3152">
        <f>SUM(L58:L79)</f>
        <v>41320991.442193955</v>
      </c>
    </row>
    <row r="59" spans="2:13" x14ac:dyDescent="0.35">
      <c r="B59" s="3150"/>
      <c r="C59" s="3150"/>
      <c r="D59" s="2454" t="s">
        <v>1067</v>
      </c>
      <c r="E59" s="2454" t="s">
        <v>1068</v>
      </c>
      <c r="F59" s="2454" t="s">
        <v>1069</v>
      </c>
      <c r="G59" s="2454" t="s">
        <v>413</v>
      </c>
      <c r="H59" s="869">
        <v>11357760</v>
      </c>
      <c r="I59" s="869">
        <v>174472</v>
      </c>
      <c r="J59" s="2455">
        <v>389357</v>
      </c>
      <c r="K59" s="1529">
        <f t="shared" si="0"/>
        <v>11921589</v>
      </c>
      <c r="L59" s="1485">
        <f t="shared" si="1"/>
        <v>12432688.199999999</v>
      </c>
      <c r="M59" s="3153"/>
    </row>
    <row r="60" spans="2:13" x14ac:dyDescent="0.35">
      <c r="B60" s="3150"/>
      <c r="C60" s="3150"/>
      <c r="D60" s="2456"/>
      <c r="E60" s="2458"/>
      <c r="F60" s="2458"/>
      <c r="G60" s="2461"/>
      <c r="H60" s="865"/>
      <c r="I60" s="865"/>
      <c r="J60" s="2462"/>
      <c r="K60" s="1529">
        <f t="shared" si="0"/>
        <v>0</v>
      </c>
      <c r="L60" s="1485">
        <f t="shared" si="1"/>
        <v>0</v>
      </c>
      <c r="M60" s="3153"/>
    </row>
    <row r="61" spans="2:13" x14ac:dyDescent="0.35">
      <c r="B61" s="3150"/>
      <c r="C61" s="3150"/>
      <c r="D61" s="2460"/>
      <c r="E61" s="2458"/>
      <c r="F61" s="2458"/>
      <c r="G61" s="2461"/>
      <c r="H61" s="865"/>
      <c r="I61" s="865"/>
      <c r="J61" s="870"/>
      <c r="K61" s="1529">
        <f t="shared" si="0"/>
        <v>0</v>
      </c>
      <c r="L61" s="1485">
        <f t="shared" si="1"/>
        <v>0</v>
      </c>
      <c r="M61" s="3153"/>
    </row>
    <row r="62" spans="2:13" x14ac:dyDescent="0.35">
      <c r="B62" s="3150"/>
      <c r="C62" s="3150"/>
      <c r="D62" s="2460"/>
      <c r="E62" s="2458"/>
      <c r="F62" s="2458"/>
      <c r="G62" s="2461"/>
      <c r="H62" s="865"/>
      <c r="I62" s="865"/>
      <c r="J62" s="870"/>
      <c r="K62" s="1529">
        <f t="shared" si="0"/>
        <v>0</v>
      </c>
      <c r="L62" s="1485">
        <f t="shared" si="1"/>
        <v>0</v>
      </c>
      <c r="M62" s="3153"/>
    </row>
    <row r="63" spans="2:13" x14ac:dyDescent="0.35">
      <c r="B63" s="3150"/>
      <c r="C63" s="3150"/>
      <c r="D63" s="2460"/>
      <c r="E63" s="2458"/>
      <c r="F63" s="2458"/>
      <c r="G63" s="2461"/>
      <c r="H63" s="865"/>
      <c r="I63" s="865"/>
      <c r="J63" s="870"/>
      <c r="K63" s="1529">
        <f t="shared" si="0"/>
        <v>0</v>
      </c>
      <c r="L63" s="1485">
        <f t="shared" si="1"/>
        <v>0</v>
      </c>
      <c r="M63" s="3153"/>
    </row>
    <row r="64" spans="2:13" x14ac:dyDescent="0.35">
      <c r="B64" s="3150"/>
      <c r="C64" s="3150"/>
      <c r="D64" s="2460"/>
      <c r="E64" s="2458"/>
      <c r="F64" s="2458"/>
      <c r="G64" s="2461"/>
      <c r="H64" s="865"/>
      <c r="I64" s="865"/>
      <c r="J64" s="870"/>
      <c r="K64" s="1529">
        <f t="shared" si="0"/>
        <v>0</v>
      </c>
      <c r="L64" s="1485">
        <f t="shared" si="1"/>
        <v>0</v>
      </c>
      <c r="M64" s="3153"/>
    </row>
    <row r="65" spans="2:13" x14ac:dyDescent="0.35">
      <c r="B65" s="3150"/>
      <c r="C65" s="3150"/>
      <c r="D65" s="2460"/>
      <c r="E65" s="2458"/>
      <c r="F65" s="2458"/>
      <c r="G65" s="2461"/>
      <c r="H65" s="865"/>
      <c r="I65" s="865"/>
      <c r="J65" s="870"/>
      <c r="K65" s="1529">
        <f t="shared" si="0"/>
        <v>0</v>
      </c>
      <c r="L65" s="1485">
        <f t="shared" si="1"/>
        <v>0</v>
      </c>
      <c r="M65" s="3153"/>
    </row>
    <row r="66" spans="2:13" x14ac:dyDescent="0.35">
      <c r="B66" s="3150"/>
      <c r="C66" s="3150"/>
      <c r="D66" s="2460"/>
      <c r="E66" s="2458"/>
      <c r="F66" s="2458"/>
      <c r="G66" s="2461"/>
      <c r="H66" s="865"/>
      <c r="I66" s="865"/>
      <c r="J66" s="870"/>
      <c r="K66" s="1529">
        <f t="shared" si="0"/>
        <v>0</v>
      </c>
      <c r="L66" s="1485">
        <f t="shared" si="1"/>
        <v>0</v>
      </c>
      <c r="M66" s="3153"/>
    </row>
    <row r="67" spans="2:13" x14ac:dyDescent="0.35">
      <c r="B67" s="3150"/>
      <c r="C67" s="3150"/>
      <c r="D67" s="2460"/>
      <c r="E67" s="2458"/>
      <c r="F67" s="2458"/>
      <c r="G67" s="2461"/>
      <c r="H67" s="865"/>
      <c r="I67" s="865"/>
      <c r="J67" s="870"/>
      <c r="K67" s="1529">
        <f t="shared" si="0"/>
        <v>0</v>
      </c>
      <c r="L67" s="1485">
        <f t="shared" si="1"/>
        <v>0</v>
      </c>
      <c r="M67" s="3153"/>
    </row>
    <row r="68" spans="2:13" ht="15" thickBot="1" x14ac:dyDescent="0.4">
      <c r="B68" s="3150"/>
      <c r="C68" s="3151"/>
      <c r="D68" s="2623"/>
      <c r="E68" s="2624"/>
      <c r="F68" s="2624"/>
      <c r="G68" s="2625"/>
      <c r="H68" s="2626"/>
      <c r="I68" s="2626"/>
      <c r="J68" s="2627"/>
      <c r="K68" s="2628">
        <f t="shared" si="0"/>
        <v>0</v>
      </c>
      <c r="L68" s="2629">
        <f t="shared" si="1"/>
        <v>0</v>
      </c>
      <c r="M68" s="3153"/>
    </row>
    <row r="69" spans="2:13" x14ac:dyDescent="0.35">
      <c r="B69" s="3150"/>
      <c r="C69" s="3167" t="s">
        <v>216</v>
      </c>
      <c r="D69" s="2474" t="s">
        <v>1070</v>
      </c>
      <c r="E69" s="2457"/>
      <c r="F69" s="2457"/>
      <c r="G69" s="2646">
        <v>2.5</v>
      </c>
      <c r="H69" s="328">
        <v>889678.11392499995</v>
      </c>
      <c r="I69" s="328"/>
      <c r="J69" s="2467"/>
      <c r="K69" s="2649">
        <f t="shared" si="0"/>
        <v>889678.11392499995</v>
      </c>
      <c r="L69" s="2639">
        <f t="shared" si="1"/>
        <v>929713.62905162491</v>
      </c>
      <c r="M69" s="3153"/>
    </row>
    <row r="70" spans="2:13" x14ac:dyDescent="0.35">
      <c r="B70" s="3150"/>
      <c r="C70" s="3168"/>
      <c r="D70" s="2640" t="s">
        <v>1071</v>
      </c>
      <c r="E70" s="2637"/>
      <c r="F70" s="2637"/>
      <c r="G70" s="2647">
        <v>3.5</v>
      </c>
      <c r="H70" s="2618">
        <v>2481334.2311666664</v>
      </c>
      <c r="I70" s="2618"/>
      <c r="J70" s="2613"/>
      <c r="K70" s="2650">
        <f t="shared" si="0"/>
        <v>2481334.2311666664</v>
      </c>
      <c r="L70" s="2641">
        <f t="shared" si="1"/>
        <v>2592994.2715691663</v>
      </c>
      <c r="M70" s="3153"/>
    </row>
    <row r="71" spans="2:13" x14ac:dyDescent="0.35">
      <c r="B71" s="3150"/>
      <c r="C71" s="3168"/>
      <c r="D71" s="2642" t="s">
        <v>1072</v>
      </c>
      <c r="E71" s="2637"/>
      <c r="F71" s="2637"/>
      <c r="G71" s="2647">
        <v>3.5</v>
      </c>
      <c r="H71" s="2618">
        <v>2415421.8818689999</v>
      </c>
      <c r="I71" s="2618"/>
      <c r="J71" s="2613"/>
      <c r="K71" s="2650">
        <f t="shared" si="0"/>
        <v>2415421.8818689999</v>
      </c>
      <c r="L71" s="2641">
        <f t="shared" si="1"/>
        <v>2524115.8665531049</v>
      </c>
      <c r="M71" s="3153"/>
    </row>
    <row r="72" spans="2:13" x14ac:dyDescent="0.35">
      <c r="B72" s="3150"/>
      <c r="C72" s="3168"/>
      <c r="D72" s="2640" t="s">
        <v>1073</v>
      </c>
      <c r="E72" s="2637"/>
      <c r="F72" s="2637"/>
      <c r="G72" s="2647">
        <v>2.5</v>
      </c>
      <c r="H72" s="2618">
        <v>889678.11392499995</v>
      </c>
      <c r="I72" s="2618"/>
      <c r="J72" s="2613"/>
      <c r="K72" s="2650">
        <f t="shared" si="0"/>
        <v>889678.11392499995</v>
      </c>
      <c r="L72" s="2641">
        <f t="shared" si="1"/>
        <v>929713.62905162491</v>
      </c>
      <c r="M72" s="3153"/>
    </row>
    <row r="73" spans="2:13" x14ac:dyDescent="0.35">
      <c r="B73" s="3150"/>
      <c r="C73" s="3168"/>
      <c r="D73" s="2640" t="s">
        <v>1074</v>
      </c>
      <c r="E73" s="2637"/>
      <c r="F73" s="2637"/>
      <c r="G73" s="2647">
        <v>3.5</v>
      </c>
      <c r="H73" s="2618">
        <v>2415421.8818689999</v>
      </c>
      <c r="I73" s="2618"/>
      <c r="J73" s="2613"/>
      <c r="K73" s="2650">
        <f t="shared" si="0"/>
        <v>2415421.8818689999</v>
      </c>
      <c r="L73" s="2641">
        <f t="shared" si="1"/>
        <v>2524115.8665531049</v>
      </c>
      <c r="M73" s="3153"/>
    </row>
    <row r="74" spans="2:13" x14ac:dyDescent="0.35">
      <c r="B74" s="3150"/>
      <c r="C74" s="3168"/>
      <c r="D74" s="2640" t="s">
        <v>494</v>
      </c>
      <c r="E74" s="2637"/>
      <c r="F74" s="2637"/>
      <c r="G74" s="2647">
        <v>3.5</v>
      </c>
      <c r="H74" s="2618">
        <v>1243949.359495</v>
      </c>
      <c r="I74" s="2618"/>
      <c r="J74" s="2613"/>
      <c r="K74" s="2650">
        <f t="shared" si="0"/>
        <v>1243949.359495</v>
      </c>
      <c r="L74" s="2641">
        <f t="shared" si="1"/>
        <v>1299927.0806722748</v>
      </c>
      <c r="M74" s="3153"/>
    </row>
    <row r="75" spans="2:13" x14ac:dyDescent="0.35">
      <c r="B75" s="3150"/>
      <c r="C75" s="3168"/>
      <c r="D75" s="2640" t="s">
        <v>492</v>
      </c>
      <c r="E75" s="2637"/>
      <c r="F75" s="2637"/>
      <c r="G75" s="2647">
        <v>3.5</v>
      </c>
      <c r="H75" s="2618">
        <v>2415421.8818689999</v>
      </c>
      <c r="I75" s="2618"/>
      <c r="J75" s="2613"/>
      <c r="K75" s="2650">
        <f t="shared" si="0"/>
        <v>2415421.8818689999</v>
      </c>
      <c r="L75" s="2641">
        <f t="shared" si="1"/>
        <v>2524115.8665531049</v>
      </c>
      <c r="M75" s="3153"/>
    </row>
    <row r="76" spans="2:13" x14ac:dyDescent="0.35">
      <c r="B76" s="3150"/>
      <c r="C76" s="3168"/>
      <c r="D76" s="2640" t="s">
        <v>509</v>
      </c>
      <c r="E76" s="2638"/>
      <c r="F76" s="2638"/>
      <c r="G76" s="2647">
        <v>2.5</v>
      </c>
      <c r="H76" s="2652">
        <v>889678.11392499995</v>
      </c>
      <c r="I76" s="2618"/>
      <c r="J76" s="2613"/>
      <c r="K76" s="2650">
        <f t="shared" si="0"/>
        <v>889678.11392499995</v>
      </c>
      <c r="L76" s="2641">
        <f t="shared" si="1"/>
        <v>929713.62905162491</v>
      </c>
      <c r="M76" s="3153"/>
    </row>
    <row r="77" spans="2:13" x14ac:dyDescent="0.35">
      <c r="B77" s="3150"/>
      <c r="C77" s="3168"/>
      <c r="D77" s="2640" t="s">
        <v>503</v>
      </c>
      <c r="E77" s="2637"/>
      <c r="F77" s="2637"/>
      <c r="G77" s="2647">
        <v>3.5</v>
      </c>
      <c r="H77" s="2618">
        <v>2481334.2311666664</v>
      </c>
      <c r="I77" s="2618"/>
      <c r="J77" s="2613"/>
      <c r="K77" s="2650">
        <f>SUM(H77:J77)</f>
        <v>2481334.2311666664</v>
      </c>
      <c r="L77" s="2641">
        <f t="shared" ref="L77" si="2">+(H77*(1+$M$7))*(1+$M$8)+I77+J77</f>
        <v>2592994.2715691663</v>
      </c>
      <c r="M77" s="3153"/>
    </row>
    <row r="78" spans="2:13" x14ac:dyDescent="0.35">
      <c r="B78" s="3150"/>
      <c r="C78" s="3168"/>
      <c r="D78" s="2640" t="s">
        <v>1076</v>
      </c>
      <c r="E78" s="2637"/>
      <c r="F78" s="2637"/>
      <c r="G78" s="2647">
        <v>3.5</v>
      </c>
      <c r="H78" s="2618">
        <v>2481334.2311666664</v>
      </c>
      <c r="I78" s="2618"/>
      <c r="J78" s="2613"/>
      <c r="K78" s="2650">
        <f t="shared" ref="K78:K139" si="3">SUM(H78:J78)</f>
        <v>2481334.2311666664</v>
      </c>
      <c r="L78" s="2641">
        <f t="shared" ref="L78:L139" si="4">+(H78*(1+$M$7))*(1+$M$8)+I78+J78</f>
        <v>2592994.2715691663</v>
      </c>
      <c r="M78" s="3153"/>
    </row>
    <row r="79" spans="2:13" ht="15" thickBot="1" x14ac:dyDescent="0.4">
      <c r="B79" s="3151"/>
      <c r="C79" s="3169"/>
      <c r="D79" s="2643"/>
      <c r="E79" s="2644"/>
      <c r="F79" s="2644"/>
      <c r="G79" s="2648"/>
      <c r="H79" s="327"/>
      <c r="I79" s="327"/>
      <c r="J79" s="2614"/>
      <c r="K79" s="2651">
        <f t="shared" si="3"/>
        <v>0</v>
      </c>
      <c r="L79" s="2645">
        <f t="shared" si="4"/>
        <v>0</v>
      </c>
      <c r="M79" s="3154"/>
    </row>
    <row r="80" spans="2:13" x14ac:dyDescent="0.35">
      <c r="B80" s="3149" t="str">
        <f>+'B) Reajuste Tarifas y Ocupación'!A45</f>
        <v>Piscina C.R. Los Maitenes (Alto)</v>
      </c>
      <c r="C80" s="3149" t="s">
        <v>215</v>
      </c>
      <c r="D80" s="2630"/>
      <c r="E80" s="2631"/>
      <c r="F80" s="2631"/>
      <c r="G80" s="2632"/>
      <c r="H80" s="325"/>
      <c r="I80" s="2633"/>
      <c r="J80" s="2634"/>
      <c r="K80" s="2635">
        <f t="shared" si="3"/>
        <v>0</v>
      </c>
      <c r="L80" s="2636">
        <f t="shared" si="4"/>
        <v>0</v>
      </c>
      <c r="M80" s="3152">
        <f>SUM(L80:L101)</f>
        <v>9592067.9012216665</v>
      </c>
    </row>
    <row r="81" spans="2:13" x14ac:dyDescent="0.35">
      <c r="B81" s="3150"/>
      <c r="C81" s="3150"/>
      <c r="D81" s="874"/>
      <c r="E81" s="151"/>
      <c r="F81" s="151"/>
      <c r="G81" s="927"/>
      <c r="H81" s="326"/>
      <c r="I81" s="321"/>
      <c r="J81" s="147"/>
      <c r="K81" s="1529">
        <f t="shared" si="3"/>
        <v>0</v>
      </c>
      <c r="L81" s="1485">
        <f t="shared" si="4"/>
        <v>0</v>
      </c>
      <c r="M81" s="3153"/>
    </row>
    <row r="82" spans="2:13" x14ac:dyDescent="0.35">
      <c r="B82" s="3150"/>
      <c r="C82" s="3150"/>
      <c r="D82" s="874"/>
      <c r="E82" s="151"/>
      <c r="F82" s="151"/>
      <c r="G82" s="927"/>
      <c r="H82" s="326"/>
      <c r="I82" s="321"/>
      <c r="J82" s="147"/>
      <c r="K82" s="1529">
        <f t="shared" si="3"/>
        <v>0</v>
      </c>
      <c r="L82" s="1485">
        <f t="shared" si="4"/>
        <v>0</v>
      </c>
      <c r="M82" s="3153"/>
    </row>
    <row r="83" spans="2:13" x14ac:dyDescent="0.35">
      <c r="B83" s="3150"/>
      <c r="C83" s="3150"/>
      <c r="D83" s="874"/>
      <c r="E83" s="151"/>
      <c r="F83" s="151"/>
      <c r="G83" s="927"/>
      <c r="H83" s="326"/>
      <c r="I83" s="321"/>
      <c r="J83" s="147"/>
      <c r="K83" s="1529">
        <f t="shared" si="3"/>
        <v>0</v>
      </c>
      <c r="L83" s="1485">
        <f t="shared" si="4"/>
        <v>0</v>
      </c>
      <c r="M83" s="3153"/>
    </row>
    <row r="84" spans="2:13" x14ac:dyDescent="0.35">
      <c r="B84" s="3150"/>
      <c r="C84" s="3150"/>
      <c r="D84" s="874"/>
      <c r="E84" s="151"/>
      <c r="F84" s="151"/>
      <c r="G84" s="927"/>
      <c r="H84" s="326"/>
      <c r="I84" s="321"/>
      <c r="J84" s="147"/>
      <c r="K84" s="1529">
        <f t="shared" si="3"/>
        <v>0</v>
      </c>
      <c r="L84" s="1485">
        <f t="shared" si="4"/>
        <v>0</v>
      </c>
      <c r="M84" s="3153"/>
    </row>
    <row r="85" spans="2:13" x14ac:dyDescent="0.35">
      <c r="B85" s="3150"/>
      <c r="C85" s="3150"/>
      <c r="D85" s="874"/>
      <c r="E85" s="151"/>
      <c r="F85" s="151"/>
      <c r="G85" s="927"/>
      <c r="H85" s="326"/>
      <c r="I85" s="321"/>
      <c r="J85" s="147"/>
      <c r="K85" s="1529">
        <f t="shared" si="3"/>
        <v>0</v>
      </c>
      <c r="L85" s="1485">
        <f t="shared" si="4"/>
        <v>0</v>
      </c>
      <c r="M85" s="3153"/>
    </row>
    <row r="86" spans="2:13" x14ac:dyDescent="0.35">
      <c r="B86" s="3150"/>
      <c r="C86" s="3150"/>
      <c r="D86" s="874"/>
      <c r="E86" s="151"/>
      <c r="F86" s="151"/>
      <c r="G86" s="927"/>
      <c r="H86" s="326"/>
      <c r="I86" s="321"/>
      <c r="J86" s="147"/>
      <c r="K86" s="1529">
        <f t="shared" si="3"/>
        <v>0</v>
      </c>
      <c r="L86" s="1485">
        <f t="shared" si="4"/>
        <v>0</v>
      </c>
      <c r="M86" s="3153"/>
    </row>
    <row r="87" spans="2:13" x14ac:dyDescent="0.35">
      <c r="B87" s="3150"/>
      <c r="C87" s="3150"/>
      <c r="D87" s="874"/>
      <c r="E87" s="151"/>
      <c r="F87" s="151"/>
      <c r="G87" s="927"/>
      <c r="H87" s="326"/>
      <c r="I87" s="321"/>
      <c r="J87" s="147"/>
      <c r="K87" s="1529">
        <f t="shared" si="3"/>
        <v>0</v>
      </c>
      <c r="L87" s="1485">
        <f t="shared" si="4"/>
        <v>0</v>
      </c>
      <c r="M87" s="3153"/>
    </row>
    <row r="88" spans="2:13" x14ac:dyDescent="0.35">
      <c r="B88" s="3150"/>
      <c r="C88" s="3150"/>
      <c r="D88" s="874"/>
      <c r="E88" s="151"/>
      <c r="F88" s="151"/>
      <c r="G88" s="927"/>
      <c r="H88" s="326"/>
      <c r="I88" s="321"/>
      <c r="J88" s="147"/>
      <c r="K88" s="1529">
        <f t="shared" si="3"/>
        <v>0</v>
      </c>
      <c r="L88" s="1485">
        <f t="shared" si="4"/>
        <v>0</v>
      </c>
      <c r="M88" s="3153"/>
    </row>
    <row r="89" spans="2:13" x14ac:dyDescent="0.35">
      <c r="B89" s="3150"/>
      <c r="C89" s="3150"/>
      <c r="D89" s="874"/>
      <c r="E89" s="151"/>
      <c r="F89" s="151"/>
      <c r="G89" s="927"/>
      <c r="H89" s="326"/>
      <c r="I89" s="321"/>
      <c r="J89" s="147"/>
      <c r="K89" s="1529">
        <f t="shared" si="3"/>
        <v>0</v>
      </c>
      <c r="L89" s="1485">
        <f t="shared" si="4"/>
        <v>0</v>
      </c>
      <c r="M89" s="3153"/>
    </row>
    <row r="90" spans="2:13" ht="15" thickBot="1" x14ac:dyDescent="0.4">
      <c r="B90" s="3150"/>
      <c r="C90" s="3151"/>
      <c r="D90" s="920"/>
      <c r="E90" s="150"/>
      <c r="F90" s="150"/>
      <c r="G90" s="928"/>
      <c r="H90" s="327"/>
      <c r="I90" s="322"/>
      <c r="J90" s="152"/>
      <c r="K90" s="1531">
        <f t="shared" si="3"/>
        <v>0</v>
      </c>
      <c r="L90" s="1484">
        <f t="shared" si="4"/>
        <v>0</v>
      </c>
      <c r="M90" s="3153"/>
    </row>
    <row r="91" spans="2:13" x14ac:dyDescent="0.35">
      <c r="B91" s="3150"/>
      <c r="C91" s="3149" t="s">
        <v>216</v>
      </c>
      <c r="D91" s="2472" t="s">
        <v>1075</v>
      </c>
      <c r="E91" s="2471"/>
      <c r="F91" s="2458"/>
      <c r="G91" s="2459">
        <v>3.5</v>
      </c>
      <c r="H91" s="865">
        <v>2481334.2311666664</v>
      </c>
      <c r="I91" s="323"/>
      <c r="J91" s="155"/>
      <c r="K91" s="1532">
        <f t="shared" si="3"/>
        <v>2481334.2311666664</v>
      </c>
      <c r="L91" s="1448">
        <f t="shared" si="4"/>
        <v>2592994.2715691663</v>
      </c>
      <c r="M91" s="3153"/>
    </row>
    <row r="92" spans="2:13" x14ac:dyDescent="0.35">
      <c r="B92" s="3150"/>
      <c r="C92" s="3150"/>
      <c r="D92" s="2472" t="s">
        <v>504</v>
      </c>
      <c r="E92" s="2471"/>
      <c r="F92" s="2458"/>
      <c r="G92" s="2459">
        <v>3.5</v>
      </c>
      <c r="H92" s="2473">
        <v>1308105.7645</v>
      </c>
      <c r="I92" s="321"/>
      <c r="J92" s="147"/>
      <c r="K92" s="1529">
        <f t="shared" si="3"/>
        <v>1308105.7645</v>
      </c>
      <c r="L92" s="1485">
        <f t="shared" si="4"/>
        <v>1366970.5239025</v>
      </c>
      <c r="M92" s="3153"/>
    </row>
    <row r="93" spans="2:13" x14ac:dyDescent="0.35">
      <c r="B93" s="3150"/>
      <c r="C93" s="3150"/>
      <c r="D93" s="2472" t="s">
        <v>505</v>
      </c>
      <c r="E93" s="2458"/>
      <c r="F93" s="2458"/>
      <c r="G93" s="2459">
        <v>3.5</v>
      </c>
      <c r="H93" s="2473">
        <v>2694786.1750000003</v>
      </c>
      <c r="I93" s="321"/>
      <c r="J93" s="147"/>
      <c r="K93" s="1529">
        <f t="shared" si="3"/>
        <v>2694786.1750000003</v>
      </c>
      <c r="L93" s="1485">
        <f t="shared" si="4"/>
        <v>2816051.5528750001</v>
      </c>
      <c r="M93" s="3153"/>
    </row>
    <row r="94" spans="2:13" x14ac:dyDescent="0.35">
      <c r="B94" s="3150"/>
      <c r="C94" s="3150"/>
      <c r="D94" s="2472" t="s">
        <v>506</v>
      </c>
      <c r="E94" s="2471"/>
      <c r="F94" s="2458"/>
      <c r="G94" s="2459">
        <v>3.5</v>
      </c>
      <c r="H94" s="2473">
        <v>2694786.1750000003</v>
      </c>
      <c r="I94" s="321"/>
      <c r="J94" s="147"/>
      <c r="K94" s="1529">
        <f t="shared" si="3"/>
        <v>2694786.1750000003</v>
      </c>
      <c r="L94" s="1485">
        <f t="shared" si="4"/>
        <v>2816051.5528750001</v>
      </c>
      <c r="M94" s="3153"/>
    </row>
    <row r="95" spans="2:13" x14ac:dyDescent="0.35">
      <c r="B95" s="3150"/>
      <c r="C95" s="3150"/>
      <c r="D95" s="1537"/>
      <c r="E95" s="151"/>
      <c r="F95" s="151"/>
      <c r="G95" s="918"/>
      <c r="H95" s="326"/>
      <c r="I95" s="321"/>
      <c r="J95" s="147"/>
      <c r="K95" s="1529">
        <f t="shared" si="3"/>
        <v>0</v>
      </c>
      <c r="L95" s="1485">
        <f t="shared" si="4"/>
        <v>0</v>
      </c>
      <c r="M95" s="3153"/>
    </row>
    <row r="96" spans="2:13" x14ac:dyDescent="0.35">
      <c r="B96" s="3150"/>
      <c r="C96" s="3150"/>
      <c r="D96" s="1538"/>
      <c r="E96" s="151"/>
      <c r="F96" s="151"/>
      <c r="G96" s="918"/>
      <c r="H96" s="326"/>
      <c r="I96" s="321"/>
      <c r="J96" s="147"/>
      <c r="K96" s="1529">
        <f t="shared" si="3"/>
        <v>0</v>
      </c>
      <c r="L96" s="1485">
        <f t="shared" si="4"/>
        <v>0</v>
      </c>
      <c r="M96" s="3153"/>
    </row>
    <row r="97" spans="2:13" x14ac:dyDescent="0.35">
      <c r="B97" s="3150"/>
      <c r="C97" s="3150"/>
      <c r="D97" s="874"/>
      <c r="E97" s="151"/>
      <c r="F97" s="151"/>
      <c r="G97" s="927"/>
      <c r="H97" s="326"/>
      <c r="I97" s="321"/>
      <c r="J97" s="147"/>
      <c r="K97" s="1529">
        <f t="shared" si="3"/>
        <v>0</v>
      </c>
      <c r="L97" s="1485">
        <f t="shared" si="4"/>
        <v>0</v>
      </c>
      <c r="M97" s="3153"/>
    </row>
    <row r="98" spans="2:13" x14ac:dyDescent="0.35">
      <c r="B98" s="3150"/>
      <c r="C98" s="3150"/>
      <c r="D98" s="874"/>
      <c r="E98" s="151"/>
      <c r="F98" s="151"/>
      <c r="G98" s="918"/>
      <c r="H98" s="326"/>
      <c r="I98" s="321"/>
      <c r="J98" s="147"/>
      <c r="K98" s="1529">
        <f t="shared" si="3"/>
        <v>0</v>
      </c>
      <c r="L98" s="1485">
        <f t="shared" si="4"/>
        <v>0</v>
      </c>
      <c r="M98" s="3153"/>
    </row>
    <row r="99" spans="2:13" x14ac:dyDescent="0.35">
      <c r="B99" s="3150"/>
      <c r="C99" s="3150"/>
      <c r="D99" s="874"/>
      <c r="E99" s="151"/>
      <c r="F99" s="151"/>
      <c r="G99" s="927"/>
      <c r="H99" s="326"/>
      <c r="I99" s="321"/>
      <c r="J99" s="147"/>
      <c r="K99" s="1529">
        <f t="shared" si="3"/>
        <v>0</v>
      </c>
      <c r="L99" s="1485">
        <f t="shared" si="4"/>
        <v>0</v>
      </c>
      <c r="M99" s="3153"/>
    </row>
    <row r="100" spans="2:13" x14ac:dyDescent="0.35">
      <c r="B100" s="3150"/>
      <c r="C100" s="3150"/>
      <c r="D100" s="874"/>
      <c r="E100" s="151"/>
      <c r="F100" s="151"/>
      <c r="G100" s="927"/>
      <c r="H100" s="326"/>
      <c r="I100" s="321"/>
      <c r="J100" s="147"/>
      <c r="K100" s="1529">
        <f t="shared" si="3"/>
        <v>0</v>
      </c>
      <c r="L100" s="1485">
        <f t="shared" si="4"/>
        <v>0</v>
      </c>
      <c r="M100" s="3153"/>
    </row>
    <row r="101" spans="2:13" ht="15" thickBot="1" x14ac:dyDescent="0.4">
      <c r="B101" s="3151"/>
      <c r="C101" s="3151"/>
      <c r="D101" s="920"/>
      <c r="E101" s="150"/>
      <c r="F101" s="150"/>
      <c r="G101" s="928"/>
      <c r="H101" s="327"/>
      <c r="I101" s="322"/>
      <c r="J101" s="152"/>
      <c r="K101" s="1529">
        <f t="shared" si="3"/>
        <v>0</v>
      </c>
      <c r="L101" s="1484">
        <f t="shared" si="4"/>
        <v>0</v>
      </c>
      <c r="M101" s="3154"/>
    </row>
    <row r="102" spans="2:13" x14ac:dyDescent="0.35">
      <c r="B102" s="3149" t="str">
        <f>+'B) Reajuste Tarifas y Ocupación'!A47</f>
        <v>Piscina C.R. Los Maitenes (Bajo)</v>
      </c>
      <c r="C102" s="3149" t="s">
        <v>215</v>
      </c>
      <c r="D102" s="922"/>
      <c r="E102" s="154"/>
      <c r="F102" s="154"/>
      <c r="G102" s="931"/>
      <c r="H102" s="328"/>
      <c r="I102" s="323"/>
      <c r="J102" s="155"/>
      <c r="K102" s="1528">
        <f t="shared" si="3"/>
        <v>0</v>
      </c>
      <c r="L102" s="1448">
        <f t="shared" si="4"/>
        <v>0</v>
      </c>
      <c r="M102" s="3152">
        <f>SUM(L102:L123)</f>
        <v>9592067.9012216665</v>
      </c>
    </row>
    <row r="103" spans="2:13" x14ac:dyDescent="0.35">
      <c r="B103" s="3150"/>
      <c r="C103" s="3150"/>
      <c r="D103" s="874"/>
      <c r="E103" s="151"/>
      <c r="F103" s="151"/>
      <c r="G103" s="927"/>
      <c r="H103" s="326"/>
      <c r="I103" s="321"/>
      <c r="J103" s="147"/>
      <c r="K103" s="1529">
        <f t="shared" si="3"/>
        <v>0</v>
      </c>
      <c r="L103" s="1485">
        <f t="shared" si="4"/>
        <v>0</v>
      </c>
      <c r="M103" s="3153"/>
    </row>
    <row r="104" spans="2:13" x14ac:dyDescent="0.35">
      <c r="B104" s="3150"/>
      <c r="C104" s="3150"/>
      <c r="D104" s="874"/>
      <c r="E104" s="151"/>
      <c r="F104" s="151"/>
      <c r="G104" s="927"/>
      <c r="H104" s="326"/>
      <c r="I104" s="321"/>
      <c r="J104" s="147"/>
      <c r="K104" s="1529">
        <f t="shared" si="3"/>
        <v>0</v>
      </c>
      <c r="L104" s="1485">
        <f t="shared" si="4"/>
        <v>0</v>
      </c>
      <c r="M104" s="3153"/>
    </row>
    <row r="105" spans="2:13" x14ac:dyDescent="0.35">
      <c r="B105" s="3150"/>
      <c r="C105" s="3150"/>
      <c r="D105" s="874"/>
      <c r="E105" s="151"/>
      <c r="F105" s="151"/>
      <c r="G105" s="927"/>
      <c r="H105" s="326"/>
      <c r="I105" s="321"/>
      <c r="J105" s="147"/>
      <c r="K105" s="1529">
        <f t="shared" si="3"/>
        <v>0</v>
      </c>
      <c r="L105" s="1485">
        <f t="shared" si="4"/>
        <v>0</v>
      </c>
      <c r="M105" s="3153"/>
    </row>
    <row r="106" spans="2:13" x14ac:dyDescent="0.35">
      <c r="B106" s="3150"/>
      <c r="C106" s="3150"/>
      <c r="D106" s="874"/>
      <c r="E106" s="151"/>
      <c r="F106" s="151"/>
      <c r="G106" s="927"/>
      <c r="H106" s="326"/>
      <c r="I106" s="321"/>
      <c r="J106" s="147"/>
      <c r="K106" s="1529">
        <f t="shared" si="3"/>
        <v>0</v>
      </c>
      <c r="L106" s="1485">
        <f t="shared" si="4"/>
        <v>0</v>
      </c>
      <c r="M106" s="3153"/>
    </row>
    <row r="107" spans="2:13" x14ac:dyDescent="0.35">
      <c r="B107" s="3150"/>
      <c r="C107" s="3150"/>
      <c r="D107" s="874"/>
      <c r="E107" s="151"/>
      <c r="F107" s="151"/>
      <c r="G107" s="927"/>
      <c r="H107" s="326"/>
      <c r="I107" s="321"/>
      <c r="J107" s="147"/>
      <c r="K107" s="1529">
        <f t="shared" si="3"/>
        <v>0</v>
      </c>
      <c r="L107" s="1485">
        <f t="shared" si="4"/>
        <v>0</v>
      </c>
      <c r="M107" s="3153"/>
    </row>
    <row r="108" spans="2:13" x14ac:dyDescent="0.35">
      <c r="B108" s="3150"/>
      <c r="C108" s="3150"/>
      <c r="D108" s="874"/>
      <c r="E108" s="151"/>
      <c r="F108" s="151"/>
      <c r="G108" s="927"/>
      <c r="H108" s="326"/>
      <c r="I108" s="321"/>
      <c r="J108" s="147"/>
      <c r="K108" s="1529">
        <f t="shared" si="3"/>
        <v>0</v>
      </c>
      <c r="L108" s="1485">
        <f t="shared" si="4"/>
        <v>0</v>
      </c>
      <c r="M108" s="3153"/>
    </row>
    <row r="109" spans="2:13" x14ac:dyDescent="0.35">
      <c r="B109" s="3150"/>
      <c r="C109" s="3150"/>
      <c r="D109" s="874"/>
      <c r="E109" s="151"/>
      <c r="F109" s="151"/>
      <c r="G109" s="927"/>
      <c r="H109" s="326"/>
      <c r="I109" s="321"/>
      <c r="J109" s="147"/>
      <c r="K109" s="1529">
        <f t="shared" si="3"/>
        <v>0</v>
      </c>
      <c r="L109" s="1485">
        <f t="shared" si="4"/>
        <v>0</v>
      </c>
      <c r="M109" s="3153"/>
    </row>
    <row r="110" spans="2:13" x14ac:dyDescent="0.35">
      <c r="B110" s="3150"/>
      <c r="C110" s="3150"/>
      <c r="D110" s="874"/>
      <c r="E110" s="151"/>
      <c r="F110" s="151"/>
      <c r="G110" s="927"/>
      <c r="H110" s="326"/>
      <c r="I110" s="321"/>
      <c r="J110" s="147"/>
      <c r="K110" s="1529">
        <f t="shared" si="3"/>
        <v>0</v>
      </c>
      <c r="L110" s="1485">
        <f t="shared" si="4"/>
        <v>0</v>
      </c>
      <c r="M110" s="3153"/>
    </row>
    <row r="111" spans="2:13" x14ac:dyDescent="0.35">
      <c r="B111" s="3150"/>
      <c r="C111" s="3150"/>
      <c r="D111" s="874"/>
      <c r="E111" s="151"/>
      <c r="F111" s="151"/>
      <c r="G111" s="927"/>
      <c r="H111" s="326"/>
      <c r="I111" s="321"/>
      <c r="J111" s="147"/>
      <c r="K111" s="1529">
        <f t="shared" si="3"/>
        <v>0</v>
      </c>
      <c r="L111" s="1485">
        <f t="shared" si="4"/>
        <v>0</v>
      </c>
      <c r="M111" s="3153"/>
    </row>
    <row r="112" spans="2:13" ht="15" thickBot="1" x14ac:dyDescent="0.4">
      <c r="B112" s="3150"/>
      <c r="C112" s="3151"/>
      <c r="D112" s="920"/>
      <c r="E112" s="150"/>
      <c r="F112" s="150"/>
      <c r="G112" s="928"/>
      <c r="H112" s="327"/>
      <c r="I112" s="322"/>
      <c r="J112" s="152"/>
      <c r="K112" s="1529">
        <f t="shared" si="3"/>
        <v>0</v>
      </c>
      <c r="L112" s="1484">
        <f t="shared" si="4"/>
        <v>0</v>
      </c>
      <c r="M112" s="3153"/>
    </row>
    <row r="113" spans="2:14" x14ac:dyDescent="0.35">
      <c r="B113" s="3150"/>
      <c r="C113" s="3149" t="s">
        <v>216</v>
      </c>
      <c r="D113" s="2474"/>
      <c r="E113" s="2475"/>
      <c r="F113" s="2457"/>
      <c r="G113" s="2466"/>
      <c r="H113" s="328"/>
      <c r="I113" s="323"/>
      <c r="J113" s="155"/>
      <c r="K113" s="1528">
        <f t="shared" si="3"/>
        <v>0</v>
      </c>
      <c r="L113" s="1448">
        <f t="shared" si="4"/>
        <v>0</v>
      </c>
      <c r="M113" s="3153"/>
    </row>
    <row r="114" spans="2:14" x14ac:dyDescent="0.35">
      <c r="B114" s="3150"/>
      <c r="C114" s="3150"/>
      <c r="D114" s="2476" t="s">
        <v>511</v>
      </c>
      <c r="E114" s="2471"/>
      <c r="F114" s="2458"/>
      <c r="G114" s="2459">
        <v>3.5</v>
      </c>
      <c r="H114" s="865">
        <v>2481334.2311666664</v>
      </c>
      <c r="I114" s="321"/>
      <c r="J114" s="147"/>
      <c r="K114" s="1529">
        <f t="shared" si="3"/>
        <v>2481334.2311666664</v>
      </c>
      <c r="L114" s="1485">
        <f t="shared" si="4"/>
        <v>2592994.2715691663</v>
      </c>
      <c r="M114" s="3153"/>
    </row>
    <row r="115" spans="2:14" x14ac:dyDescent="0.35">
      <c r="B115" s="3150"/>
      <c r="C115" s="3150"/>
      <c r="D115" s="2472" t="s">
        <v>507</v>
      </c>
      <c r="E115" s="2471"/>
      <c r="F115" s="2458"/>
      <c r="G115" s="2459">
        <v>3.5</v>
      </c>
      <c r="H115" s="865">
        <v>1308105.7645</v>
      </c>
      <c r="I115" s="321"/>
      <c r="J115" s="147"/>
      <c r="K115" s="1529">
        <f t="shared" si="3"/>
        <v>1308105.7645</v>
      </c>
      <c r="L115" s="1485">
        <f t="shared" si="4"/>
        <v>1366970.5239025</v>
      </c>
      <c r="M115" s="3153"/>
    </row>
    <row r="116" spans="2:14" x14ac:dyDescent="0.35">
      <c r="B116" s="3150"/>
      <c r="C116" s="3150"/>
      <c r="D116" s="2472" t="s">
        <v>508</v>
      </c>
      <c r="E116" s="2471"/>
      <c r="F116" s="2458"/>
      <c r="G116" s="2459">
        <v>3.5</v>
      </c>
      <c r="H116" s="865">
        <v>2694786.1750000003</v>
      </c>
      <c r="I116" s="321"/>
      <c r="J116" s="147"/>
      <c r="K116" s="1529">
        <f t="shared" si="3"/>
        <v>2694786.1750000003</v>
      </c>
      <c r="L116" s="1485">
        <f t="shared" si="4"/>
        <v>2816051.5528750001</v>
      </c>
      <c r="M116" s="3153"/>
    </row>
    <row r="117" spans="2:14" x14ac:dyDescent="0.35">
      <c r="B117" s="3150"/>
      <c r="C117" s="3150"/>
      <c r="D117" s="2477" t="s">
        <v>1077</v>
      </c>
      <c r="E117" s="2478"/>
      <c r="F117" s="2478"/>
      <c r="G117" s="2479">
        <v>3.5</v>
      </c>
      <c r="H117" s="865">
        <v>2694786.1750000003</v>
      </c>
      <c r="I117" s="321"/>
      <c r="J117" s="147"/>
      <c r="K117" s="1529">
        <f t="shared" si="3"/>
        <v>2694786.1750000003</v>
      </c>
      <c r="L117" s="1485">
        <f t="shared" si="4"/>
        <v>2816051.5528750001</v>
      </c>
      <c r="M117" s="3153"/>
    </row>
    <row r="118" spans="2:14" x14ac:dyDescent="0.35">
      <c r="B118" s="3150"/>
      <c r="C118" s="3150"/>
      <c r="D118" s="2480"/>
      <c r="E118" s="2458"/>
      <c r="F118" s="2458"/>
      <c r="G118" s="2459"/>
      <c r="H118" s="865"/>
      <c r="I118" s="321"/>
      <c r="J118" s="147"/>
      <c r="K118" s="1529">
        <f t="shared" si="3"/>
        <v>0</v>
      </c>
      <c r="L118" s="1485">
        <f t="shared" si="4"/>
        <v>0</v>
      </c>
      <c r="M118" s="3153"/>
    </row>
    <row r="119" spans="2:14" x14ac:dyDescent="0.35">
      <c r="B119" s="3150"/>
      <c r="C119" s="3150"/>
      <c r="D119" s="1538"/>
      <c r="E119" s="151"/>
      <c r="F119" s="151"/>
      <c r="G119" s="918"/>
      <c r="H119" s="326"/>
      <c r="I119" s="321"/>
      <c r="J119" s="147"/>
      <c r="K119" s="1529">
        <f t="shared" si="3"/>
        <v>0</v>
      </c>
      <c r="L119" s="1485">
        <f t="shared" si="4"/>
        <v>0</v>
      </c>
      <c r="M119" s="3153"/>
    </row>
    <row r="120" spans="2:14" x14ac:dyDescent="0.35">
      <c r="B120" s="3150"/>
      <c r="C120" s="3150"/>
      <c r="D120" s="874"/>
      <c r="E120" s="151"/>
      <c r="F120" s="151"/>
      <c r="G120" s="918"/>
      <c r="H120" s="326"/>
      <c r="I120" s="321"/>
      <c r="J120" s="147"/>
      <c r="K120" s="1529">
        <f t="shared" si="3"/>
        <v>0</v>
      </c>
      <c r="L120" s="1485">
        <f t="shared" si="4"/>
        <v>0</v>
      </c>
      <c r="M120" s="3153"/>
    </row>
    <row r="121" spans="2:14" x14ac:dyDescent="0.35">
      <c r="B121" s="3150"/>
      <c r="C121" s="3150"/>
      <c r="D121" s="874"/>
      <c r="E121" s="151"/>
      <c r="F121" s="151"/>
      <c r="G121" s="927"/>
      <c r="H121" s="326"/>
      <c r="I121" s="321"/>
      <c r="J121" s="147"/>
      <c r="K121" s="1529">
        <f t="shared" si="3"/>
        <v>0</v>
      </c>
      <c r="L121" s="1485">
        <f t="shared" si="4"/>
        <v>0</v>
      </c>
      <c r="M121" s="3153"/>
    </row>
    <row r="122" spans="2:14" x14ac:dyDescent="0.35">
      <c r="B122" s="3150"/>
      <c r="C122" s="3150"/>
      <c r="D122" s="874"/>
      <c r="E122" s="151"/>
      <c r="F122" s="151"/>
      <c r="G122" s="927"/>
      <c r="H122" s="326"/>
      <c r="I122" s="321"/>
      <c r="J122" s="147"/>
      <c r="K122" s="1529">
        <f t="shared" si="3"/>
        <v>0</v>
      </c>
      <c r="L122" s="1485">
        <f t="shared" si="4"/>
        <v>0</v>
      </c>
      <c r="M122" s="3153"/>
    </row>
    <row r="123" spans="2:14" ht="15" thickBot="1" x14ac:dyDescent="0.4">
      <c r="B123" s="3151"/>
      <c r="C123" s="3151"/>
      <c r="D123" s="920"/>
      <c r="E123" s="150"/>
      <c r="F123" s="150"/>
      <c r="G123" s="928"/>
      <c r="H123" s="327"/>
      <c r="I123" s="322"/>
      <c r="J123" s="152"/>
      <c r="K123" s="1529">
        <f t="shared" si="3"/>
        <v>0</v>
      </c>
      <c r="L123" s="1484">
        <f t="shared" si="4"/>
        <v>0</v>
      </c>
      <c r="M123" s="3154"/>
    </row>
    <row r="124" spans="2:14" x14ac:dyDescent="0.35">
      <c r="B124" s="3149" t="str">
        <f>+'B) Reajuste Tarifas y Ocupación'!A49</f>
        <v>C. R. Las Salinas</v>
      </c>
      <c r="C124" s="3149" t="s">
        <v>215</v>
      </c>
      <c r="D124" s="2454" t="s">
        <v>1078</v>
      </c>
      <c r="E124" s="2454" t="s">
        <v>1079</v>
      </c>
      <c r="F124" s="2454" t="s">
        <v>412</v>
      </c>
      <c r="G124" s="2454" t="s">
        <v>1080</v>
      </c>
      <c r="H124" s="868">
        <v>7679532</v>
      </c>
      <c r="I124" s="868">
        <v>174472</v>
      </c>
      <c r="J124" s="2612">
        <v>389357</v>
      </c>
      <c r="K124" s="1528">
        <f t="shared" si="3"/>
        <v>8243361</v>
      </c>
      <c r="L124" s="1448">
        <f t="shared" si="4"/>
        <v>8588939.9399999995</v>
      </c>
      <c r="M124" s="3152">
        <f>SUM(L124:L145)</f>
        <v>28345453.990241721</v>
      </c>
      <c r="N124" s="1533"/>
    </row>
    <row r="125" spans="2:14" x14ac:dyDescent="0.35">
      <c r="B125" s="3150"/>
      <c r="C125" s="3150"/>
      <c r="D125" s="2454" t="s">
        <v>1081</v>
      </c>
      <c r="E125" s="2454" t="s">
        <v>1082</v>
      </c>
      <c r="F125" s="2454" t="s">
        <v>408</v>
      </c>
      <c r="G125" s="2454" t="s">
        <v>1080</v>
      </c>
      <c r="H125" s="2615">
        <v>8611440</v>
      </c>
      <c r="I125" s="2455">
        <v>174472</v>
      </c>
      <c r="J125" s="869">
        <v>389357</v>
      </c>
      <c r="K125" s="1529">
        <f t="shared" si="3"/>
        <v>9175269</v>
      </c>
      <c r="L125" s="1485">
        <f t="shared" si="4"/>
        <v>9562783.7999999989</v>
      </c>
      <c r="M125" s="3153"/>
      <c r="N125" s="1533"/>
    </row>
    <row r="126" spans="2:14" x14ac:dyDescent="0.35">
      <c r="B126" s="3150"/>
      <c r="C126" s="3150"/>
      <c r="D126" s="921"/>
      <c r="E126" s="291"/>
      <c r="F126" s="864"/>
      <c r="G126" s="927"/>
      <c r="H126" s="2616"/>
      <c r="I126" s="2615"/>
      <c r="J126" s="2619"/>
      <c r="K126" s="1529">
        <f t="shared" si="3"/>
        <v>0</v>
      </c>
      <c r="L126" s="1485">
        <f t="shared" si="4"/>
        <v>0</v>
      </c>
      <c r="M126" s="3153"/>
      <c r="N126" s="1533"/>
    </row>
    <row r="127" spans="2:14" x14ac:dyDescent="0.35">
      <c r="B127" s="3150"/>
      <c r="C127" s="3150"/>
      <c r="D127" s="921"/>
      <c r="E127" s="291"/>
      <c r="F127" s="864"/>
      <c r="G127" s="927"/>
      <c r="H127" s="2616"/>
      <c r="I127" s="2615"/>
      <c r="J127" s="2619"/>
      <c r="K127" s="1529">
        <f t="shared" si="3"/>
        <v>0</v>
      </c>
      <c r="L127" s="1485">
        <f t="shared" si="4"/>
        <v>0</v>
      </c>
      <c r="M127" s="3153"/>
      <c r="N127" s="1533"/>
    </row>
    <row r="128" spans="2:14" x14ac:dyDescent="0.35">
      <c r="B128" s="3150"/>
      <c r="C128" s="3150"/>
      <c r="D128" s="921"/>
      <c r="E128" s="151"/>
      <c r="F128" s="876"/>
      <c r="G128" s="927"/>
      <c r="H128" s="2616"/>
      <c r="I128" s="2615"/>
      <c r="J128" s="2619"/>
      <c r="K128" s="1529">
        <f t="shared" si="3"/>
        <v>0</v>
      </c>
      <c r="L128" s="1485">
        <f t="shared" si="4"/>
        <v>0</v>
      </c>
      <c r="M128" s="3153"/>
      <c r="N128" s="1533"/>
    </row>
    <row r="129" spans="2:14" x14ac:dyDescent="0.35">
      <c r="B129" s="3150"/>
      <c r="C129" s="3150"/>
      <c r="D129" s="923"/>
      <c r="E129" s="713"/>
      <c r="F129" s="297"/>
      <c r="G129" s="927"/>
      <c r="H129" s="2617"/>
      <c r="I129" s="2617"/>
      <c r="J129" s="2620"/>
      <c r="K129" s="1529">
        <f t="shared" si="3"/>
        <v>0</v>
      </c>
      <c r="L129" s="1485">
        <f t="shared" si="4"/>
        <v>0</v>
      </c>
      <c r="M129" s="3153"/>
      <c r="N129" s="1533"/>
    </row>
    <row r="130" spans="2:14" x14ac:dyDescent="0.35">
      <c r="B130" s="3150"/>
      <c r="C130" s="3150"/>
      <c r="D130" s="923"/>
      <c r="E130" s="291"/>
      <c r="F130" s="713"/>
      <c r="G130" s="927"/>
      <c r="H130" s="2617"/>
      <c r="I130" s="2618"/>
      <c r="J130" s="2621"/>
      <c r="K130" s="1529">
        <f t="shared" si="3"/>
        <v>0</v>
      </c>
      <c r="L130" s="1485">
        <f t="shared" si="4"/>
        <v>0</v>
      </c>
      <c r="M130" s="3153"/>
      <c r="N130" s="1533"/>
    </row>
    <row r="131" spans="2:14" x14ac:dyDescent="0.35">
      <c r="B131" s="3150"/>
      <c r="C131" s="3150"/>
      <c r="D131" s="923"/>
      <c r="E131" s="291"/>
      <c r="F131" s="291"/>
      <c r="G131" s="927"/>
      <c r="H131" s="2618"/>
      <c r="I131" s="2618"/>
      <c r="J131" s="2621"/>
      <c r="K131" s="1529">
        <f t="shared" si="3"/>
        <v>0</v>
      </c>
      <c r="L131" s="1485">
        <f t="shared" si="4"/>
        <v>0</v>
      </c>
      <c r="M131" s="3153"/>
    </row>
    <row r="132" spans="2:14" x14ac:dyDescent="0.35">
      <c r="B132" s="3150"/>
      <c r="C132" s="3150"/>
      <c r="D132" s="874"/>
      <c r="E132" s="151"/>
      <c r="F132" s="151"/>
      <c r="G132" s="927"/>
      <c r="H132" s="2618"/>
      <c r="I132" s="2618"/>
      <c r="J132" s="2621"/>
      <c r="K132" s="1529">
        <f t="shared" si="3"/>
        <v>0</v>
      </c>
      <c r="L132" s="1485">
        <f t="shared" si="4"/>
        <v>0</v>
      </c>
      <c r="M132" s="3153"/>
    </row>
    <row r="133" spans="2:14" x14ac:dyDescent="0.35">
      <c r="B133" s="3150"/>
      <c r="C133" s="3150"/>
      <c r="D133" s="874"/>
      <c r="E133" s="151"/>
      <c r="F133" s="151"/>
      <c r="G133" s="927"/>
      <c r="H133" s="2618"/>
      <c r="I133" s="2618"/>
      <c r="J133" s="2621"/>
      <c r="K133" s="1529">
        <f t="shared" si="3"/>
        <v>0</v>
      </c>
      <c r="L133" s="1485">
        <f t="shared" si="4"/>
        <v>0</v>
      </c>
      <c r="M133" s="3153"/>
    </row>
    <row r="134" spans="2:14" ht="15" thickBot="1" x14ac:dyDescent="0.4">
      <c r="B134" s="3150"/>
      <c r="C134" s="3151"/>
      <c r="D134" s="920"/>
      <c r="E134" s="150"/>
      <c r="F134" s="150"/>
      <c r="G134" s="928"/>
      <c r="H134" s="327"/>
      <c r="I134" s="327"/>
      <c r="J134" s="2622"/>
      <c r="K134" s="1529">
        <f t="shared" si="3"/>
        <v>0</v>
      </c>
      <c r="L134" s="1484">
        <f t="shared" si="4"/>
        <v>0</v>
      </c>
      <c r="M134" s="3153"/>
    </row>
    <row r="135" spans="2:14" x14ac:dyDescent="0.35">
      <c r="B135" s="3150"/>
      <c r="C135" s="3149" t="s">
        <v>216</v>
      </c>
      <c r="D135" s="2482" t="s">
        <v>493</v>
      </c>
      <c r="E135" s="2457"/>
      <c r="F135" s="2457"/>
      <c r="G135" s="2466">
        <v>3</v>
      </c>
      <c r="H135" s="328">
        <v>1066813.7367099999</v>
      </c>
      <c r="I135" s="323"/>
      <c r="J135" s="155"/>
      <c r="K135" s="1528">
        <f t="shared" si="3"/>
        <v>1066813.7367099999</v>
      </c>
      <c r="L135" s="1448">
        <f t="shared" si="4"/>
        <v>1114820.3548619498</v>
      </c>
      <c r="M135" s="3153"/>
    </row>
    <row r="136" spans="2:14" x14ac:dyDescent="0.35">
      <c r="B136" s="3150"/>
      <c r="C136" s="3150"/>
      <c r="D136" s="2482" t="s">
        <v>494</v>
      </c>
      <c r="E136" s="2458"/>
      <c r="F136" s="2458"/>
      <c r="G136" s="2459">
        <v>3.5</v>
      </c>
      <c r="H136" s="865">
        <v>1243949.359495</v>
      </c>
      <c r="I136" s="321"/>
      <c r="J136" s="147"/>
      <c r="K136" s="1529">
        <f t="shared" si="3"/>
        <v>1243949.359495</v>
      </c>
      <c r="L136" s="1485">
        <f t="shared" si="4"/>
        <v>1299927.0806722748</v>
      </c>
      <c r="M136" s="3153"/>
    </row>
    <row r="137" spans="2:14" x14ac:dyDescent="0.35">
      <c r="B137" s="3150"/>
      <c r="C137" s="3150"/>
      <c r="D137" s="2482" t="s">
        <v>495</v>
      </c>
      <c r="E137" s="2458"/>
      <c r="F137" s="2458"/>
      <c r="G137" s="2459">
        <v>3.5</v>
      </c>
      <c r="H137" s="865">
        <v>2481334.2311666664</v>
      </c>
      <c r="I137" s="321"/>
      <c r="J137" s="147"/>
      <c r="K137" s="1529">
        <f t="shared" si="3"/>
        <v>2481334.2311666664</v>
      </c>
      <c r="L137" s="1485">
        <f t="shared" si="4"/>
        <v>2592994.2715691663</v>
      </c>
      <c r="M137" s="3153"/>
    </row>
    <row r="138" spans="2:14" x14ac:dyDescent="0.35">
      <c r="B138" s="3150"/>
      <c r="C138" s="3150"/>
      <c r="D138" s="2482" t="s">
        <v>495</v>
      </c>
      <c r="E138" s="2458"/>
      <c r="F138" s="2458"/>
      <c r="G138" s="2459">
        <v>3.5</v>
      </c>
      <c r="H138" s="2473">
        <v>2481334.2311666664</v>
      </c>
      <c r="I138" s="321"/>
      <c r="J138" s="147"/>
      <c r="K138" s="1529">
        <f t="shared" si="3"/>
        <v>2481334.2311666664</v>
      </c>
      <c r="L138" s="1485">
        <f t="shared" si="4"/>
        <v>2592994.2715691663</v>
      </c>
      <c r="M138" s="3153"/>
    </row>
    <row r="139" spans="2:14" x14ac:dyDescent="0.35">
      <c r="B139" s="3150"/>
      <c r="C139" s="3150"/>
      <c r="D139" s="2482" t="s">
        <v>495</v>
      </c>
      <c r="E139" s="2471"/>
      <c r="F139" s="2458"/>
      <c r="G139" s="2459">
        <v>3.5</v>
      </c>
      <c r="H139" s="865">
        <v>2481334.2311666664</v>
      </c>
      <c r="I139" s="321"/>
      <c r="J139" s="147"/>
      <c r="K139" s="1529">
        <f t="shared" si="3"/>
        <v>2481334.2311666664</v>
      </c>
      <c r="L139" s="1485">
        <f t="shared" si="4"/>
        <v>2592994.2715691663</v>
      </c>
      <c r="M139" s="3153"/>
    </row>
    <row r="140" spans="2:14" x14ac:dyDescent="0.35">
      <c r="B140" s="3150"/>
      <c r="C140" s="3150"/>
      <c r="D140" s="2460"/>
      <c r="E140" s="2458"/>
      <c r="F140" s="2458"/>
      <c r="G140" s="2459" t="s">
        <v>510</v>
      </c>
      <c r="H140" s="865"/>
      <c r="I140" s="321"/>
      <c r="J140" s="147"/>
      <c r="K140" s="1529">
        <f t="shared" ref="K140:K203" si="5">SUM(H140:J140)</f>
        <v>0</v>
      </c>
      <c r="L140" s="1485">
        <f t="shared" ref="L140:L203" si="6">+(H140*(1+$M$7))*(1+$M$8)+I140+J140</f>
        <v>0</v>
      </c>
      <c r="M140" s="3153"/>
    </row>
    <row r="141" spans="2:14" x14ac:dyDescent="0.35">
      <c r="B141" s="3150"/>
      <c r="C141" s="3150"/>
      <c r="D141" s="923"/>
      <c r="E141" s="291"/>
      <c r="F141" s="291"/>
      <c r="G141" s="927"/>
      <c r="H141" s="326"/>
      <c r="I141" s="321"/>
      <c r="J141" s="147"/>
      <c r="K141" s="1529">
        <f t="shared" si="5"/>
        <v>0</v>
      </c>
      <c r="L141" s="1485">
        <f t="shared" si="6"/>
        <v>0</v>
      </c>
      <c r="M141" s="3153"/>
    </row>
    <row r="142" spans="2:14" x14ac:dyDescent="0.35">
      <c r="B142" s="3150"/>
      <c r="C142" s="3150"/>
      <c r="D142" s="923"/>
      <c r="E142" s="291"/>
      <c r="F142" s="291"/>
      <c r="G142" s="927"/>
      <c r="H142" s="326"/>
      <c r="I142" s="321"/>
      <c r="J142" s="147"/>
      <c r="K142" s="1529">
        <f t="shared" si="5"/>
        <v>0</v>
      </c>
      <c r="L142" s="1485">
        <f t="shared" si="6"/>
        <v>0</v>
      </c>
      <c r="M142" s="3153"/>
    </row>
    <row r="143" spans="2:14" x14ac:dyDescent="0.35">
      <c r="B143" s="3150"/>
      <c r="C143" s="3150"/>
      <c r="D143" s="923"/>
      <c r="E143" s="291"/>
      <c r="F143" s="291"/>
      <c r="G143" s="927"/>
      <c r="H143" s="326"/>
      <c r="I143" s="321"/>
      <c r="J143" s="147"/>
      <c r="K143" s="1529">
        <f t="shared" si="5"/>
        <v>0</v>
      </c>
      <c r="L143" s="1485">
        <f t="shared" si="6"/>
        <v>0</v>
      </c>
      <c r="M143" s="3153"/>
    </row>
    <row r="144" spans="2:14" x14ac:dyDescent="0.35">
      <c r="B144" s="3150"/>
      <c r="C144" s="3150"/>
      <c r="D144" s="874"/>
      <c r="E144" s="151"/>
      <c r="F144" s="151"/>
      <c r="G144" s="927"/>
      <c r="H144" s="326"/>
      <c r="I144" s="321"/>
      <c r="J144" s="147"/>
      <c r="K144" s="1529">
        <f t="shared" si="5"/>
        <v>0</v>
      </c>
      <c r="L144" s="1485">
        <f t="shared" si="6"/>
        <v>0</v>
      </c>
      <c r="M144" s="3153"/>
    </row>
    <row r="145" spans="2:13" ht="15" thickBot="1" x14ac:dyDescent="0.4">
      <c r="B145" s="3151"/>
      <c r="C145" s="3151"/>
      <c r="D145" s="920"/>
      <c r="E145" s="150"/>
      <c r="F145" s="150"/>
      <c r="G145" s="928"/>
      <c r="H145" s="327"/>
      <c r="I145" s="322"/>
      <c r="J145" s="152"/>
      <c r="K145" s="1529">
        <f t="shared" si="5"/>
        <v>0</v>
      </c>
      <c r="L145" s="1484">
        <f t="shared" si="6"/>
        <v>0</v>
      </c>
      <c r="M145" s="3154"/>
    </row>
    <row r="146" spans="2:13" x14ac:dyDescent="0.35">
      <c r="B146" s="3149" t="str">
        <f>+'B) Reajuste Tarifas y Ocupación'!A63</f>
        <v>Piscina C.R. Las Salinas</v>
      </c>
      <c r="C146" s="3149" t="s">
        <v>215</v>
      </c>
      <c r="D146" s="922"/>
      <c r="E146" s="502"/>
      <c r="F146" s="503"/>
      <c r="G146" s="927"/>
      <c r="H146" s="328"/>
      <c r="I146" s="323"/>
      <c r="J146" s="155"/>
      <c r="K146" s="1528">
        <f t="shared" si="5"/>
        <v>0</v>
      </c>
      <c r="L146" s="1448">
        <f t="shared" si="6"/>
        <v>0</v>
      </c>
      <c r="M146" s="3152">
        <f>SUM(L146:L167)</f>
        <v>10929945.53738945</v>
      </c>
    </row>
    <row r="147" spans="2:13" x14ac:dyDescent="0.35">
      <c r="B147" s="3150"/>
      <c r="C147" s="3150"/>
      <c r="D147" s="874"/>
      <c r="E147" s="151"/>
      <c r="F147" s="151"/>
      <c r="G147" s="927"/>
      <c r="H147" s="326"/>
      <c r="I147" s="321"/>
      <c r="J147" s="147"/>
      <c r="K147" s="1529">
        <f t="shared" si="5"/>
        <v>0</v>
      </c>
      <c r="L147" s="1485">
        <f t="shared" si="6"/>
        <v>0</v>
      </c>
      <c r="M147" s="3153"/>
    </row>
    <row r="148" spans="2:13" x14ac:dyDescent="0.35">
      <c r="B148" s="3150"/>
      <c r="C148" s="3150"/>
      <c r="D148" s="874"/>
      <c r="E148" s="151"/>
      <c r="F148" s="151"/>
      <c r="G148" s="927"/>
      <c r="H148" s="326"/>
      <c r="I148" s="321"/>
      <c r="J148" s="147"/>
      <c r="K148" s="1529">
        <f t="shared" si="5"/>
        <v>0</v>
      </c>
      <c r="L148" s="1485">
        <f t="shared" si="6"/>
        <v>0</v>
      </c>
      <c r="M148" s="3153"/>
    </row>
    <row r="149" spans="2:13" x14ac:dyDescent="0.35">
      <c r="B149" s="3150"/>
      <c r="C149" s="3150"/>
      <c r="D149" s="874"/>
      <c r="E149" s="151"/>
      <c r="F149" s="151"/>
      <c r="G149" s="927"/>
      <c r="H149" s="326"/>
      <c r="I149" s="321"/>
      <c r="J149" s="147"/>
      <c r="K149" s="1529">
        <f t="shared" si="5"/>
        <v>0</v>
      </c>
      <c r="L149" s="1485">
        <f t="shared" si="6"/>
        <v>0</v>
      </c>
      <c r="M149" s="3153"/>
    </row>
    <row r="150" spans="2:13" x14ac:dyDescent="0.35">
      <c r="B150" s="3150"/>
      <c r="C150" s="3150"/>
      <c r="D150" s="874"/>
      <c r="E150" s="151"/>
      <c r="F150" s="151"/>
      <c r="G150" s="927"/>
      <c r="H150" s="326"/>
      <c r="I150" s="321"/>
      <c r="J150" s="147"/>
      <c r="K150" s="1529">
        <f t="shared" si="5"/>
        <v>0</v>
      </c>
      <c r="L150" s="1485">
        <f t="shared" si="6"/>
        <v>0</v>
      </c>
      <c r="M150" s="3153"/>
    </row>
    <row r="151" spans="2:13" x14ac:dyDescent="0.35">
      <c r="B151" s="3150"/>
      <c r="C151" s="3150"/>
      <c r="D151" s="874"/>
      <c r="E151" s="151"/>
      <c r="F151" s="151"/>
      <c r="G151" s="927"/>
      <c r="H151" s="326"/>
      <c r="I151" s="321"/>
      <c r="J151" s="147"/>
      <c r="K151" s="1529">
        <f t="shared" si="5"/>
        <v>0</v>
      </c>
      <c r="L151" s="1485">
        <f t="shared" si="6"/>
        <v>0</v>
      </c>
      <c r="M151" s="3153"/>
    </row>
    <row r="152" spans="2:13" x14ac:dyDescent="0.35">
      <c r="B152" s="3150"/>
      <c r="C152" s="3150"/>
      <c r="D152" s="874"/>
      <c r="E152" s="151"/>
      <c r="F152" s="151"/>
      <c r="G152" s="927"/>
      <c r="H152" s="326"/>
      <c r="I152" s="321"/>
      <c r="J152" s="147"/>
      <c r="K152" s="1529">
        <f t="shared" si="5"/>
        <v>0</v>
      </c>
      <c r="L152" s="1485">
        <f t="shared" si="6"/>
        <v>0</v>
      </c>
      <c r="M152" s="3153"/>
    </row>
    <row r="153" spans="2:13" x14ac:dyDescent="0.35">
      <c r="B153" s="3150"/>
      <c r="C153" s="3150"/>
      <c r="D153" s="874"/>
      <c r="E153" s="151"/>
      <c r="F153" s="151"/>
      <c r="G153" s="927"/>
      <c r="H153" s="326"/>
      <c r="I153" s="321"/>
      <c r="J153" s="147"/>
      <c r="K153" s="1529">
        <f t="shared" si="5"/>
        <v>0</v>
      </c>
      <c r="L153" s="1485">
        <f t="shared" si="6"/>
        <v>0</v>
      </c>
      <c r="M153" s="3153"/>
    </row>
    <row r="154" spans="2:13" x14ac:dyDescent="0.35">
      <c r="B154" s="3150"/>
      <c r="C154" s="3150"/>
      <c r="D154" s="874"/>
      <c r="E154" s="151"/>
      <c r="F154" s="151"/>
      <c r="G154" s="927"/>
      <c r="H154" s="326"/>
      <c r="I154" s="321"/>
      <c r="J154" s="147"/>
      <c r="K154" s="1529">
        <f t="shared" si="5"/>
        <v>0</v>
      </c>
      <c r="L154" s="1485">
        <f t="shared" si="6"/>
        <v>0</v>
      </c>
      <c r="M154" s="3153"/>
    </row>
    <row r="155" spans="2:13" x14ac:dyDescent="0.35">
      <c r="B155" s="3150"/>
      <c r="C155" s="3150"/>
      <c r="D155" s="874"/>
      <c r="E155" s="151"/>
      <c r="F155" s="151"/>
      <c r="G155" s="927"/>
      <c r="H155" s="326"/>
      <c r="I155" s="321"/>
      <c r="J155" s="147"/>
      <c r="K155" s="1529">
        <f t="shared" si="5"/>
        <v>0</v>
      </c>
      <c r="L155" s="1485">
        <f t="shared" si="6"/>
        <v>0</v>
      </c>
      <c r="M155" s="3153"/>
    </row>
    <row r="156" spans="2:13" ht="15" thickBot="1" x14ac:dyDescent="0.4">
      <c r="B156" s="3150"/>
      <c r="C156" s="3151"/>
      <c r="D156" s="920"/>
      <c r="E156" s="150"/>
      <c r="F156" s="150"/>
      <c r="G156" s="928"/>
      <c r="H156" s="327"/>
      <c r="I156" s="322"/>
      <c r="J156" s="152"/>
      <c r="K156" s="1529">
        <f t="shared" si="5"/>
        <v>0</v>
      </c>
      <c r="L156" s="1484">
        <f t="shared" si="6"/>
        <v>0</v>
      </c>
      <c r="M156" s="3153"/>
    </row>
    <row r="157" spans="2:13" x14ac:dyDescent="0.35">
      <c r="B157" s="3150"/>
      <c r="C157" s="3149" t="s">
        <v>216</v>
      </c>
      <c r="D157" s="2480"/>
      <c r="E157" s="2475"/>
      <c r="F157" s="2457"/>
      <c r="G157" s="2459"/>
      <c r="H157" s="328"/>
      <c r="I157" s="323"/>
      <c r="J157" s="155"/>
      <c r="K157" s="1528">
        <f t="shared" si="5"/>
        <v>0</v>
      </c>
      <c r="L157" s="1448">
        <f t="shared" si="6"/>
        <v>0</v>
      </c>
      <c r="M157" s="3153"/>
    </row>
    <row r="158" spans="2:13" x14ac:dyDescent="0.35">
      <c r="B158" s="3150"/>
      <c r="C158" s="3150"/>
      <c r="D158" s="2482"/>
      <c r="E158" s="2471"/>
      <c r="F158" s="2458"/>
      <c r="G158" s="2459"/>
      <c r="H158" s="865"/>
      <c r="I158" s="321"/>
      <c r="J158" s="147"/>
      <c r="K158" s="1529">
        <f t="shared" si="5"/>
        <v>0</v>
      </c>
      <c r="L158" s="1485">
        <f t="shared" si="6"/>
        <v>0</v>
      </c>
      <c r="M158" s="3153"/>
    </row>
    <row r="159" spans="2:13" x14ac:dyDescent="0.35">
      <c r="B159" s="3150"/>
      <c r="C159" s="3150"/>
      <c r="D159" s="2482" t="s">
        <v>496</v>
      </c>
      <c r="E159" s="2471"/>
      <c r="F159" s="2458"/>
      <c r="G159" s="2459">
        <v>3</v>
      </c>
      <c r="H159" s="865">
        <v>1066813.7367099999</v>
      </c>
      <c r="I159" s="321"/>
      <c r="J159" s="147"/>
      <c r="K159" s="1529">
        <f t="shared" si="5"/>
        <v>1066813.7367099999</v>
      </c>
      <c r="L159" s="1485">
        <f t="shared" si="6"/>
        <v>1114820.3548619498</v>
      </c>
      <c r="M159" s="3153"/>
    </row>
    <row r="160" spans="2:13" x14ac:dyDescent="0.35">
      <c r="B160" s="3150"/>
      <c r="C160" s="3150"/>
      <c r="D160" s="2482" t="s">
        <v>1083</v>
      </c>
      <c r="E160" s="2471"/>
      <c r="F160" s="2458"/>
      <c r="G160" s="2459">
        <v>3.5</v>
      </c>
      <c r="H160" s="865">
        <v>2694786.1750000003</v>
      </c>
      <c r="I160" s="321"/>
      <c r="J160" s="147"/>
      <c r="K160" s="1529">
        <f t="shared" si="5"/>
        <v>2694786.1750000003</v>
      </c>
      <c r="L160" s="1485">
        <f t="shared" si="6"/>
        <v>2816051.5528750001</v>
      </c>
      <c r="M160" s="3153"/>
    </row>
    <row r="161" spans="2:13" x14ac:dyDescent="0.35">
      <c r="B161" s="3150"/>
      <c r="C161" s="3150"/>
      <c r="D161" s="2482" t="s">
        <v>1083</v>
      </c>
      <c r="E161" s="2471"/>
      <c r="F161" s="2458"/>
      <c r="G161" s="2459">
        <v>3.5</v>
      </c>
      <c r="H161" s="865">
        <v>2694786.1750000003</v>
      </c>
      <c r="I161" s="321"/>
      <c r="J161" s="147"/>
      <c r="K161" s="1529">
        <f t="shared" si="5"/>
        <v>2694786.1750000003</v>
      </c>
      <c r="L161" s="1485">
        <f t="shared" si="6"/>
        <v>2816051.5528750001</v>
      </c>
      <c r="M161" s="3153"/>
    </row>
    <row r="162" spans="2:13" x14ac:dyDescent="0.35">
      <c r="B162" s="3150"/>
      <c r="C162" s="3150"/>
      <c r="D162" s="2482" t="s">
        <v>1084</v>
      </c>
      <c r="E162" s="2471"/>
      <c r="F162" s="2458"/>
      <c r="G162" s="2459">
        <v>3.5</v>
      </c>
      <c r="H162" s="865">
        <v>2694786.1750000003</v>
      </c>
      <c r="I162" s="321"/>
      <c r="J162" s="147"/>
      <c r="K162" s="1529">
        <f t="shared" si="5"/>
        <v>2694786.1750000003</v>
      </c>
      <c r="L162" s="1485">
        <f t="shared" si="6"/>
        <v>2816051.5528750001</v>
      </c>
      <c r="M162" s="3153"/>
    </row>
    <row r="163" spans="2:13" x14ac:dyDescent="0.35">
      <c r="B163" s="3150"/>
      <c r="C163" s="3150"/>
      <c r="D163" s="2472" t="s">
        <v>504</v>
      </c>
      <c r="E163" s="2471"/>
      <c r="F163" s="2458"/>
      <c r="G163" s="2459">
        <v>3.5</v>
      </c>
      <c r="H163" s="2473">
        <v>1308105.7645</v>
      </c>
      <c r="I163" s="321"/>
      <c r="J163" s="147"/>
      <c r="K163" s="1529">
        <f t="shared" si="5"/>
        <v>1308105.7645</v>
      </c>
      <c r="L163" s="1485">
        <f t="shared" si="6"/>
        <v>1366970.5239025</v>
      </c>
      <c r="M163" s="3153"/>
    </row>
    <row r="164" spans="2:13" x14ac:dyDescent="0.35">
      <c r="B164" s="3150"/>
      <c r="C164" s="3150"/>
      <c r="D164" s="1538"/>
      <c r="E164" s="504"/>
      <c r="F164" s="151"/>
      <c r="G164" s="918"/>
      <c r="H164" s="326"/>
      <c r="I164" s="321"/>
      <c r="J164" s="147"/>
      <c r="K164" s="1529">
        <f t="shared" si="5"/>
        <v>0</v>
      </c>
      <c r="L164" s="1485">
        <f t="shared" si="6"/>
        <v>0</v>
      </c>
      <c r="M164" s="3153"/>
    </row>
    <row r="165" spans="2:13" x14ac:dyDescent="0.35">
      <c r="B165" s="3150"/>
      <c r="C165" s="3150"/>
      <c r="D165" s="924"/>
      <c r="E165" s="504"/>
      <c r="F165" s="151"/>
      <c r="G165" s="918"/>
      <c r="H165" s="326"/>
      <c r="I165" s="321"/>
      <c r="J165" s="147"/>
      <c r="K165" s="1529">
        <f t="shared" si="5"/>
        <v>0</v>
      </c>
      <c r="L165" s="1485">
        <f t="shared" si="6"/>
        <v>0</v>
      </c>
      <c r="M165" s="3153"/>
    </row>
    <row r="166" spans="2:13" x14ac:dyDescent="0.35">
      <c r="B166" s="3150"/>
      <c r="C166" s="3150"/>
      <c r="D166" s="874"/>
      <c r="E166" s="151"/>
      <c r="F166" s="151"/>
      <c r="G166" s="918"/>
      <c r="H166" s="326"/>
      <c r="I166" s="321"/>
      <c r="J166" s="147"/>
      <c r="K166" s="1529">
        <f t="shared" si="5"/>
        <v>0</v>
      </c>
      <c r="L166" s="1485">
        <f t="shared" si="6"/>
        <v>0</v>
      </c>
      <c r="M166" s="3153"/>
    </row>
    <row r="167" spans="2:13" ht="15" thickBot="1" x14ac:dyDescent="0.4">
      <c r="B167" s="3151"/>
      <c r="C167" s="3151"/>
      <c r="D167" s="920"/>
      <c r="E167" s="150"/>
      <c r="F167" s="150"/>
      <c r="G167" s="928"/>
      <c r="H167" s="327"/>
      <c r="I167" s="322"/>
      <c r="J167" s="152"/>
      <c r="K167" s="1529">
        <f t="shared" si="5"/>
        <v>0</v>
      </c>
      <c r="L167" s="1484">
        <f t="shared" si="6"/>
        <v>0</v>
      </c>
      <c r="M167" s="3154"/>
    </row>
    <row r="168" spans="2:13" x14ac:dyDescent="0.35">
      <c r="B168" s="3149" t="str">
        <f>+'B) Reajuste Tarifas y Ocupación'!A65</f>
        <v>C. R. Ralunco</v>
      </c>
      <c r="C168" s="3149" t="s">
        <v>215</v>
      </c>
      <c r="D168" s="2454" t="s">
        <v>414</v>
      </c>
      <c r="E168" s="2454" t="s">
        <v>415</v>
      </c>
      <c r="F168" s="2454" t="s">
        <v>399</v>
      </c>
      <c r="G168" s="2454" t="s">
        <v>416</v>
      </c>
      <c r="H168" s="868">
        <v>19223268</v>
      </c>
      <c r="I168" s="2455">
        <v>170128</v>
      </c>
      <c r="J168" s="868">
        <v>217145</v>
      </c>
      <c r="K168" s="1528">
        <f t="shared" si="5"/>
        <v>19610541</v>
      </c>
      <c r="L168" s="1448">
        <f t="shared" si="6"/>
        <v>20475588.059999999</v>
      </c>
      <c r="M168" s="3152">
        <f>SUM(L168:L189)</f>
        <v>36830110.181718796</v>
      </c>
    </row>
    <row r="169" spans="2:13" x14ac:dyDescent="0.35">
      <c r="B169" s="3150"/>
      <c r="C169" s="3150"/>
      <c r="D169" s="2460"/>
      <c r="E169" s="2458"/>
      <c r="F169" s="2458"/>
      <c r="G169" s="2461"/>
      <c r="H169" s="865"/>
      <c r="I169" s="865"/>
      <c r="J169" s="870"/>
      <c r="K169" s="1529">
        <f t="shared" si="5"/>
        <v>0</v>
      </c>
      <c r="L169" s="1485">
        <f t="shared" si="6"/>
        <v>0</v>
      </c>
      <c r="M169" s="3153"/>
    </row>
    <row r="170" spans="2:13" x14ac:dyDescent="0.35">
      <c r="B170" s="3150"/>
      <c r="C170" s="3150"/>
      <c r="D170" s="2460"/>
      <c r="E170" s="2458"/>
      <c r="F170" s="2458"/>
      <c r="G170" s="2461"/>
      <c r="H170" s="865"/>
      <c r="I170" s="865"/>
      <c r="J170" s="870"/>
      <c r="K170" s="1529">
        <f t="shared" si="5"/>
        <v>0</v>
      </c>
      <c r="L170" s="1485">
        <f t="shared" si="6"/>
        <v>0</v>
      </c>
      <c r="M170" s="3153"/>
    </row>
    <row r="171" spans="2:13" x14ac:dyDescent="0.35">
      <c r="B171" s="3150"/>
      <c r="C171" s="3150"/>
      <c r="D171" s="2460"/>
      <c r="E171" s="2458"/>
      <c r="F171" s="2458"/>
      <c r="G171" s="2461"/>
      <c r="H171" s="865"/>
      <c r="I171" s="865"/>
      <c r="J171" s="870"/>
      <c r="K171" s="1529">
        <f t="shared" si="5"/>
        <v>0</v>
      </c>
      <c r="L171" s="1485">
        <f t="shared" si="6"/>
        <v>0</v>
      </c>
      <c r="M171" s="3153"/>
    </row>
    <row r="172" spans="2:13" x14ac:dyDescent="0.35">
      <c r="B172" s="3150"/>
      <c r="C172" s="3150"/>
      <c r="D172" s="2460"/>
      <c r="E172" s="2458"/>
      <c r="F172" s="2458"/>
      <c r="G172" s="2461"/>
      <c r="H172" s="865"/>
      <c r="I172" s="865"/>
      <c r="J172" s="870"/>
      <c r="K172" s="1529">
        <f t="shared" si="5"/>
        <v>0</v>
      </c>
      <c r="L172" s="1485">
        <f t="shared" si="6"/>
        <v>0</v>
      </c>
      <c r="M172" s="3153"/>
    </row>
    <row r="173" spans="2:13" x14ac:dyDescent="0.35">
      <c r="B173" s="3150"/>
      <c r="C173" s="3150"/>
      <c r="D173" s="2460"/>
      <c r="E173" s="2458"/>
      <c r="F173" s="2458"/>
      <c r="G173" s="2461"/>
      <c r="H173" s="865"/>
      <c r="I173" s="865"/>
      <c r="J173" s="870"/>
      <c r="K173" s="1529">
        <f t="shared" si="5"/>
        <v>0</v>
      </c>
      <c r="L173" s="1485">
        <f t="shared" si="6"/>
        <v>0</v>
      </c>
      <c r="M173" s="3153"/>
    </row>
    <row r="174" spans="2:13" x14ac:dyDescent="0.35">
      <c r="B174" s="3150"/>
      <c r="C174" s="3150"/>
      <c r="D174" s="2460"/>
      <c r="E174" s="2458"/>
      <c r="F174" s="2458"/>
      <c r="G174" s="2461"/>
      <c r="H174" s="865"/>
      <c r="I174" s="865"/>
      <c r="J174" s="870"/>
      <c r="K174" s="1529">
        <f t="shared" si="5"/>
        <v>0</v>
      </c>
      <c r="L174" s="1485">
        <f t="shared" si="6"/>
        <v>0</v>
      </c>
      <c r="M174" s="3153"/>
    </row>
    <row r="175" spans="2:13" x14ac:dyDescent="0.35">
      <c r="B175" s="3150"/>
      <c r="C175" s="3150"/>
      <c r="D175" s="2460"/>
      <c r="E175" s="2458"/>
      <c r="F175" s="2458"/>
      <c r="G175" s="2461"/>
      <c r="H175" s="865"/>
      <c r="I175" s="865"/>
      <c r="J175" s="870"/>
      <c r="K175" s="1529">
        <f t="shared" si="5"/>
        <v>0</v>
      </c>
      <c r="L175" s="1485">
        <f t="shared" si="6"/>
        <v>0</v>
      </c>
      <c r="M175" s="3153"/>
    </row>
    <row r="176" spans="2:13" x14ac:dyDescent="0.35">
      <c r="B176" s="3150"/>
      <c r="C176" s="3150"/>
      <c r="D176" s="2460"/>
      <c r="E176" s="2458"/>
      <c r="F176" s="2458"/>
      <c r="G176" s="2461"/>
      <c r="H176" s="865"/>
      <c r="I176" s="865"/>
      <c r="J176" s="870"/>
      <c r="K176" s="1529">
        <f t="shared" si="5"/>
        <v>0</v>
      </c>
      <c r="L176" s="1485">
        <f t="shared" si="6"/>
        <v>0</v>
      </c>
      <c r="M176" s="3153"/>
    </row>
    <row r="177" spans="2:13" x14ac:dyDescent="0.35">
      <c r="B177" s="3150"/>
      <c r="C177" s="3150"/>
      <c r="D177" s="2460"/>
      <c r="E177" s="2458"/>
      <c r="F177" s="2458"/>
      <c r="G177" s="2461"/>
      <c r="H177" s="865"/>
      <c r="I177" s="865"/>
      <c r="J177" s="870"/>
      <c r="K177" s="1529">
        <f t="shared" si="5"/>
        <v>0</v>
      </c>
      <c r="L177" s="1485">
        <f t="shared" si="6"/>
        <v>0</v>
      </c>
      <c r="M177" s="3153"/>
    </row>
    <row r="178" spans="2:13" ht="15" thickBot="1" x14ac:dyDescent="0.4">
      <c r="B178" s="3150"/>
      <c r="C178" s="3151"/>
      <c r="D178" s="2623"/>
      <c r="E178" s="2624"/>
      <c r="F178" s="2624"/>
      <c r="G178" s="2625"/>
      <c r="H178" s="2626"/>
      <c r="I178" s="2626"/>
      <c r="J178" s="2627"/>
      <c r="K178" s="1529">
        <f t="shared" si="5"/>
        <v>0</v>
      </c>
      <c r="L178" s="1484">
        <f t="shared" si="6"/>
        <v>0</v>
      </c>
      <c r="M178" s="3153"/>
    </row>
    <row r="179" spans="2:13" x14ac:dyDescent="0.35">
      <c r="B179" s="3150"/>
      <c r="C179" s="3167" t="s">
        <v>216</v>
      </c>
      <c r="D179" s="2483" t="s">
        <v>498</v>
      </c>
      <c r="E179" s="2457"/>
      <c r="F179" s="2457"/>
      <c r="G179" s="2646">
        <v>2.5</v>
      </c>
      <c r="H179" s="328">
        <v>1996757.2115</v>
      </c>
      <c r="I179" s="328"/>
      <c r="J179" s="2467"/>
      <c r="K179" s="2653">
        <f t="shared" si="5"/>
        <v>1996757.2115</v>
      </c>
      <c r="L179" s="1448">
        <f t="shared" si="6"/>
        <v>2086611.2860174999</v>
      </c>
      <c r="M179" s="3153"/>
    </row>
    <row r="180" spans="2:13" x14ac:dyDescent="0.35">
      <c r="B180" s="3150"/>
      <c r="C180" s="3168"/>
      <c r="D180" s="2655" t="s">
        <v>498</v>
      </c>
      <c r="E180" s="2637"/>
      <c r="F180" s="2637"/>
      <c r="G180" s="2658">
        <v>2.5</v>
      </c>
      <c r="H180" s="2618">
        <v>1996757.2115</v>
      </c>
      <c r="I180" s="2618"/>
      <c r="J180" s="2660"/>
      <c r="K180" s="2654">
        <f t="shared" si="5"/>
        <v>1996757.2115</v>
      </c>
      <c r="L180" s="1485">
        <f t="shared" si="6"/>
        <v>2086611.2860174999</v>
      </c>
      <c r="M180" s="3153"/>
    </row>
    <row r="181" spans="2:13" x14ac:dyDescent="0.35">
      <c r="B181" s="3150"/>
      <c r="C181" s="3168"/>
      <c r="D181" s="2655" t="s">
        <v>499</v>
      </c>
      <c r="E181" s="2637"/>
      <c r="F181" s="2637"/>
      <c r="G181" s="2658">
        <v>2.5</v>
      </c>
      <c r="H181" s="2618">
        <v>2069825.6666666667</v>
      </c>
      <c r="I181" s="2618"/>
      <c r="J181" s="2660"/>
      <c r="K181" s="2654">
        <f t="shared" si="5"/>
        <v>2069825.6666666667</v>
      </c>
      <c r="L181" s="1485">
        <f t="shared" si="6"/>
        <v>2162967.8216666668</v>
      </c>
      <c r="M181" s="3153"/>
    </row>
    <row r="182" spans="2:13" x14ac:dyDescent="0.35">
      <c r="B182" s="3150"/>
      <c r="C182" s="3168"/>
      <c r="D182" s="2655" t="s">
        <v>500</v>
      </c>
      <c r="E182" s="2637"/>
      <c r="F182" s="2637"/>
      <c r="G182" s="2658">
        <v>2</v>
      </c>
      <c r="H182" s="2618">
        <v>798788.583292</v>
      </c>
      <c r="I182" s="2618"/>
      <c r="J182" s="2660"/>
      <c r="K182" s="2654">
        <f t="shared" si="5"/>
        <v>798788.583292</v>
      </c>
      <c r="L182" s="1485">
        <f t="shared" si="6"/>
        <v>834734.06954013999</v>
      </c>
      <c r="M182" s="3153"/>
    </row>
    <row r="183" spans="2:13" x14ac:dyDescent="0.35">
      <c r="B183" s="3150"/>
      <c r="C183" s="3168"/>
      <c r="D183" s="2655" t="s">
        <v>501</v>
      </c>
      <c r="E183" s="2637"/>
      <c r="F183" s="2637"/>
      <c r="G183" s="2658">
        <v>2</v>
      </c>
      <c r="H183" s="2618">
        <v>1598205.7692</v>
      </c>
      <c r="I183" s="2618"/>
      <c r="J183" s="2660"/>
      <c r="K183" s="2654">
        <f t="shared" si="5"/>
        <v>1598205.7692</v>
      </c>
      <c r="L183" s="1485">
        <f t="shared" si="6"/>
        <v>1670125.0288139998</v>
      </c>
      <c r="M183" s="3153"/>
    </row>
    <row r="184" spans="2:13" x14ac:dyDescent="0.35">
      <c r="B184" s="3150"/>
      <c r="C184" s="3168"/>
      <c r="D184" s="2655" t="s">
        <v>501</v>
      </c>
      <c r="E184" s="2637"/>
      <c r="F184" s="2637"/>
      <c r="G184" s="2658">
        <v>2</v>
      </c>
      <c r="H184" s="2618">
        <v>1598205.7692</v>
      </c>
      <c r="I184" s="2618"/>
      <c r="J184" s="2660"/>
      <c r="K184" s="2654">
        <f t="shared" si="5"/>
        <v>1598205.7692</v>
      </c>
      <c r="L184" s="1485">
        <f t="shared" si="6"/>
        <v>1670125.0288139998</v>
      </c>
      <c r="M184" s="3153"/>
    </row>
    <row r="185" spans="2:13" x14ac:dyDescent="0.35">
      <c r="B185" s="3150"/>
      <c r="C185" s="3168"/>
      <c r="D185" s="2655" t="s">
        <v>501</v>
      </c>
      <c r="E185" s="2637"/>
      <c r="F185" s="2637"/>
      <c r="G185" s="2658">
        <v>2</v>
      </c>
      <c r="H185" s="2618">
        <v>1598205.7692</v>
      </c>
      <c r="I185" s="2618"/>
      <c r="J185" s="2660"/>
      <c r="K185" s="2654">
        <f t="shared" si="5"/>
        <v>1598205.7692</v>
      </c>
      <c r="L185" s="1485">
        <f t="shared" si="6"/>
        <v>1670125.0288139998</v>
      </c>
      <c r="M185" s="3153"/>
    </row>
    <row r="186" spans="2:13" x14ac:dyDescent="0.35">
      <c r="B186" s="3150"/>
      <c r="C186" s="3168"/>
      <c r="D186" s="2655" t="s">
        <v>501</v>
      </c>
      <c r="E186" s="2637"/>
      <c r="F186" s="2637"/>
      <c r="G186" s="2658">
        <v>2</v>
      </c>
      <c r="H186" s="2618">
        <v>1598205.7692</v>
      </c>
      <c r="I186" s="2618"/>
      <c r="J186" s="2660"/>
      <c r="K186" s="2654">
        <f t="shared" si="5"/>
        <v>1598205.7692</v>
      </c>
      <c r="L186" s="1485">
        <f t="shared" si="6"/>
        <v>1670125.0288139998</v>
      </c>
      <c r="M186" s="3153"/>
    </row>
    <row r="187" spans="2:13" x14ac:dyDescent="0.35">
      <c r="B187" s="3150"/>
      <c r="C187" s="3168"/>
      <c r="D187" s="2656" t="s">
        <v>1243</v>
      </c>
      <c r="E187" s="2637"/>
      <c r="F187" s="2637"/>
      <c r="G187" s="2658">
        <v>3</v>
      </c>
      <c r="H187" s="2618">
        <v>2395308.6538</v>
      </c>
      <c r="I187" s="2618"/>
      <c r="J187" s="2660"/>
      <c r="K187" s="2654">
        <f t="shared" si="5"/>
        <v>2395308.6538</v>
      </c>
      <c r="L187" s="1485">
        <f t="shared" si="6"/>
        <v>2503097.5432209997</v>
      </c>
      <c r="M187" s="3153"/>
    </row>
    <row r="188" spans="2:13" x14ac:dyDescent="0.35">
      <c r="B188" s="3150"/>
      <c r="C188" s="3168"/>
      <c r="D188" s="2657"/>
      <c r="E188" s="2637"/>
      <c r="F188" s="2637"/>
      <c r="G188" s="2659"/>
      <c r="H188" s="2618"/>
      <c r="I188" s="2618"/>
      <c r="J188" s="2660"/>
      <c r="K188" s="2654">
        <f t="shared" si="5"/>
        <v>0</v>
      </c>
      <c r="L188" s="1485">
        <f t="shared" si="6"/>
        <v>0</v>
      </c>
      <c r="M188" s="3153"/>
    </row>
    <row r="189" spans="2:13" ht="15" thickBot="1" x14ac:dyDescent="0.4">
      <c r="B189" s="3151"/>
      <c r="C189" s="3169"/>
      <c r="D189" s="2643"/>
      <c r="E189" s="2644"/>
      <c r="F189" s="2644"/>
      <c r="G189" s="2648"/>
      <c r="H189" s="327"/>
      <c r="I189" s="327"/>
      <c r="J189" s="2614"/>
      <c r="K189" s="2654">
        <f t="shared" si="5"/>
        <v>0</v>
      </c>
      <c r="L189" s="1484">
        <f t="shared" si="6"/>
        <v>0</v>
      </c>
      <c r="M189" s="3154"/>
    </row>
    <row r="190" spans="2:13" x14ac:dyDescent="0.35">
      <c r="B190" s="3149" t="str">
        <f>+'B) Reajuste Tarifas y Ocupación'!A71</f>
        <v>Piscina C.R. Ralunco</v>
      </c>
      <c r="C190" s="3149" t="s">
        <v>215</v>
      </c>
      <c r="D190" s="2630"/>
      <c r="E190" s="2631"/>
      <c r="F190" s="2631"/>
      <c r="G190" s="2632"/>
      <c r="H190" s="325"/>
      <c r="I190" s="2633"/>
      <c r="J190" s="2634"/>
      <c r="K190" s="1528">
        <f t="shared" si="5"/>
        <v>0</v>
      </c>
      <c r="L190" s="1448">
        <f t="shared" si="6"/>
        <v>0</v>
      </c>
      <c r="M190" s="3152">
        <f>SUM(L190:L211)</f>
        <v>9308595.5222609527</v>
      </c>
    </row>
    <row r="191" spans="2:13" x14ac:dyDescent="0.35">
      <c r="B191" s="3150"/>
      <c r="C191" s="3150"/>
      <c r="D191" s="874"/>
      <c r="E191" s="151"/>
      <c r="F191" s="151"/>
      <c r="G191" s="927"/>
      <c r="H191" s="326"/>
      <c r="I191" s="321"/>
      <c r="J191" s="147"/>
      <c r="K191" s="1529">
        <f t="shared" si="5"/>
        <v>0</v>
      </c>
      <c r="L191" s="1485">
        <f t="shared" si="6"/>
        <v>0</v>
      </c>
      <c r="M191" s="3153"/>
    </row>
    <row r="192" spans="2:13" x14ac:dyDescent="0.35">
      <c r="B192" s="3150"/>
      <c r="C192" s="3150"/>
      <c r="D192" s="874"/>
      <c r="E192" s="151"/>
      <c r="F192" s="151"/>
      <c r="G192" s="927"/>
      <c r="H192" s="326"/>
      <c r="I192" s="321"/>
      <c r="J192" s="147"/>
      <c r="K192" s="1529">
        <f t="shared" si="5"/>
        <v>0</v>
      </c>
      <c r="L192" s="1485">
        <f t="shared" si="6"/>
        <v>0</v>
      </c>
      <c r="M192" s="3153"/>
    </row>
    <row r="193" spans="2:13" x14ac:dyDescent="0.35">
      <c r="B193" s="3150"/>
      <c r="C193" s="3150"/>
      <c r="D193" s="874"/>
      <c r="E193" s="151"/>
      <c r="F193" s="151"/>
      <c r="G193" s="927"/>
      <c r="H193" s="326"/>
      <c r="I193" s="321"/>
      <c r="J193" s="147"/>
      <c r="K193" s="1529">
        <f t="shared" si="5"/>
        <v>0</v>
      </c>
      <c r="L193" s="1485">
        <f t="shared" si="6"/>
        <v>0</v>
      </c>
      <c r="M193" s="3153"/>
    </row>
    <row r="194" spans="2:13" x14ac:dyDescent="0.35">
      <c r="B194" s="3150"/>
      <c r="C194" s="3150"/>
      <c r="D194" s="874"/>
      <c r="E194" s="151"/>
      <c r="F194" s="151"/>
      <c r="G194" s="927"/>
      <c r="H194" s="326"/>
      <c r="I194" s="321"/>
      <c r="J194" s="147"/>
      <c r="K194" s="1529">
        <f t="shared" si="5"/>
        <v>0</v>
      </c>
      <c r="L194" s="1485">
        <f t="shared" si="6"/>
        <v>0</v>
      </c>
      <c r="M194" s="3153"/>
    </row>
    <row r="195" spans="2:13" x14ac:dyDescent="0.35">
      <c r="B195" s="3150"/>
      <c r="C195" s="3150"/>
      <c r="D195" s="874"/>
      <c r="E195" s="151"/>
      <c r="F195" s="151"/>
      <c r="G195" s="927"/>
      <c r="H195" s="326"/>
      <c r="I195" s="321"/>
      <c r="J195" s="147"/>
      <c r="K195" s="1529">
        <f t="shared" si="5"/>
        <v>0</v>
      </c>
      <c r="L195" s="1485">
        <f t="shared" si="6"/>
        <v>0</v>
      </c>
      <c r="M195" s="3153"/>
    </row>
    <row r="196" spans="2:13" x14ac:dyDescent="0.35">
      <c r="B196" s="3150"/>
      <c r="C196" s="3150"/>
      <c r="D196" s="874"/>
      <c r="E196" s="151"/>
      <c r="F196" s="151"/>
      <c r="G196" s="927"/>
      <c r="H196" s="326"/>
      <c r="I196" s="321"/>
      <c r="J196" s="147"/>
      <c r="K196" s="1529">
        <f t="shared" si="5"/>
        <v>0</v>
      </c>
      <c r="L196" s="1485">
        <f t="shared" si="6"/>
        <v>0</v>
      </c>
      <c r="M196" s="3153"/>
    </row>
    <row r="197" spans="2:13" x14ac:dyDescent="0.35">
      <c r="B197" s="3150"/>
      <c r="C197" s="3150"/>
      <c r="D197" s="874"/>
      <c r="E197" s="151"/>
      <c r="F197" s="151"/>
      <c r="G197" s="927"/>
      <c r="H197" s="326"/>
      <c r="I197" s="321"/>
      <c r="J197" s="147"/>
      <c r="K197" s="1529">
        <f t="shared" si="5"/>
        <v>0</v>
      </c>
      <c r="L197" s="1485">
        <f t="shared" si="6"/>
        <v>0</v>
      </c>
      <c r="M197" s="3153"/>
    </row>
    <row r="198" spans="2:13" x14ac:dyDescent="0.35">
      <c r="B198" s="3150"/>
      <c r="C198" s="3150"/>
      <c r="D198" s="874"/>
      <c r="E198" s="151"/>
      <c r="F198" s="151"/>
      <c r="G198" s="927"/>
      <c r="H198" s="326"/>
      <c r="I198" s="321"/>
      <c r="J198" s="147"/>
      <c r="K198" s="1529">
        <f t="shared" si="5"/>
        <v>0</v>
      </c>
      <c r="L198" s="1485">
        <f t="shared" si="6"/>
        <v>0</v>
      </c>
      <c r="M198" s="3153"/>
    </row>
    <row r="199" spans="2:13" x14ac:dyDescent="0.35">
      <c r="B199" s="3150"/>
      <c r="C199" s="3150"/>
      <c r="D199" s="874"/>
      <c r="E199" s="151"/>
      <c r="F199" s="151"/>
      <c r="G199" s="927"/>
      <c r="H199" s="326"/>
      <c r="I199" s="321"/>
      <c r="J199" s="147"/>
      <c r="K199" s="1529">
        <f t="shared" si="5"/>
        <v>0</v>
      </c>
      <c r="L199" s="1485">
        <f t="shared" si="6"/>
        <v>0</v>
      </c>
      <c r="M199" s="3153"/>
    </row>
    <row r="200" spans="2:13" ht="15" thickBot="1" x14ac:dyDescent="0.4">
      <c r="B200" s="3150"/>
      <c r="C200" s="3151"/>
      <c r="D200" s="920"/>
      <c r="E200" s="150"/>
      <c r="F200" s="150"/>
      <c r="G200" s="928"/>
      <c r="H200" s="327"/>
      <c r="I200" s="322"/>
      <c r="J200" s="152"/>
      <c r="K200" s="1529">
        <f t="shared" si="5"/>
        <v>0</v>
      </c>
      <c r="L200" s="1484">
        <f t="shared" si="6"/>
        <v>0</v>
      </c>
      <c r="M200" s="3153"/>
    </row>
    <row r="201" spans="2:13" x14ac:dyDescent="0.35">
      <c r="B201" s="3150"/>
      <c r="C201" s="3149" t="s">
        <v>216</v>
      </c>
      <c r="D201" s="2484"/>
      <c r="E201" s="2457"/>
      <c r="F201" s="2457"/>
      <c r="G201" s="2466"/>
      <c r="H201" s="328"/>
      <c r="I201" s="323"/>
      <c r="J201" s="155"/>
      <c r="K201" s="1528">
        <f t="shared" si="5"/>
        <v>0</v>
      </c>
      <c r="L201" s="1448">
        <f t="shared" si="6"/>
        <v>0</v>
      </c>
      <c r="M201" s="3153"/>
    </row>
    <row r="202" spans="2:13" x14ac:dyDescent="0.35">
      <c r="B202" s="3150"/>
      <c r="C202" s="3150"/>
      <c r="D202" s="2484"/>
      <c r="E202" s="2458"/>
      <c r="F202" s="2458"/>
      <c r="G202" s="2459"/>
      <c r="H202" s="865"/>
      <c r="I202" s="321"/>
      <c r="J202" s="147"/>
      <c r="K202" s="1529">
        <f t="shared" si="5"/>
        <v>0</v>
      </c>
      <c r="L202" s="1485">
        <f t="shared" si="6"/>
        <v>0</v>
      </c>
      <c r="M202" s="3153"/>
    </row>
    <row r="203" spans="2:13" x14ac:dyDescent="0.35">
      <c r="B203" s="3150"/>
      <c r="C203" s="3150"/>
      <c r="D203" s="2480"/>
      <c r="E203" s="2458"/>
      <c r="F203" s="2458"/>
      <c r="G203" s="2459"/>
      <c r="H203" s="865"/>
      <c r="I203" s="321"/>
      <c r="J203" s="147"/>
      <c r="K203" s="1529">
        <f t="shared" si="5"/>
        <v>0</v>
      </c>
      <c r="L203" s="1485">
        <f t="shared" si="6"/>
        <v>0</v>
      </c>
      <c r="M203" s="3153"/>
    </row>
    <row r="204" spans="2:13" x14ac:dyDescent="0.35">
      <c r="B204" s="3150"/>
      <c r="C204" s="3150"/>
      <c r="D204" s="2484" t="s">
        <v>502</v>
      </c>
      <c r="E204" s="2458"/>
      <c r="F204" s="2458"/>
      <c r="G204" s="2459">
        <v>2</v>
      </c>
      <c r="H204" s="865">
        <v>798788.583292</v>
      </c>
      <c r="I204" s="321"/>
      <c r="J204" s="147"/>
      <c r="K204" s="1529">
        <f t="shared" ref="K204:K267" si="7">SUM(H204:J204)</f>
        <v>798788.583292</v>
      </c>
      <c r="L204" s="1485">
        <f t="shared" ref="L204:L267" si="8">+(H204*(1+$M$7))*(1+$M$8)+I204+J204</f>
        <v>834734.06954013999</v>
      </c>
      <c r="M204" s="3153"/>
    </row>
    <row r="205" spans="2:13" x14ac:dyDescent="0.35">
      <c r="B205" s="3150"/>
      <c r="C205" s="3150"/>
      <c r="D205" s="2484" t="s">
        <v>497</v>
      </c>
      <c r="E205" s="2458"/>
      <c r="F205" s="2458"/>
      <c r="G205" s="2459">
        <v>3.5</v>
      </c>
      <c r="H205" s="865">
        <v>4366054.4842875004</v>
      </c>
      <c r="I205" s="321"/>
      <c r="J205" s="147"/>
      <c r="K205" s="1529">
        <f t="shared" si="7"/>
        <v>4366054.4842875004</v>
      </c>
      <c r="L205" s="1485">
        <f t="shared" si="8"/>
        <v>4562526.9360804372</v>
      </c>
      <c r="M205" s="3153"/>
    </row>
    <row r="206" spans="2:13" x14ac:dyDescent="0.35">
      <c r="B206" s="3150"/>
      <c r="C206" s="3150"/>
      <c r="D206" s="2484" t="s">
        <v>1085</v>
      </c>
      <c r="E206" s="2458"/>
      <c r="F206" s="2458"/>
      <c r="G206" s="2459">
        <v>3</v>
      </c>
      <c r="H206" s="865">
        <v>3742903.8436749997</v>
      </c>
      <c r="I206" s="321"/>
      <c r="J206" s="147"/>
      <c r="K206" s="1529">
        <f t="shared" si="7"/>
        <v>3742903.8436749997</v>
      </c>
      <c r="L206" s="1485">
        <f t="shared" si="8"/>
        <v>3911334.5166403744</v>
      </c>
      <c r="M206" s="3153"/>
    </row>
    <row r="207" spans="2:13" x14ac:dyDescent="0.35">
      <c r="B207" s="3150"/>
      <c r="C207" s="3150"/>
      <c r="D207" s="924"/>
      <c r="E207" s="151"/>
      <c r="F207" s="151"/>
      <c r="G207" s="927"/>
      <c r="H207" s="326"/>
      <c r="I207" s="321"/>
      <c r="J207" s="147"/>
      <c r="K207" s="1529">
        <f t="shared" si="7"/>
        <v>0</v>
      </c>
      <c r="L207" s="1485">
        <f t="shared" si="8"/>
        <v>0</v>
      </c>
      <c r="M207" s="3153"/>
    </row>
    <row r="208" spans="2:13" x14ac:dyDescent="0.35">
      <c r="B208" s="3150"/>
      <c r="C208" s="3150"/>
      <c r="D208" s="874"/>
      <c r="E208" s="151"/>
      <c r="F208" s="151"/>
      <c r="G208" s="918"/>
      <c r="H208" s="326"/>
      <c r="I208" s="321"/>
      <c r="J208" s="147"/>
      <c r="K208" s="1529">
        <f t="shared" si="7"/>
        <v>0</v>
      </c>
      <c r="L208" s="1485">
        <f t="shared" si="8"/>
        <v>0</v>
      </c>
      <c r="M208" s="3153"/>
    </row>
    <row r="209" spans="2:13" x14ac:dyDescent="0.35">
      <c r="B209" s="3150"/>
      <c r="C209" s="3150"/>
      <c r="D209" s="874"/>
      <c r="E209" s="151"/>
      <c r="F209" s="151"/>
      <c r="G209" s="927"/>
      <c r="H209" s="326"/>
      <c r="I209" s="321"/>
      <c r="J209" s="147"/>
      <c r="K209" s="1529">
        <f t="shared" si="7"/>
        <v>0</v>
      </c>
      <c r="L209" s="1485">
        <f t="shared" si="8"/>
        <v>0</v>
      </c>
      <c r="M209" s="3153"/>
    </row>
    <row r="210" spans="2:13" x14ac:dyDescent="0.35">
      <c r="B210" s="3150"/>
      <c r="C210" s="3150"/>
      <c r="D210" s="874"/>
      <c r="E210" s="151"/>
      <c r="F210" s="151"/>
      <c r="G210" s="927"/>
      <c r="H210" s="326"/>
      <c r="I210" s="321"/>
      <c r="J210" s="147"/>
      <c r="K210" s="1529">
        <f t="shared" si="7"/>
        <v>0</v>
      </c>
      <c r="L210" s="1485">
        <f t="shared" si="8"/>
        <v>0</v>
      </c>
      <c r="M210" s="3153"/>
    </row>
    <row r="211" spans="2:13" ht="15" thickBot="1" x14ac:dyDescent="0.4">
      <c r="B211" s="3151"/>
      <c r="C211" s="3151"/>
      <c r="D211" s="920"/>
      <c r="E211" s="150"/>
      <c r="F211" s="150"/>
      <c r="G211" s="928"/>
      <c r="H211" s="327"/>
      <c r="I211" s="322"/>
      <c r="J211" s="152"/>
      <c r="K211" s="1529">
        <f t="shared" si="7"/>
        <v>0</v>
      </c>
      <c r="L211" s="1484">
        <f t="shared" si="8"/>
        <v>0</v>
      </c>
      <c r="M211" s="3154"/>
    </row>
    <row r="212" spans="2:13" x14ac:dyDescent="0.35">
      <c r="B212" s="3149" t="str">
        <f>+'B) Reajuste Tarifas y Ocupación'!A73</f>
        <v>C. H. Las Salinas</v>
      </c>
      <c r="C212" s="3149" t="s">
        <v>215</v>
      </c>
      <c r="D212" s="2661" t="s">
        <v>425</v>
      </c>
      <c r="E212" s="2662" t="s">
        <v>426</v>
      </c>
      <c r="F212" s="2662" t="s">
        <v>399</v>
      </c>
      <c r="G212" s="2662" t="s">
        <v>417</v>
      </c>
      <c r="H212" s="868">
        <v>16673316</v>
      </c>
      <c r="I212" s="868">
        <v>170128</v>
      </c>
      <c r="J212" s="2669">
        <v>217145</v>
      </c>
      <c r="K212" s="1528">
        <f t="shared" si="7"/>
        <v>17060589</v>
      </c>
      <c r="L212" s="1448">
        <f t="shared" si="8"/>
        <v>17810888.219999999</v>
      </c>
      <c r="M212" s="3152">
        <f>SUM(L212:L233)</f>
        <v>90853478.459999979</v>
      </c>
    </row>
    <row r="213" spans="2:13" x14ac:dyDescent="0.35">
      <c r="B213" s="3150"/>
      <c r="C213" s="3150"/>
      <c r="D213" s="2663" t="s">
        <v>1086</v>
      </c>
      <c r="E213" s="2664" t="s">
        <v>1087</v>
      </c>
      <c r="F213" s="2664" t="s">
        <v>412</v>
      </c>
      <c r="G213" s="2664" t="s">
        <v>417</v>
      </c>
      <c r="H213" s="2615">
        <v>7913604</v>
      </c>
      <c r="I213" s="2455">
        <v>174472</v>
      </c>
      <c r="J213" s="869">
        <v>389357</v>
      </c>
      <c r="K213" s="1529">
        <f t="shared" si="7"/>
        <v>8477433</v>
      </c>
      <c r="L213" s="1485">
        <f t="shared" si="8"/>
        <v>8833545.1799999997</v>
      </c>
      <c r="M213" s="3153"/>
    </row>
    <row r="214" spans="2:13" x14ac:dyDescent="0.35">
      <c r="B214" s="3150"/>
      <c r="C214" s="3150"/>
      <c r="D214" s="2663" t="s">
        <v>1088</v>
      </c>
      <c r="E214" s="2664" t="s">
        <v>1089</v>
      </c>
      <c r="F214" s="2664" t="s">
        <v>412</v>
      </c>
      <c r="G214" s="2664" t="s">
        <v>417</v>
      </c>
      <c r="H214" s="2615">
        <v>7895088</v>
      </c>
      <c r="I214" s="2455">
        <v>174472</v>
      </c>
      <c r="J214" s="869">
        <v>389357</v>
      </c>
      <c r="K214" s="1529">
        <f t="shared" si="7"/>
        <v>8458917</v>
      </c>
      <c r="L214" s="1485">
        <f t="shared" si="8"/>
        <v>8814195.959999999</v>
      </c>
      <c r="M214" s="3153"/>
    </row>
    <row r="215" spans="2:13" x14ac:dyDescent="0.35">
      <c r="B215" s="3150"/>
      <c r="C215" s="3150"/>
      <c r="D215" s="2663" t="s">
        <v>1090</v>
      </c>
      <c r="E215" s="2664" t="s">
        <v>1091</v>
      </c>
      <c r="F215" s="2664" t="s">
        <v>412</v>
      </c>
      <c r="G215" s="2664" t="s">
        <v>417</v>
      </c>
      <c r="H215" s="2615">
        <v>7920732</v>
      </c>
      <c r="I215" s="2455">
        <v>174472</v>
      </c>
      <c r="J215" s="869">
        <v>389357</v>
      </c>
      <c r="K215" s="1529">
        <f t="shared" si="7"/>
        <v>8484561</v>
      </c>
      <c r="L215" s="1485">
        <f t="shared" si="8"/>
        <v>8840993.9399999995</v>
      </c>
      <c r="M215" s="3153"/>
    </row>
    <row r="216" spans="2:13" x14ac:dyDescent="0.35">
      <c r="B216" s="3150"/>
      <c r="C216" s="3150"/>
      <c r="D216" s="2663" t="s">
        <v>1092</v>
      </c>
      <c r="E216" s="2664" t="s">
        <v>1093</v>
      </c>
      <c r="F216" s="2664" t="s">
        <v>397</v>
      </c>
      <c r="G216" s="2664" t="s">
        <v>417</v>
      </c>
      <c r="H216" s="2615">
        <v>2943756</v>
      </c>
      <c r="I216" s="2455">
        <v>174472</v>
      </c>
      <c r="J216" s="869">
        <v>389357</v>
      </c>
      <c r="K216" s="1529">
        <f t="shared" si="7"/>
        <v>3507585</v>
      </c>
      <c r="L216" s="1485">
        <f t="shared" si="8"/>
        <v>3640054.02</v>
      </c>
      <c r="M216" s="3153"/>
    </row>
    <row r="217" spans="2:13" x14ac:dyDescent="0.35">
      <c r="B217" s="3150"/>
      <c r="C217" s="3150"/>
      <c r="D217" s="2663" t="s">
        <v>423</v>
      </c>
      <c r="E217" s="2664" t="s">
        <v>424</v>
      </c>
      <c r="F217" s="2664" t="s">
        <v>408</v>
      </c>
      <c r="G217" s="2664" t="s">
        <v>417</v>
      </c>
      <c r="H217" s="2615">
        <v>7931436</v>
      </c>
      <c r="I217" s="2455">
        <v>174472</v>
      </c>
      <c r="J217" s="869">
        <v>389357</v>
      </c>
      <c r="K217" s="1529">
        <f t="shared" si="7"/>
        <v>8495265</v>
      </c>
      <c r="L217" s="1485">
        <f t="shared" si="8"/>
        <v>8852179.6199999992</v>
      </c>
      <c r="M217" s="3153"/>
    </row>
    <row r="218" spans="2:13" x14ac:dyDescent="0.35">
      <c r="B218" s="3150"/>
      <c r="C218" s="3150"/>
      <c r="D218" s="2663" t="s">
        <v>421</v>
      </c>
      <c r="E218" s="2664" t="s">
        <v>422</v>
      </c>
      <c r="F218" s="2664" t="s">
        <v>408</v>
      </c>
      <c r="G218" s="2664" t="s">
        <v>417</v>
      </c>
      <c r="H218" s="2615">
        <v>7543848</v>
      </c>
      <c r="I218" s="2455">
        <v>174472</v>
      </c>
      <c r="J218" s="869">
        <v>389357</v>
      </c>
      <c r="K218" s="1529">
        <f t="shared" si="7"/>
        <v>8107677</v>
      </c>
      <c r="L218" s="1485">
        <f t="shared" si="8"/>
        <v>8447150.1600000001</v>
      </c>
      <c r="M218" s="3153"/>
    </row>
    <row r="219" spans="2:13" x14ac:dyDescent="0.35">
      <c r="B219" s="3150"/>
      <c r="C219" s="3150"/>
      <c r="D219" s="2663" t="s">
        <v>489</v>
      </c>
      <c r="E219" s="2664" t="s">
        <v>490</v>
      </c>
      <c r="F219" s="2664" t="s">
        <v>408</v>
      </c>
      <c r="G219" s="2664" t="s">
        <v>417</v>
      </c>
      <c r="H219" s="2615">
        <v>7805112</v>
      </c>
      <c r="I219" s="2455">
        <v>174472</v>
      </c>
      <c r="J219" s="869">
        <v>389357</v>
      </c>
      <c r="K219" s="1529">
        <f t="shared" si="7"/>
        <v>8368941</v>
      </c>
      <c r="L219" s="1485">
        <f t="shared" si="8"/>
        <v>8720171.0399999991</v>
      </c>
      <c r="M219" s="3153"/>
    </row>
    <row r="220" spans="2:13" x14ac:dyDescent="0.35">
      <c r="B220" s="3150"/>
      <c r="C220" s="3150"/>
      <c r="D220" s="2665" t="s">
        <v>1094</v>
      </c>
      <c r="E220" s="2666" t="s">
        <v>1095</v>
      </c>
      <c r="F220" s="2667" t="s">
        <v>408</v>
      </c>
      <c r="G220" s="2667" t="s">
        <v>417</v>
      </c>
      <c r="H220" s="2615">
        <v>7543848</v>
      </c>
      <c r="I220" s="2455">
        <v>174472</v>
      </c>
      <c r="J220" s="869">
        <v>389357</v>
      </c>
      <c r="K220" s="1529">
        <f t="shared" si="7"/>
        <v>8107677</v>
      </c>
      <c r="L220" s="1485">
        <f t="shared" si="8"/>
        <v>8447150.1600000001</v>
      </c>
      <c r="M220" s="3153"/>
    </row>
    <row r="221" spans="2:13" x14ac:dyDescent="0.35">
      <c r="B221" s="3150"/>
      <c r="C221" s="3150"/>
      <c r="D221" s="2665" t="s">
        <v>1096</v>
      </c>
      <c r="E221" s="2668" t="s">
        <v>1097</v>
      </c>
      <c r="F221" s="2667" t="s">
        <v>408</v>
      </c>
      <c r="G221" s="2667" t="s">
        <v>417</v>
      </c>
      <c r="H221" s="2615">
        <v>7543848</v>
      </c>
      <c r="I221" s="2455">
        <v>174472</v>
      </c>
      <c r="J221" s="869">
        <v>389357</v>
      </c>
      <c r="K221" s="1529">
        <f t="shared" si="7"/>
        <v>8107677</v>
      </c>
      <c r="L221" s="1485">
        <f t="shared" si="8"/>
        <v>8447150.1600000001</v>
      </c>
      <c r="M221" s="3153"/>
    </row>
    <row r="222" spans="2:13" ht="15" thickBot="1" x14ac:dyDescent="0.4">
      <c r="B222" s="3150"/>
      <c r="C222" s="3151"/>
      <c r="D222" s="2643"/>
      <c r="E222" s="2644"/>
      <c r="F222" s="2644"/>
      <c r="G222" s="2648"/>
      <c r="H222" s="327"/>
      <c r="I222" s="327"/>
      <c r="J222" s="2614"/>
      <c r="K222" s="1529">
        <f t="shared" si="7"/>
        <v>0</v>
      </c>
      <c r="L222" s="1484">
        <f t="shared" si="8"/>
        <v>0</v>
      </c>
      <c r="M222" s="3153"/>
    </row>
    <row r="223" spans="2:13" x14ac:dyDescent="0.35">
      <c r="B223" s="3150"/>
      <c r="C223" s="3149" t="s">
        <v>216</v>
      </c>
      <c r="D223" s="922"/>
      <c r="E223" s="154"/>
      <c r="F223" s="154"/>
      <c r="G223" s="931"/>
      <c r="H223" s="328"/>
      <c r="I223" s="323"/>
      <c r="J223" s="155"/>
      <c r="K223" s="1528">
        <f t="shared" si="7"/>
        <v>0</v>
      </c>
      <c r="L223" s="1448">
        <f t="shared" si="8"/>
        <v>0</v>
      </c>
      <c r="M223" s="3153"/>
    </row>
    <row r="224" spans="2:13" x14ac:dyDescent="0.35">
      <c r="B224" s="3150"/>
      <c r="C224" s="3150"/>
      <c r="D224" s="874"/>
      <c r="E224" s="151"/>
      <c r="F224" s="151"/>
      <c r="G224" s="927"/>
      <c r="H224" s="326"/>
      <c r="I224" s="321"/>
      <c r="J224" s="147"/>
      <c r="K224" s="1529">
        <f t="shared" si="7"/>
        <v>0</v>
      </c>
      <c r="L224" s="1485">
        <f t="shared" si="8"/>
        <v>0</v>
      </c>
      <c r="M224" s="3153"/>
    </row>
    <row r="225" spans="2:13" x14ac:dyDescent="0.35">
      <c r="B225" s="3150"/>
      <c r="C225" s="3150"/>
      <c r="D225" s="874"/>
      <c r="E225" s="151"/>
      <c r="F225" s="151"/>
      <c r="G225" s="927"/>
      <c r="H225" s="326"/>
      <c r="I225" s="321"/>
      <c r="J225" s="147"/>
      <c r="K225" s="1529">
        <f t="shared" si="7"/>
        <v>0</v>
      </c>
      <c r="L225" s="1485">
        <f t="shared" si="8"/>
        <v>0</v>
      </c>
      <c r="M225" s="3153"/>
    </row>
    <row r="226" spans="2:13" x14ac:dyDescent="0.35">
      <c r="B226" s="3150"/>
      <c r="C226" s="3150"/>
      <c r="D226" s="874"/>
      <c r="E226" s="151"/>
      <c r="F226" s="151"/>
      <c r="G226" s="927"/>
      <c r="H226" s="326"/>
      <c r="I226" s="321"/>
      <c r="J226" s="147"/>
      <c r="K226" s="1529">
        <f t="shared" si="7"/>
        <v>0</v>
      </c>
      <c r="L226" s="1485">
        <f t="shared" si="8"/>
        <v>0</v>
      </c>
      <c r="M226" s="3153"/>
    </row>
    <row r="227" spans="2:13" x14ac:dyDescent="0.35">
      <c r="B227" s="3150"/>
      <c r="C227" s="3150"/>
      <c r="D227" s="874"/>
      <c r="E227" s="151"/>
      <c r="F227" s="151"/>
      <c r="G227" s="927"/>
      <c r="H227" s="326"/>
      <c r="I227" s="321"/>
      <c r="J227" s="147"/>
      <c r="K227" s="1529">
        <f t="shared" si="7"/>
        <v>0</v>
      </c>
      <c r="L227" s="1485">
        <f t="shared" si="8"/>
        <v>0</v>
      </c>
      <c r="M227" s="3153"/>
    </row>
    <row r="228" spans="2:13" x14ac:dyDescent="0.35">
      <c r="B228" s="3150"/>
      <c r="C228" s="3150"/>
      <c r="D228" s="874"/>
      <c r="E228" s="151"/>
      <c r="F228" s="151"/>
      <c r="G228" s="927"/>
      <c r="H228" s="326"/>
      <c r="I228" s="321"/>
      <c r="J228" s="147"/>
      <c r="K228" s="1529">
        <f t="shared" si="7"/>
        <v>0</v>
      </c>
      <c r="L228" s="1485">
        <f t="shared" si="8"/>
        <v>0</v>
      </c>
      <c r="M228" s="3153"/>
    </row>
    <row r="229" spans="2:13" x14ac:dyDescent="0.35">
      <c r="B229" s="3150"/>
      <c r="C229" s="3150"/>
      <c r="D229" s="874"/>
      <c r="E229" s="151"/>
      <c r="F229" s="151"/>
      <c r="G229" s="927"/>
      <c r="H229" s="326"/>
      <c r="I229" s="321"/>
      <c r="J229" s="147"/>
      <c r="K229" s="1529">
        <f t="shared" si="7"/>
        <v>0</v>
      </c>
      <c r="L229" s="1485">
        <f t="shared" si="8"/>
        <v>0</v>
      </c>
      <c r="M229" s="3153"/>
    </row>
    <row r="230" spans="2:13" x14ac:dyDescent="0.35">
      <c r="B230" s="3150"/>
      <c r="C230" s="3150"/>
      <c r="D230" s="874"/>
      <c r="E230" s="151"/>
      <c r="F230" s="151"/>
      <c r="G230" s="927"/>
      <c r="H230" s="326"/>
      <c r="I230" s="321"/>
      <c r="J230" s="147"/>
      <c r="K230" s="1529">
        <f t="shared" si="7"/>
        <v>0</v>
      </c>
      <c r="L230" s="1485">
        <f t="shared" si="8"/>
        <v>0</v>
      </c>
      <c r="M230" s="3153"/>
    </row>
    <row r="231" spans="2:13" x14ac:dyDescent="0.35">
      <c r="B231" s="3150"/>
      <c r="C231" s="3150"/>
      <c r="D231" s="874"/>
      <c r="E231" s="151"/>
      <c r="F231" s="151"/>
      <c r="G231" s="927"/>
      <c r="H231" s="326"/>
      <c r="I231" s="321"/>
      <c r="J231" s="147"/>
      <c r="K231" s="1529">
        <f t="shared" si="7"/>
        <v>0</v>
      </c>
      <c r="L231" s="1485">
        <f t="shared" si="8"/>
        <v>0</v>
      </c>
      <c r="M231" s="3153"/>
    </row>
    <row r="232" spans="2:13" x14ac:dyDescent="0.35">
      <c r="B232" s="3150"/>
      <c r="C232" s="3150"/>
      <c r="D232" s="874"/>
      <c r="E232" s="151"/>
      <c r="F232" s="151"/>
      <c r="G232" s="927"/>
      <c r="H232" s="326"/>
      <c r="I232" s="321"/>
      <c r="J232" s="147"/>
      <c r="K232" s="1529">
        <f t="shared" si="7"/>
        <v>0</v>
      </c>
      <c r="L232" s="1485">
        <f t="shared" si="8"/>
        <v>0</v>
      </c>
      <c r="M232" s="3153"/>
    </row>
    <row r="233" spans="2:13" ht="15" thickBot="1" x14ac:dyDescent="0.4">
      <c r="B233" s="3151"/>
      <c r="C233" s="3151"/>
      <c r="D233" s="920"/>
      <c r="E233" s="150"/>
      <c r="F233" s="150"/>
      <c r="G233" s="928"/>
      <c r="H233" s="327"/>
      <c r="I233" s="322"/>
      <c r="J233" s="152"/>
      <c r="K233" s="1529">
        <f t="shared" si="7"/>
        <v>0</v>
      </c>
      <c r="L233" s="1484">
        <f t="shared" si="8"/>
        <v>0</v>
      </c>
      <c r="M233" s="3154"/>
    </row>
    <row r="234" spans="2:13" x14ac:dyDescent="0.35">
      <c r="B234" s="3149" t="str">
        <f>+'B) Reajuste Tarifas y Ocupación'!A80</f>
        <v>Cabanas Papudo</v>
      </c>
      <c r="C234" s="3149" t="s">
        <v>215</v>
      </c>
      <c r="D234" s="2454" t="s">
        <v>1098</v>
      </c>
      <c r="E234" s="2454" t="s">
        <v>1099</v>
      </c>
      <c r="F234" s="2454" t="s">
        <v>412</v>
      </c>
      <c r="G234" s="2454" t="s">
        <v>427</v>
      </c>
      <c r="H234" s="868">
        <v>9053496</v>
      </c>
      <c r="I234" s="2455">
        <v>174472</v>
      </c>
      <c r="J234" s="868">
        <v>174472</v>
      </c>
      <c r="K234" s="1528">
        <f t="shared" si="7"/>
        <v>9402440</v>
      </c>
      <c r="L234" s="1448">
        <f t="shared" si="8"/>
        <v>9809847.3199999984</v>
      </c>
      <c r="M234" s="3152">
        <f>SUM(L234:L255)</f>
        <v>62519852.184034988</v>
      </c>
    </row>
    <row r="235" spans="2:13" x14ac:dyDescent="0.35">
      <c r="B235" s="3150"/>
      <c r="C235" s="3150"/>
      <c r="D235" s="2454"/>
      <c r="E235" s="2454"/>
      <c r="F235" s="2454"/>
      <c r="G235" s="2454"/>
      <c r="H235" s="869"/>
      <c r="I235" s="2455"/>
      <c r="J235" s="869"/>
      <c r="K235" s="1529">
        <f t="shared" si="7"/>
        <v>0</v>
      </c>
      <c r="L235" s="1485">
        <f t="shared" si="8"/>
        <v>0</v>
      </c>
      <c r="M235" s="3153"/>
    </row>
    <row r="236" spans="2:13" x14ac:dyDescent="0.35">
      <c r="B236" s="3150"/>
      <c r="C236" s="3150"/>
      <c r="D236" s="2454" t="s">
        <v>430</v>
      </c>
      <c r="E236" s="2454" t="s">
        <v>431</v>
      </c>
      <c r="F236" s="2454" t="s">
        <v>408</v>
      </c>
      <c r="G236" s="2454" t="s">
        <v>427</v>
      </c>
      <c r="H236" s="869">
        <v>8998572</v>
      </c>
      <c r="I236" s="2455">
        <v>174472</v>
      </c>
      <c r="J236" s="869">
        <v>389357</v>
      </c>
      <c r="K236" s="1529">
        <f t="shared" si="7"/>
        <v>9562401</v>
      </c>
      <c r="L236" s="1485">
        <f t="shared" si="8"/>
        <v>9967336.7400000002</v>
      </c>
      <c r="M236" s="3153"/>
    </row>
    <row r="237" spans="2:13" x14ac:dyDescent="0.35">
      <c r="B237" s="3150"/>
      <c r="C237" s="3150"/>
      <c r="D237" s="2454" t="s">
        <v>428</v>
      </c>
      <c r="E237" s="2454" t="s">
        <v>429</v>
      </c>
      <c r="F237" s="2454" t="s">
        <v>408</v>
      </c>
      <c r="G237" s="2454" t="s">
        <v>427</v>
      </c>
      <c r="H237" s="869">
        <v>8881884</v>
      </c>
      <c r="I237" s="2455">
        <v>174472</v>
      </c>
      <c r="J237" s="869">
        <v>389357</v>
      </c>
      <c r="K237" s="1529">
        <f t="shared" si="7"/>
        <v>9445713</v>
      </c>
      <c r="L237" s="1485">
        <f t="shared" si="8"/>
        <v>9845397.7799999993</v>
      </c>
      <c r="M237" s="3153"/>
    </row>
    <row r="238" spans="2:13" x14ac:dyDescent="0.35">
      <c r="B238" s="3150"/>
      <c r="C238" s="3150"/>
      <c r="D238" s="2485" t="s">
        <v>1100</v>
      </c>
      <c r="E238" s="2486" t="s">
        <v>1101</v>
      </c>
      <c r="F238" s="2487" t="s">
        <v>408</v>
      </c>
      <c r="G238" s="2487" t="s">
        <v>427</v>
      </c>
      <c r="H238" s="869">
        <v>8881884</v>
      </c>
      <c r="I238" s="2455">
        <v>174472</v>
      </c>
      <c r="J238" s="869">
        <v>389357</v>
      </c>
      <c r="K238" s="1529">
        <f t="shared" si="7"/>
        <v>9445713</v>
      </c>
      <c r="L238" s="1485">
        <f t="shared" si="8"/>
        <v>9845397.7799999993</v>
      </c>
      <c r="M238" s="3153"/>
    </row>
    <row r="239" spans="2:13" x14ac:dyDescent="0.35">
      <c r="B239" s="3150"/>
      <c r="C239" s="3150"/>
      <c r="D239" s="2488" t="s">
        <v>1103</v>
      </c>
      <c r="E239" s="2485" t="s">
        <v>513</v>
      </c>
      <c r="F239" s="2485" t="s">
        <v>399</v>
      </c>
      <c r="G239" s="2487" t="s">
        <v>427</v>
      </c>
      <c r="H239" s="869">
        <v>15306324</v>
      </c>
      <c r="I239" s="2455">
        <v>170128</v>
      </c>
      <c r="J239" s="869">
        <v>217145</v>
      </c>
      <c r="K239" s="1529">
        <f t="shared" si="7"/>
        <v>15693597</v>
      </c>
      <c r="L239" s="1485">
        <f t="shared" si="8"/>
        <v>16382381.579999998</v>
      </c>
      <c r="M239" s="3153"/>
    </row>
    <row r="240" spans="2:13" x14ac:dyDescent="0.35">
      <c r="B240" s="3150"/>
      <c r="C240" s="3150"/>
      <c r="D240" s="2460"/>
      <c r="E240" s="2458"/>
      <c r="F240" s="2458"/>
      <c r="G240" s="2461"/>
      <c r="H240" s="865"/>
      <c r="I240" s="2462"/>
      <c r="J240" s="865"/>
      <c r="K240" s="1529">
        <f t="shared" si="7"/>
        <v>0</v>
      </c>
      <c r="L240" s="1485">
        <f t="shared" si="8"/>
        <v>0</v>
      </c>
      <c r="M240" s="3153"/>
    </row>
    <row r="241" spans="2:13" x14ac:dyDescent="0.35">
      <c r="B241" s="3150"/>
      <c r="C241" s="3150"/>
      <c r="D241" s="2460"/>
      <c r="E241" s="2458"/>
      <c r="F241" s="2458"/>
      <c r="G241" s="2461"/>
      <c r="H241" s="865"/>
      <c r="I241" s="2462"/>
      <c r="J241" s="865"/>
      <c r="K241" s="1529">
        <f t="shared" si="7"/>
        <v>0</v>
      </c>
      <c r="L241" s="1485">
        <f t="shared" si="8"/>
        <v>0</v>
      </c>
      <c r="M241" s="3153"/>
    </row>
    <row r="242" spans="2:13" x14ac:dyDescent="0.35">
      <c r="B242" s="3150"/>
      <c r="C242" s="3150"/>
      <c r="D242" s="2460"/>
      <c r="E242" s="2458"/>
      <c r="F242" s="2458"/>
      <c r="G242" s="2461"/>
      <c r="H242" s="865"/>
      <c r="I242" s="2462"/>
      <c r="J242" s="865"/>
      <c r="K242" s="1529">
        <f t="shared" si="7"/>
        <v>0</v>
      </c>
      <c r="L242" s="1485">
        <f t="shared" si="8"/>
        <v>0</v>
      </c>
      <c r="M242" s="3153"/>
    </row>
    <row r="243" spans="2:13" x14ac:dyDescent="0.35">
      <c r="B243" s="3150"/>
      <c r="C243" s="3150"/>
      <c r="D243" s="2460"/>
      <c r="E243" s="2458"/>
      <c r="F243" s="2458"/>
      <c r="G243" s="2461"/>
      <c r="H243" s="865"/>
      <c r="I243" s="2462"/>
      <c r="J243" s="865"/>
      <c r="K243" s="1529">
        <f t="shared" si="7"/>
        <v>0</v>
      </c>
      <c r="L243" s="1485">
        <f t="shared" si="8"/>
        <v>0</v>
      </c>
      <c r="M243" s="3153"/>
    </row>
    <row r="244" spans="2:13" ht="15" thickBot="1" x14ac:dyDescent="0.4">
      <c r="B244" s="3150"/>
      <c r="C244" s="3151"/>
      <c r="D244" s="2463"/>
      <c r="E244" s="2464"/>
      <c r="F244" s="2464"/>
      <c r="G244" s="2465"/>
      <c r="H244" s="327"/>
      <c r="I244" s="867"/>
      <c r="J244" s="327"/>
      <c r="K244" s="1529">
        <f t="shared" si="7"/>
        <v>0</v>
      </c>
      <c r="L244" s="1484">
        <f t="shared" si="8"/>
        <v>0</v>
      </c>
      <c r="M244" s="3153"/>
    </row>
    <row r="245" spans="2:13" x14ac:dyDescent="0.35">
      <c r="B245" s="3150"/>
      <c r="C245" s="3149" t="s">
        <v>216</v>
      </c>
      <c r="D245" s="2484" t="s">
        <v>498</v>
      </c>
      <c r="E245" s="2457"/>
      <c r="F245" s="2457"/>
      <c r="G245" s="2466">
        <v>3</v>
      </c>
      <c r="H245" s="2670">
        <v>2127429.341</v>
      </c>
      <c r="I245" s="2467"/>
      <c r="J245" s="2468"/>
      <c r="K245" s="1528">
        <f t="shared" si="7"/>
        <v>2127429.341</v>
      </c>
      <c r="L245" s="1448">
        <f t="shared" si="8"/>
        <v>2223163.6613449999</v>
      </c>
      <c r="M245" s="3153"/>
    </row>
    <row r="246" spans="2:13" x14ac:dyDescent="0.35">
      <c r="B246" s="3150"/>
      <c r="C246" s="3150"/>
      <c r="D246" s="2484" t="s">
        <v>1071</v>
      </c>
      <c r="E246" s="2458"/>
      <c r="F246" s="2458"/>
      <c r="G246" s="2459">
        <v>3</v>
      </c>
      <c r="H246" s="2671">
        <v>2127429.341</v>
      </c>
      <c r="I246" s="2469"/>
      <c r="J246" s="2470"/>
      <c r="K246" s="1529">
        <f t="shared" si="7"/>
        <v>2127429.341</v>
      </c>
      <c r="L246" s="1485">
        <f t="shared" si="8"/>
        <v>2223163.6613449999</v>
      </c>
      <c r="M246" s="3153"/>
    </row>
    <row r="247" spans="2:13" x14ac:dyDescent="0.35">
      <c r="B247" s="3150"/>
      <c r="C247" s="3150"/>
      <c r="D247" s="2460" t="s">
        <v>1102</v>
      </c>
      <c r="E247" s="2458"/>
      <c r="F247" s="2458"/>
      <c r="G247" s="2459">
        <v>3</v>
      </c>
      <c r="H247" s="2670">
        <v>2127429.341</v>
      </c>
      <c r="I247" s="2469"/>
      <c r="J247" s="2470"/>
      <c r="K247" s="1529">
        <f t="shared" si="7"/>
        <v>2127429.341</v>
      </c>
      <c r="L247" s="1485">
        <f t="shared" si="8"/>
        <v>2223163.6613449999</v>
      </c>
      <c r="M247" s="3153"/>
    </row>
    <row r="248" spans="2:13" x14ac:dyDescent="0.35">
      <c r="B248" s="3150"/>
      <c r="C248" s="3150"/>
      <c r="D248" s="2460"/>
      <c r="E248" s="2471"/>
      <c r="F248" s="2458"/>
      <c r="G248" s="2461"/>
      <c r="H248" s="2489"/>
      <c r="I248" s="2469"/>
      <c r="J248" s="2470"/>
      <c r="K248" s="1529">
        <f t="shared" si="7"/>
        <v>0</v>
      </c>
      <c r="L248" s="1485">
        <f t="shared" si="8"/>
        <v>0</v>
      </c>
      <c r="M248" s="3153"/>
    </row>
    <row r="249" spans="2:13" x14ac:dyDescent="0.35">
      <c r="B249" s="3150"/>
      <c r="C249" s="3150"/>
      <c r="D249" s="925"/>
      <c r="E249" s="151"/>
      <c r="F249" s="151"/>
      <c r="G249" s="918"/>
      <c r="H249" s="326"/>
      <c r="I249" s="321"/>
      <c r="J249" s="147"/>
      <c r="K249" s="1529">
        <f t="shared" si="7"/>
        <v>0</v>
      </c>
      <c r="L249" s="1485">
        <f t="shared" si="8"/>
        <v>0</v>
      </c>
      <c r="M249" s="3153"/>
    </row>
    <row r="250" spans="2:13" x14ac:dyDescent="0.35">
      <c r="B250" s="3150"/>
      <c r="C250" s="3150"/>
      <c r="D250" s="925"/>
      <c r="E250" s="504"/>
      <c r="F250" s="151"/>
      <c r="G250" s="927"/>
      <c r="H250" s="326"/>
      <c r="I250" s="321"/>
      <c r="J250" s="147"/>
      <c r="K250" s="1529">
        <f t="shared" si="7"/>
        <v>0</v>
      </c>
      <c r="L250" s="1485">
        <f t="shared" si="8"/>
        <v>0</v>
      </c>
      <c r="M250" s="3153"/>
    </row>
    <row r="251" spans="2:13" x14ac:dyDescent="0.35">
      <c r="B251" s="3150"/>
      <c r="C251" s="3150"/>
      <c r="D251" s="925"/>
      <c r="E251" s="504"/>
      <c r="F251" s="151"/>
      <c r="G251" s="927"/>
      <c r="H251" s="326"/>
      <c r="I251" s="321"/>
      <c r="J251" s="147"/>
      <c r="K251" s="1529">
        <f t="shared" si="7"/>
        <v>0</v>
      </c>
      <c r="L251" s="1485">
        <f t="shared" si="8"/>
        <v>0</v>
      </c>
      <c r="M251" s="3153"/>
    </row>
    <row r="252" spans="2:13" x14ac:dyDescent="0.35">
      <c r="B252" s="3150"/>
      <c r="C252" s="3150"/>
      <c r="D252" s="874"/>
      <c r="E252" s="151"/>
      <c r="F252" s="151"/>
      <c r="G252" s="927"/>
      <c r="H252" s="326"/>
      <c r="I252" s="321"/>
      <c r="J252" s="147"/>
      <c r="K252" s="1529">
        <f t="shared" si="7"/>
        <v>0</v>
      </c>
      <c r="L252" s="1485">
        <f t="shared" si="8"/>
        <v>0</v>
      </c>
      <c r="M252" s="3153"/>
    </row>
    <row r="253" spans="2:13" x14ac:dyDescent="0.35">
      <c r="B253" s="3150"/>
      <c r="C253" s="3150"/>
      <c r="D253" s="874"/>
      <c r="E253" s="151"/>
      <c r="F253" s="151"/>
      <c r="G253" s="927"/>
      <c r="H253" s="326"/>
      <c r="I253" s="321"/>
      <c r="J253" s="147"/>
      <c r="K253" s="1529">
        <f t="shared" si="7"/>
        <v>0</v>
      </c>
      <c r="L253" s="1485">
        <f t="shared" si="8"/>
        <v>0</v>
      </c>
      <c r="M253" s="3153"/>
    </row>
    <row r="254" spans="2:13" x14ac:dyDescent="0.35">
      <c r="B254" s="3150"/>
      <c r="C254" s="3150"/>
      <c r="D254" s="874"/>
      <c r="E254" s="151"/>
      <c r="F254" s="151"/>
      <c r="G254" s="927"/>
      <c r="H254" s="326"/>
      <c r="I254" s="321"/>
      <c r="J254" s="147"/>
      <c r="K254" s="1529">
        <f t="shared" si="7"/>
        <v>0</v>
      </c>
      <c r="L254" s="1485">
        <f t="shared" si="8"/>
        <v>0</v>
      </c>
      <c r="M254" s="3153"/>
    </row>
    <row r="255" spans="2:13" ht="15" thickBot="1" x14ac:dyDescent="0.4">
      <c r="B255" s="3151"/>
      <c r="C255" s="3151"/>
      <c r="D255" s="920"/>
      <c r="E255" s="150"/>
      <c r="F255" s="150"/>
      <c r="G255" s="928"/>
      <c r="H255" s="327"/>
      <c r="I255" s="322"/>
      <c r="J255" s="152"/>
      <c r="K255" s="1529">
        <f t="shared" si="7"/>
        <v>0</v>
      </c>
      <c r="L255" s="1484">
        <f t="shared" si="8"/>
        <v>0</v>
      </c>
      <c r="M255" s="3154"/>
    </row>
    <row r="256" spans="2:13" x14ac:dyDescent="0.35">
      <c r="B256" s="3149" t="str">
        <f>+'B) Reajuste Tarifas y Ocupación'!A88</f>
        <v>Residencia Universitaria Recreo</v>
      </c>
      <c r="C256" s="3149" t="s">
        <v>215</v>
      </c>
      <c r="D256" s="925"/>
      <c r="E256" s="295"/>
      <c r="F256" s="291"/>
      <c r="G256" s="931"/>
      <c r="H256" s="325"/>
      <c r="I256" s="323"/>
      <c r="J256" s="296"/>
      <c r="K256" s="1528">
        <f t="shared" si="7"/>
        <v>0</v>
      </c>
      <c r="L256" s="1448">
        <f t="shared" si="8"/>
        <v>0</v>
      </c>
      <c r="M256" s="3152">
        <f>SUM(L256:L277)</f>
        <v>0</v>
      </c>
    </row>
    <row r="257" spans="2:13" x14ac:dyDescent="0.35">
      <c r="B257" s="3150"/>
      <c r="C257" s="3150"/>
      <c r="D257" s="874"/>
      <c r="E257" s="151"/>
      <c r="F257" s="151"/>
      <c r="G257" s="927"/>
      <c r="H257" s="326"/>
      <c r="I257" s="321"/>
      <c r="J257" s="147"/>
      <c r="K257" s="1529">
        <f t="shared" si="7"/>
        <v>0</v>
      </c>
      <c r="L257" s="1485">
        <f t="shared" si="8"/>
        <v>0</v>
      </c>
      <c r="M257" s="3153"/>
    </row>
    <row r="258" spans="2:13" x14ac:dyDescent="0.35">
      <c r="B258" s="3150"/>
      <c r="C258" s="3150"/>
      <c r="D258" s="874"/>
      <c r="E258" s="151"/>
      <c r="F258" s="151"/>
      <c r="G258" s="927"/>
      <c r="H258" s="326"/>
      <c r="I258" s="321"/>
      <c r="J258" s="147"/>
      <c r="K258" s="1529">
        <f t="shared" si="7"/>
        <v>0</v>
      </c>
      <c r="L258" s="1485">
        <f t="shared" si="8"/>
        <v>0</v>
      </c>
      <c r="M258" s="3153"/>
    </row>
    <row r="259" spans="2:13" x14ac:dyDescent="0.35">
      <c r="B259" s="3150"/>
      <c r="C259" s="3150"/>
      <c r="D259" s="874"/>
      <c r="E259" s="151"/>
      <c r="F259" s="151"/>
      <c r="G259" s="927"/>
      <c r="H259" s="326"/>
      <c r="I259" s="321"/>
      <c r="J259" s="147"/>
      <c r="K259" s="1529">
        <f t="shared" si="7"/>
        <v>0</v>
      </c>
      <c r="L259" s="1485">
        <f t="shared" si="8"/>
        <v>0</v>
      </c>
      <c r="M259" s="3153"/>
    </row>
    <row r="260" spans="2:13" x14ac:dyDescent="0.35">
      <c r="B260" s="3150"/>
      <c r="C260" s="3150"/>
      <c r="D260" s="874"/>
      <c r="E260" s="151"/>
      <c r="F260" s="151"/>
      <c r="G260" s="927"/>
      <c r="H260" s="326"/>
      <c r="I260" s="321"/>
      <c r="J260" s="147"/>
      <c r="K260" s="1529">
        <f t="shared" si="7"/>
        <v>0</v>
      </c>
      <c r="L260" s="1485">
        <f t="shared" si="8"/>
        <v>0</v>
      </c>
      <c r="M260" s="3153"/>
    </row>
    <row r="261" spans="2:13" x14ac:dyDescent="0.35">
      <c r="B261" s="3150"/>
      <c r="C261" s="3150"/>
      <c r="D261" s="874"/>
      <c r="E261" s="151"/>
      <c r="F261" s="151"/>
      <c r="G261" s="927"/>
      <c r="H261" s="326"/>
      <c r="I261" s="321"/>
      <c r="J261" s="147"/>
      <c r="K261" s="1529">
        <f t="shared" si="7"/>
        <v>0</v>
      </c>
      <c r="L261" s="1485">
        <f t="shared" si="8"/>
        <v>0</v>
      </c>
      <c r="M261" s="3153"/>
    </row>
    <row r="262" spans="2:13" x14ac:dyDescent="0.35">
      <c r="B262" s="3150"/>
      <c r="C262" s="3150"/>
      <c r="D262" s="874"/>
      <c r="E262" s="151"/>
      <c r="F262" s="151"/>
      <c r="G262" s="927"/>
      <c r="H262" s="326"/>
      <c r="I262" s="321"/>
      <c r="J262" s="147"/>
      <c r="K262" s="1529">
        <f t="shared" si="7"/>
        <v>0</v>
      </c>
      <c r="L262" s="1485">
        <f t="shared" si="8"/>
        <v>0</v>
      </c>
      <c r="M262" s="3153"/>
    </row>
    <row r="263" spans="2:13" x14ac:dyDescent="0.35">
      <c r="B263" s="3150"/>
      <c r="C263" s="3150"/>
      <c r="D263" s="874"/>
      <c r="E263" s="151"/>
      <c r="F263" s="151"/>
      <c r="G263" s="927"/>
      <c r="H263" s="326"/>
      <c r="I263" s="321"/>
      <c r="J263" s="147"/>
      <c r="K263" s="1529">
        <f t="shared" si="7"/>
        <v>0</v>
      </c>
      <c r="L263" s="1485">
        <f t="shared" si="8"/>
        <v>0</v>
      </c>
      <c r="M263" s="3153"/>
    </row>
    <row r="264" spans="2:13" x14ac:dyDescent="0.35">
      <c r="B264" s="3150"/>
      <c r="C264" s="3150"/>
      <c r="D264" s="874"/>
      <c r="E264" s="151"/>
      <c r="F264" s="151"/>
      <c r="G264" s="927"/>
      <c r="H264" s="326"/>
      <c r="I264" s="321"/>
      <c r="J264" s="147"/>
      <c r="K264" s="1529">
        <f t="shared" si="7"/>
        <v>0</v>
      </c>
      <c r="L264" s="1485">
        <f t="shared" si="8"/>
        <v>0</v>
      </c>
      <c r="M264" s="3153"/>
    </row>
    <row r="265" spans="2:13" x14ac:dyDescent="0.35">
      <c r="B265" s="3150"/>
      <c r="C265" s="3150"/>
      <c r="D265" s="874"/>
      <c r="E265" s="151"/>
      <c r="F265" s="151"/>
      <c r="G265" s="927"/>
      <c r="H265" s="326"/>
      <c r="I265" s="321"/>
      <c r="J265" s="147"/>
      <c r="K265" s="1529">
        <f t="shared" si="7"/>
        <v>0</v>
      </c>
      <c r="L265" s="1485">
        <f t="shared" si="8"/>
        <v>0</v>
      </c>
      <c r="M265" s="3153"/>
    </row>
    <row r="266" spans="2:13" ht="15" thickBot="1" x14ac:dyDescent="0.4">
      <c r="B266" s="3150"/>
      <c r="C266" s="3151"/>
      <c r="D266" s="920"/>
      <c r="E266" s="150"/>
      <c r="F266" s="150"/>
      <c r="G266" s="928"/>
      <c r="H266" s="327"/>
      <c r="I266" s="322"/>
      <c r="J266" s="152"/>
      <c r="K266" s="1529">
        <f t="shared" si="7"/>
        <v>0</v>
      </c>
      <c r="L266" s="1484">
        <f t="shared" si="8"/>
        <v>0</v>
      </c>
      <c r="M266" s="3153"/>
    </row>
    <row r="267" spans="2:13" x14ac:dyDescent="0.35">
      <c r="B267" s="3150"/>
      <c r="C267" s="3149" t="s">
        <v>216</v>
      </c>
      <c r="D267" s="922"/>
      <c r="E267" s="154"/>
      <c r="F267" s="154"/>
      <c r="G267" s="931"/>
      <c r="H267" s="328"/>
      <c r="I267" s="323"/>
      <c r="J267" s="155"/>
      <c r="K267" s="1528">
        <f t="shared" si="7"/>
        <v>0</v>
      </c>
      <c r="L267" s="1448">
        <f t="shared" si="8"/>
        <v>0</v>
      </c>
      <c r="M267" s="3153"/>
    </row>
    <row r="268" spans="2:13" x14ac:dyDescent="0.35">
      <c r="B268" s="3150"/>
      <c r="C268" s="3150"/>
      <c r="D268" s="874"/>
      <c r="E268" s="151"/>
      <c r="F268" s="151"/>
      <c r="G268" s="927"/>
      <c r="H268" s="326"/>
      <c r="I268" s="321"/>
      <c r="J268" s="147"/>
      <c r="K268" s="1529">
        <f t="shared" ref="K268:K299" si="9">SUM(H268:J268)</f>
        <v>0</v>
      </c>
      <c r="L268" s="1485">
        <f t="shared" ref="L268:L299" si="10">+(H268*(1+$M$7))*(1+$M$8)+I268+J268</f>
        <v>0</v>
      </c>
      <c r="M268" s="3153"/>
    </row>
    <row r="269" spans="2:13" x14ac:dyDescent="0.35">
      <c r="B269" s="3150"/>
      <c r="C269" s="3150"/>
      <c r="D269" s="874"/>
      <c r="E269" s="151"/>
      <c r="F269" s="151"/>
      <c r="G269" s="927"/>
      <c r="H269" s="326"/>
      <c r="I269" s="321"/>
      <c r="J269" s="147"/>
      <c r="K269" s="1529">
        <f t="shared" si="9"/>
        <v>0</v>
      </c>
      <c r="L269" s="1485">
        <f t="shared" si="10"/>
        <v>0</v>
      </c>
      <c r="M269" s="3153"/>
    </row>
    <row r="270" spans="2:13" x14ac:dyDescent="0.35">
      <c r="B270" s="3150"/>
      <c r="C270" s="3150"/>
      <c r="D270" s="874"/>
      <c r="E270" s="151"/>
      <c r="F270" s="151"/>
      <c r="G270" s="927"/>
      <c r="H270" s="326"/>
      <c r="I270" s="321"/>
      <c r="J270" s="147"/>
      <c r="K270" s="1529">
        <f t="shared" si="9"/>
        <v>0</v>
      </c>
      <c r="L270" s="1485">
        <f t="shared" si="10"/>
        <v>0</v>
      </c>
      <c r="M270" s="3153"/>
    </row>
    <row r="271" spans="2:13" x14ac:dyDescent="0.35">
      <c r="B271" s="3150"/>
      <c r="C271" s="3150"/>
      <c r="D271" s="874"/>
      <c r="E271" s="151"/>
      <c r="F271" s="151"/>
      <c r="G271" s="927"/>
      <c r="H271" s="326"/>
      <c r="I271" s="321"/>
      <c r="J271" s="147"/>
      <c r="K271" s="1529">
        <f t="shared" si="9"/>
        <v>0</v>
      </c>
      <c r="L271" s="1485">
        <f t="shared" si="10"/>
        <v>0</v>
      </c>
      <c r="M271" s="3153"/>
    </row>
    <row r="272" spans="2:13" x14ac:dyDescent="0.35">
      <c r="B272" s="3150"/>
      <c r="C272" s="3150"/>
      <c r="D272" s="874"/>
      <c r="E272" s="151"/>
      <c r="F272" s="151"/>
      <c r="G272" s="927"/>
      <c r="H272" s="326"/>
      <c r="I272" s="321"/>
      <c r="J272" s="147"/>
      <c r="K272" s="1529">
        <f t="shared" si="9"/>
        <v>0</v>
      </c>
      <c r="L272" s="1485">
        <f t="shared" si="10"/>
        <v>0</v>
      </c>
      <c r="M272" s="3153"/>
    </row>
    <row r="273" spans="2:13" x14ac:dyDescent="0.35">
      <c r="B273" s="3150"/>
      <c r="C273" s="3150"/>
      <c r="D273" s="874"/>
      <c r="E273" s="151"/>
      <c r="F273" s="151"/>
      <c r="G273" s="927"/>
      <c r="H273" s="326"/>
      <c r="I273" s="321"/>
      <c r="J273" s="147"/>
      <c r="K273" s="1529">
        <f t="shared" si="9"/>
        <v>0</v>
      </c>
      <c r="L273" s="1485">
        <f t="shared" si="10"/>
        <v>0</v>
      </c>
      <c r="M273" s="3153"/>
    </row>
    <row r="274" spans="2:13" x14ac:dyDescent="0.35">
      <c r="B274" s="3150"/>
      <c r="C274" s="3150"/>
      <c r="D274" s="874"/>
      <c r="E274" s="151"/>
      <c r="F274" s="151"/>
      <c r="G274" s="927"/>
      <c r="H274" s="326"/>
      <c r="I274" s="321"/>
      <c r="J274" s="147"/>
      <c r="K274" s="1529">
        <f t="shared" si="9"/>
        <v>0</v>
      </c>
      <c r="L274" s="1485">
        <f t="shared" si="10"/>
        <v>0</v>
      </c>
      <c r="M274" s="3153"/>
    </row>
    <row r="275" spans="2:13" x14ac:dyDescent="0.35">
      <c r="B275" s="3150"/>
      <c r="C275" s="3150"/>
      <c r="D275" s="874"/>
      <c r="E275" s="151"/>
      <c r="F275" s="151"/>
      <c r="G275" s="927"/>
      <c r="H275" s="326"/>
      <c r="I275" s="321"/>
      <c r="J275" s="147"/>
      <c r="K275" s="1529">
        <f t="shared" si="9"/>
        <v>0</v>
      </c>
      <c r="L275" s="1485">
        <f t="shared" si="10"/>
        <v>0</v>
      </c>
      <c r="M275" s="3153"/>
    </row>
    <row r="276" spans="2:13" x14ac:dyDescent="0.35">
      <c r="B276" s="3150"/>
      <c r="C276" s="3150"/>
      <c r="D276" s="874"/>
      <c r="E276" s="151"/>
      <c r="F276" s="151"/>
      <c r="G276" s="927"/>
      <c r="H276" s="326"/>
      <c r="I276" s="321"/>
      <c r="J276" s="147"/>
      <c r="K276" s="1529">
        <f t="shared" si="9"/>
        <v>0</v>
      </c>
      <c r="L276" s="1485">
        <f t="shared" si="10"/>
        <v>0</v>
      </c>
      <c r="M276" s="3153"/>
    </row>
    <row r="277" spans="2:13" ht="15" thickBot="1" x14ac:dyDescent="0.4">
      <c r="B277" s="3151"/>
      <c r="C277" s="3151"/>
      <c r="D277" s="920"/>
      <c r="E277" s="150"/>
      <c r="F277" s="150"/>
      <c r="G277" s="928"/>
      <c r="H277" s="327"/>
      <c r="I277" s="322"/>
      <c r="J277" s="152"/>
      <c r="K277" s="1529">
        <f t="shared" si="9"/>
        <v>0</v>
      </c>
      <c r="L277" s="1484">
        <f t="shared" si="10"/>
        <v>0</v>
      </c>
      <c r="M277" s="3154"/>
    </row>
    <row r="278" spans="2:13" x14ac:dyDescent="0.35">
      <c r="B278" s="3149" t="str">
        <f>+'B) Reajuste Tarifas y Ocupación'!A90</f>
        <v>Residencia Universitaria Las Salinas</v>
      </c>
      <c r="C278" s="3149" t="s">
        <v>215</v>
      </c>
      <c r="D278" s="925"/>
      <c r="E278" s="295"/>
      <c r="F278" s="291"/>
      <c r="G278" s="931"/>
      <c r="H278" s="328"/>
      <c r="I278" s="323"/>
      <c r="J278" s="296"/>
      <c r="K278" s="1528">
        <f t="shared" si="9"/>
        <v>0</v>
      </c>
      <c r="L278" s="1448">
        <f t="shared" si="10"/>
        <v>0</v>
      </c>
      <c r="M278" s="3152">
        <f>SUM(L278:L299)</f>
        <v>0</v>
      </c>
    </row>
    <row r="279" spans="2:13" x14ac:dyDescent="0.35">
      <c r="B279" s="3150"/>
      <c r="C279" s="3150"/>
      <c r="D279" s="874"/>
      <c r="E279" s="151"/>
      <c r="F279" s="151"/>
      <c r="G279" s="927"/>
      <c r="H279" s="326"/>
      <c r="I279" s="321"/>
      <c r="J279" s="147"/>
      <c r="K279" s="1529">
        <f t="shared" si="9"/>
        <v>0</v>
      </c>
      <c r="L279" s="1485">
        <f t="shared" si="10"/>
        <v>0</v>
      </c>
      <c r="M279" s="3153"/>
    </row>
    <row r="280" spans="2:13" x14ac:dyDescent="0.35">
      <c r="B280" s="3150"/>
      <c r="C280" s="3150"/>
      <c r="D280" s="874"/>
      <c r="E280" s="151"/>
      <c r="F280" s="151"/>
      <c r="G280" s="927"/>
      <c r="H280" s="326"/>
      <c r="I280" s="321"/>
      <c r="J280" s="147"/>
      <c r="K280" s="1529">
        <f t="shared" si="9"/>
        <v>0</v>
      </c>
      <c r="L280" s="1485">
        <f t="shared" si="10"/>
        <v>0</v>
      </c>
      <c r="M280" s="3153"/>
    </row>
    <row r="281" spans="2:13" x14ac:dyDescent="0.35">
      <c r="B281" s="3150"/>
      <c r="C281" s="3150"/>
      <c r="D281" s="874"/>
      <c r="E281" s="151"/>
      <c r="F281" s="151"/>
      <c r="G281" s="927"/>
      <c r="H281" s="326"/>
      <c r="I281" s="321"/>
      <c r="J281" s="147"/>
      <c r="K281" s="1529">
        <f t="shared" si="9"/>
        <v>0</v>
      </c>
      <c r="L281" s="1485">
        <f t="shared" si="10"/>
        <v>0</v>
      </c>
      <c r="M281" s="3153"/>
    </row>
    <row r="282" spans="2:13" x14ac:dyDescent="0.35">
      <c r="B282" s="3150"/>
      <c r="C282" s="3150"/>
      <c r="D282" s="874"/>
      <c r="E282" s="151"/>
      <c r="F282" s="151"/>
      <c r="G282" s="927"/>
      <c r="H282" s="326"/>
      <c r="I282" s="321"/>
      <c r="J282" s="147"/>
      <c r="K282" s="1529">
        <f t="shared" si="9"/>
        <v>0</v>
      </c>
      <c r="L282" s="1485">
        <f t="shared" si="10"/>
        <v>0</v>
      </c>
      <c r="M282" s="3153"/>
    </row>
    <row r="283" spans="2:13" x14ac:dyDescent="0.35">
      <c r="B283" s="3150"/>
      <c r="C283" s="3150"/>
      <c r="D283" s="874"/>
      <c r="E283" s="151"/>
      <c r="F283" s="151"/>
      <c r="G283" s="927"/>
      <c r="H283" s="326"/>
      <c r="I283" s="321"/>
      <c r="J283" s="147"/>
      <c r="K283" s="1529">
        <f t="shared" si="9"/>
        <v>0</v>
      </c>
      <c r="L283" s="1485">
        <f t="shared" si="10"/>
        <v>0</v>
      </c>
      <c r="M283" s="3153"/>
    </row>
    <row r="284" spans="2:13" x14ac:dyDescent="0.35">
      <c r="B284" s="3150"/>
      <c r="C284" s="3150"/>
      <c r="D284" s="874"/>
      <c r="E284" s="151"/>
      <c r="F284" s="151"/>
      <c r="G284" s="927"/>
      <c r="H284" s="326"/>
      <c r="I284" s="321"/>
      <c r="J284" s="147"/>
      <c r="K284" s="1529">
        <f t="shared" si="9"/>
        <v>0</v>
      </c>
      <c r="L284" s="1485">
        <f t="shared" si="10"/>
        <v>0</v>
      </c>
      <c r="M284" s="3153"/>
    </row>
    <row r="285" spans="2:13" x14ac:dyDescent="0.35">
      <c r="B285" s="3150"/>
      <c r="C285" s="3150"/>
      <c r="D285" s="874"/>
      <c r="E285" s="151"/>
      <c r="F285" s="151"/>
      <c r="G285" s="927"/>
      <c r="H285" s="326"/>
      <c r="I285" s="321"/>
      <c r="J285" s="147"/>
      <c r="K285" s="1529">
        <f t="shared" si="9"/>
        <v>0</v>
      </c>
      <c r="L285" s="1485">
        <f t="shared" si="10"/>
        <v>0</v>
      </c>
      <c r="M285" s="3153"/>
    </row>
    <row r="286" spans="2:13" x14ac:dyDescent="0.35">
      <c r="B286" s="3150"/>
      <c r="C286" s="3150"/>
      <c r="D286" s="874"/>
      <c r="E286" s="151"/>
      <c r="F286" s="151"/>
      <c r="G286" s="927"/>
      <c r="H286" s="326"/>
      <c r="I286" s="321"/>
      <c r="J286" s="147"/>
      <c r="K286" s="1529">
        <f t="shared" si="9"/>
        <v>0</v>
      </c>
      <c r="L286" s="1485">
        <f t="shared" si="10"/>
        <v>0</v>
      </c>
      <c r="M286" s="3153"/>
    </row>
    <row r="287" spans="2:13" x14ac:dyDescent="0.35">
      <c r="B287" s="3150"/>
      <c r="C287" s="3150"/>
      <c r="D287" s="874"/>
      <c r="E287" s="151"/>
      <c r="F287" s="151"/>
      <c r="G287" s="927"/>
      <c r="H287" s="326"/>
      <c r="I287" s="321"/>
      <c r="J287" s="147"/>
      <c r="K287" s="1529">
        <f t="shared" si="9"/>
        <v>0</v>
      </c>
      <c r="L287" s="1485">
        <f t="shared" si="10"/>
        <v>0</v>
      </c>
      <c r="M287" s="3153"/>
    </row>
    <row r="288" spans="2:13" ht="15" thickBot="1" x14ac:dyDescent="0.4">
      <c r="B288" s="3150"/>
      <c r="C288" s="3151"/>
      <c r="D288" s="920"/>
      <c r="E288" s="150"/>
      <c r="F288" s="150"/>
      <c r="G288" s="928"/>
      <c r="H288" s="327"/>
      <c r="I288" s="322"/>
      <c r="J288" s="152"/>
      <c r="K288" s="1529">
        <f t="shared" si="9"/>
        <v>0</v>
      </c>
      <c r="L288" s="1484">
        <f t="shared" si="10"/>
        <v>0</v>
      </c>
      <c r="M288" s="3153"/>
    </row>
    <row r="289" spans="2:13" x14ac:dyDescent="0.35">
      <c r="B289" s="3150"/>
      <c r="C289" s="3149" t="s">
        <v>216</v>
      </c>
      <c r="D289" s="922"/>
      <c r="E289" s="154"/>
      <c r="F289" s="154"/>
      <c r="G289" s="931"/>
      <c r="H289" s="328"/>
      <c r="I289" s="323"/>
      <c r="J289" s="155"/>
      <c r="K289" s="1528">
        <f t="shared" si="9"/>
        <v>0</v>
      </c>
      <c r="L289" s="1448">
        <f t="shared" si="10"/>
        <v>0</v>
      </c>
      <c r="M289" s="3153"/>
    </row>
    <row r="290" spans="2:13" x14ac:dyDescent="0.35">
      <c r="B290" s="3150"/>
      <c r="C290" s="3150"/>
      <c r="D290" s="874"/>
      <c r="E290" s="151"/>
      <c r="F290" s="151"/>
      <c r="G290" s="927"/>
      <c r="H290" s="326"/>
      <c r="I290" s="321"/>
      <c r="J290" s="147"/>
      <c r="K290" s="1529">
        <f t="shared" si="9"/>
        <v>0</v>
      </c>
      <c r="L290" s="1485">
        <f t="shared" si="10"/>
        <v>0</v>
      </c>
      <c r="M290" s="3153"/>
    </row>
    <row r="291" spans="2:13" x14ac:dyDescent="0.35">
      <c r="B291" s="3150"/>
      <c r="C291" s="3150"/>
      <c r="D291" s="874"/>
      <c r="E291" s="151"/>
      <c r="F291" s="151"/>
      <c r="G291" s="927"/>
      <c r="H291" s="326"/>
      <c r="I291" s="321"/>
      <c r="J291" s="147"/>
      <c r="K291" s="1529">
        <f t="shared" si="9"/>
        <v>0</v>
      </c>
      <c r="L291" s="1485">
        <f t="shared" si="10"/>
        <v>0</v>
      </c>
      <c r="M291" s="3153"/>
    </row>
    <row r="292" spans="2:13" x14ac:dyDescent="0.35">
      <c r="B292" s="3150"/>
      <c r="C292" s="3150"/>
      <c r="D292" s="874"/>
      <c r="E292" s="151"/>
      <c r="F292" s="151"/>
      <c r="G292" s="927"/>
      <c r="H292" s="326"/>
      <c r="I292" s="321"/>
      <c r="J292" s="147"/>
      <c r="K292" s="1529">
        <f t="shared" si="9"/>
        <v>0</v>
      </c>
      <c r="L292" s="1485">
        <f t="shared" si="10"/>
        <v>0</v>
      </c>
      <c r="M292" s="3153"/>
    </row>
    <row r="293" spans="2:13" x14ac:dyDescent="0.35">
      <c r="B293" s="3150"/>
      <c r="C293" s="3150"/>
      <c r="D293" s="874"/>
      <c r="E293" s="151"/>
      <c r="F293" s="151"/>
      <c r="G293" s="927"/>
      <c r="H293" s="326"/>
      <c r="I293" s="321"/>
      <c r="J293" s="147"/>
      <c r="K293" s="1529">
        <f t="shared" si="9"/>
        <v>0</v>
      </c>
      <c r="L293" s="1485">
        <f t="shared" si="10"/>
        <v>0</v>
      </c>
      <c r="M293" s="3153"/>
    </row>
    <row r="294" spans="2:13" x14ac:dyDescent="0.35">
      <c r="B294" s="3150"/>
      <c r="C294" s="3150"/>
      <c r="D294" s="874"/>
      <c r="E294" s="151"/>
      <c r="F294" s="151"/>
      <c r="G294" s="927"/>
      <c r="H294" s="326"/>
      <c r="I294" s="321"/>
      <c r="J294" s="147"/>
      <c r="K294" s="1529">
        <f t="shared" si="9"/>
        <v>0</v>
      </c>
      <c r="L294" s="1485">
        <f t="shared" si="10"/>
        <v>0</v>
      </c>
      <c r="M294" s="3153"/>
    </row>
    <row r="295" spans="2:13" x14ac:dyDescent="0.35">
      <c r="B295" s="3150"/>
      <c r="C295" s="3150"/>
      <c r="D295" s="874"/>
      <c r="E295" s="151"/>
      <c r="F295" s="151"/>
      <c r="G295" s="927"/>
      <c r="H295" s="326"/>
      <c r="I295" s="321"/>
      <c r="J295" s="147"/>
      <c r="K295" s="1529">
        <f t="shared" si="9"/>
        <v>0</v>
      </c>
      <c r="L295" s="1485">
        <f t="shared" si="10"/>
        <v>0</v>
      </c>
      <c r="M295" s="3153"/>
    </row>
    <row r="296" spans="2:13" x14ac:dyDescent="0.35">
      <c r="B296" s="3150"/>
      <c r="C296" s="3150"/>
      <c r="D296" s="874"/>
      <c r="E296" s="151"/>
      <c r="F296" s="151"/>
      <c r="G296" s="927"/>
      <c r="H296" s="326"/>
      <c r="I296" s="321"/>
      <c r="J296" s="147"/>
      <c r="K296" s="1529">
        <f t="shared" si="9"/>
        <v>0</v>
      </c>
      <c r="L296" s="1485">
        <f t="shared" si="10"/>
        <v>0</v>
      </c>
      <c r="M296" s="3153"/>
    </row>
    <row r="297" spans="2:13" x14ac:dyDescent="0.35">
      <c r="B297" s="3150"/>
      <c r="C297" s="3150"/>
      <c r="D297" s="874"/>
      <c r="E297" s="151"/>
      <c r="F297" s="151"/>
      <c r="G297" s="927"/>
      <c r="H297" s="326"/>
      <c r="I297" s="321"/>
      <c r="J297" s="147"/>
      <c r="K297" s="1529">
        <f t="shared" si="9"/>
        <v>0</v>
      </c>
      <c r="L297" s="1485">
        <f t="shared" si="10"/>
        <v>0</v>
      </c>
      <c r="M297" s="3153"/>
    </row>
    <row r="298" spans="2:13" x14ac:dyDescent="0.35">
      <c r="B298" s="3150"/>
      <c r="C298" s="3150"/>
      <c r="D298" s="874"/>
      <c r="E298" s="151"/>
      <c r="F298" s="151"/>
      <c r="G298" s="927"/>
      <c r="H298" s="326"/>
      <c r="I298" s="321"/>
      <c r="J298" s="147"/>
      <c r="K298" s="1529">
        <f t="shared" si="9"/>
        <v>0</v>
      </c>
      <c r="L298" s="1485">
        <f t="shared" si="10"/>
        <v>0</v>
      </c>
      <c r="M298" s="3153"/>
    </row>
    <row r="299" spans="2:13" ht="15" thickBot="1" x14ac:dyDescent="0.4">
      <c r="B299" s="3151"/>
      <c r="C299" s="3151"/>
      <c r="D299" s="920"/>
      <c r="E299" s="150"/>
      <c r="F299" s="150"/>
      <c r="G299" s="928"/>
      <c r="H299" s="327"/>
      <c r="I299" s="322"/>
      <c r="J299" s="152"/>
      <c r="K299" s="1529">
        <f t="shared" si="9"/>
        <v>0</v>
      </c>
      <c r="L299" s="1484">
        <f t="shared" si="10"/>
        <v>0</v>
      </c>
      <c r="M299" s="3154"/>
    </row>
    <row r="300" spans="2:13" x14ac:dyDescent="0.35">
      <c r="B300" s="3149" t="str">
        <f>'B) Reajuste Tarifas y Ocupación'!A95</f>
        <v>Vista Mar</v>
      </c>
      <c r="C300" s="3149" t="s">
        <v>215</v>
      </c>
      <c r="D300" s="2454" t="s">
        <v>434</v>
      </c>
      <c r="E300" s="2454" t="s">
        <v>435</v>
      </c>
      <c r="F300" s="2454" t="s">
        <v>399</v>
      </c>
      <c r="G300" s="2454" t="s">
        <v>433</v>
      </c>
      <c r="H300" s="868">
        <v>22844604</v>
      </c>
      <c r="I300" s="868">
        <v>170128</v>
      </c>
      <c r="J300" s="2669">
        <v>217145</v>
      </c>
      <c r="K300" s="1534">
        <f>SUM(H300:J300)</f>
        <v>23231877</v>
      </c>
      <c r="L300" s="1448">
        <f t="shared" ref="L300:L343" si="11">+(H300*(1+$M$7))*(1+$M$8)+I300+J300</f>
        <v>24259884.18</v>
      </c>
      <c r="M300" s="3152">
        <f>SUM(L300:L321)</f>
        <v>108390066.54000001</v>
      </c>
    </row>
    <row r="301" spans="2:13" x14ac:dyDescent="0.35">
      <c r="B301" s="3150"/>
      <c r="C301" s="3150"/>
      <c r="D301" s="2454" t="s">
        <v>1103</v>
      </c>
      <c r="E301" s="2454" t="s">
        <v>513</v>
      </c>
      <c r="F301" s="2454" t="s">
        <v>1104</v>
      </c>
      <c r="G301" s="2454" t="s">
        <v>433</v>
      </c>
      <c r="H301" s="2615">
        <v>12540876</v>
      </c>
      <c r="I301" s="2455">
        <v>174472</v>
      </c>
      <c r="J301" s="869">
        <v>389357</v>
      </c>
      <c r="K301" s="1535">
        <f>SUM(H301:J301)</f>
        <v>13104705</v>
      </c>
      <c r="L301" s="1485">
        <f t="shared" si="11"/>
        <v>13669044.42</v>
      </c>
      <c r="M301" s="3153"/>
    </row>
    <row r="302" spans="2:13" x14ac:dyDescent="0.35">
      <c r="B302" s="3150"/>
      <c r="C302" s="3150"/>
      <c r="D302" s="2454" t="s">
        <v>443</v>
      </c>
      <c r="E302" s="2454" t="s">
        <v>444</v>
      </c>
      <c r="F302" s="2454" t="s">
        <v>409</v>
      </c>
      <c r="G302" s="2454" t="s">
        <v>433</v>
      </c>
      <c r="H302" s="2615">
        <v>9682440</v>
      </c>
      <c r="I302" s="2455">
        <v>174472</v>
      </c>
      <c r="J302" s="869">
        <v>389357</v>
      </c>
      <c r="K302" s="1535">
        <f t="shared" ref="K302:K309" si="12">SUM(H302:J302)</f>
        <v>10246269</v>
      </c>
      <c r="L302" s="1485">
        <f t="shared" si="11"/>
        <v>10681978.799999999</v>
      </c>
      <c r="M302" s="3153"/>
    </row>
    <row r="303" spans="2:13" x14ac:dyDescent="0.35">
      <c r="B303" s="3150"/>
      <c r="C303" s="3150"/>
      <c r="D303" s="2454" t="s">
        <v>445</v>
      </c>
      <c r="E303" s="2454" t="s">
        <v>446</v>
      </c>
      <c r="F303" s="2454" t="s">
        <v>409</v>
      </c>
      <c r="G303" s="2454" t="s">
        <v>433</v>
      </c>
      <c r="H303" s="2615">
        <v>7897908</v>
      </c>
      <c r="I303" s="2455">
        <v>174472</v>
      </c>
      <c r="J303" s="869">
        <v>389357</v>
      </c>
      <c r="K303" s="1535">
        <f>SUM(H303:J303)</f>
        <v>8461737</v>
      </c>
      <c r="L303" s="1485">
        <f t="shared" si="11"/>
        <v>8817142.8599999994</v>
      </c>
      <c r="M303" s="3153"/>
    </row>
    <row r="304" spans="2:13" x14ac:dyDescent="0.35">
      <c r="B304" s="3150"/>
      <c r="C304" s="3150"/>
      <c r="D304" s="2454" t="s">
        <v>441</v>
      </c>
      <c r="E304" s="2454" t="s">
        <v>442</v>
      </c>
      <c r="F304" s="2454" t="s">
        <v>409</v>
      </c>
      <c r="G304" s="2454" t="s">
        <v>433</v>
      </c>
      <c r="H304" s="2615">
        <v>9128856</v>
      </c>
      <c r="I304" s="2455">
        <v>174472</v>
      </c>
      <c r="J304" s="869">
        <v>389357</v>
      </c>
      <c r="K304" s="1535">
        <f t="shared" si="12"/>
        <v>9692685</v>
      </c>
      <c r="L304" s="1485">
        <f t="shared" si="11"/>
        <v>10103483.52</v>
      </c>
      <c r="M304" s="3153"/>
    </row>
    <row r="305" spans="2:13" x14ac:dyDescent="0.35">
      <c r="B305" s="3150"/>
      <c r="C305" s="3150"/>
      <c r="D305" s="2454" t="s">
        <v>447</v>
      </c>
      <c r="E305" s="2454" t="s">
        <v>448</v>
      </c>
      <c r="F305" s="2454" t="s">
        <v>409</v>
      </c>
      <c r="G305" s="2454" t="s">
        <v>433</v>
      </c>
      <c r="H305" s="2615">
        <v>7448844</v>
      </c>
      <c r="I305" s="2455">
        <v>174472</v>
      </c>
      <c r="J305" s="869">
        <v>389357</v>
      </c>
      <c r="K305" s="1535">
        <f t="shared" si="12"/>
        <v>8012673</v>
      </c>
      <c r="L305" s="1485">
        <f t="shared" si="11"/>
        <v>8347870.9799999995</v>
      </c>
      <c r="M305" s="3153"/>
    </row>
    <row r="306" spans="2:13" x14ac:dyDescent="0.35">
      <c r="B306" s="3150"/>
      <c r="C306" s="3150"/>
      <c r="D306" s="2454" t="s">
        <v>439</v>
      </c>
      <c r="E306" s="2454" t="s">
        <v>440</v>
      </c>
      <c r="F306" s="2454" t="s">
        <v>409</v>
      </c>
      <c r="G306" s="2454" t="s">
        <v>433</v>
      </c>
      <c r="H306" s="2615">
        <v>9801312</v>
      </c>
      <c r="I306" s="2455">
        <v>174472</v>
      </c>
      <c r="J306" s="869">
        <v>389357</v>
      </c>
      <c r="K306" s="1535">
        <f t="shared" si="12"/>
        <v>10365141</v>
      </c>
      <c r="L306" s="1485">
        <f t="shared" si="11"/>
        <v>10806200.039999999</v>
      </c>
      <c r="M306" s="3153"/>
    </row>
    <row r="307" spans="2:13" x14ac:dyDescent="0.35">
      <c r="B307" s="3150"/>
      <c r="C307" s="3150"/>
      <c r="D307" s="2454" t="s">
        <v>436</v>
      </c>
      <c r="E307" s="2454" t="s">
        <v>437</v>
      </c>
      <c r="F307" s="2454" t="s">
        <v>438</v>
      </c>
      <c r="G307" s="2454" t="s">
        <v>433</v>
      </c>
      <c r="H307" s="2615">
        <v>3262968</v>
      </c>
      <c r="I307" s="2455">
        <v>174472</v>
      </c>
      <c r="J307" s="869">
        <v>389357</v>
      </c>
      <c r="K307" s="1535">
        <f t="shared" si="12"/>
        <v>3826797</v>
      </c>
      <c r="L307" s="1485">
        <f t="shared" si="11"/>
        <v>3973630.5599999996</v>
      </c>
      <c r="M307" s="3153"/>
    </row>
    <row r="308" spans="2:13" x14ac:dyDescent="0.35">
      <c r="B308" s="3150"/>
      <c r="C308" s="3150"/>
      <c r="D308" s="2454" t="s">
        <v>449</v>
      </c>
      <c r="E308" s="2454" t="s">
        <v>450</v>
      </c>
      <c r="F308" s="2454" t="s">
        <v>451</v>
      </c>
      <c r="G308" s="2454" t="s">
        <v>433</v>
      </c>
      <c r="H308" s="2615">
        <v>7076112</v>
      </c>
      <c r="I308" s="2455">
        <v>174472</v>
      </c>
      <c r="J308" s="869">
        <v>389357</v>
      </c>
      <c r="K308" s="1535">
        <f t="shared" si="12"/>
        <v>7639941</v>
      </c>
      <c r="L308" s="1485">
        <f t="shared" si="11"/>
        <v>7958366.0399999991</v>
      </c>
      <c r="M308" s="3153"/>
    </row>
    <row r="309" spans="2:13" x14ac:dyDescent="0.35">
      <c r="B309" s="3150"/>
      <c r="C309" s="3150"/>
      <c r="D309" s="2454" t="s">
        <v>1105</v>
      </c>
      <c r="E309" s="2454" t="s">
        <v>1106</v>
      </c>
      <c r="F309" s="2454" t="s">
        <v>432</v>
      </c>
      <c r="G309" s="2454" t="s">
        <v>433</v>
      </c>
      <c r="H309" s="2615">
        <v>8812092</v>
      </c>
      <c r="I309" s="2455">
        <v>174472</v>
      </c>
      <c r="J309" s="869">
        <v>389357</v>
      </c>
      <c r="K309" s="1535">
        <f t="shared" si="12"/>
        <v>9375921</v>
      </c>
      <c r="L309" s="1485">
        <f t="shared" si="11"/>
        <v>9772465.1399999987</v>
      </c>
      <c r="M309" s="3153"/>
    </row>
    <row r="310" spans="2:13" ht="15" thickBot="1" x14ac:dyDescent="0.4">
      <c r="B310" s="3150"/>
      <c r="C310" s="3151"/>
      <c r="D310" s="920"/>
      <c r="E310" s="150"/>
      <c r="F310" s="150"/>
      <c r="G310" s="929"/>
      <c r="H310" s="327"/>
      <c r="I310" s="327"/>
      <c r="J310" s="2622"/>
      <c r="K310" s="1535">
        <f t="shared" ref="K310:K321" si="13">SUM(H310:J310)</f>
        <v>0</v>
      </c>
      <c r="L310" s="1484">
        <f t="shared" si="11"/>
        <v>0</v>
      </c>
      <c r="M310" s="3153"/>
    </row>
    <row r="311" spans="2:13" x14ac:dyDescent="0.35">
      <c r="B311" s="3150"/>
      <c r="C311" s="3149" t="s">
        <v>216</v>
      </c>
      <c r="D311" s="922"/>
      <c r="E311" s="154"/>
      <c r="F311" s="154"/>
      <c r="G311" s="931"/>
      <c r="H311" s="328"/>
      <c r="I311" s="323"/>
      <c r="J311" s="155"/>
      <c r="K311" s="1534">
        <f t="shared" si="13"/>
        <v>0</v>
      </c>
      <c r="L311" s="1448">
        <f t="shared" si="11"/>
        <v>0</v>
      </c>
      <c r="M311" s="3153"/>
    </row>
    <row r="312" spans="2:13" x14ac:dyDescent="0.35">
      <c r="B312" s="3150"/>
      <c r="C312" s="3150"/>
      <c r="D312" s="874"/>
      <c r="E312" s="151"/>
      <c r="F312" s="151"/>
      <c r="G312" s="927"/>
      <c r="H312" s="326"/>
      <c r="I312" s="321"/>
      <c r="J312" s="147"/>
      <c r="K312" s="1535">
        <f t="shared" si="13"/>
        <v>0</v>
      </c>
      <c r="L312" s="1485">
        <f t="shared" si="11"/>
        <v>0</v>
      </c>
      <c r="M312" s="3153"/>
    </row>
    <row r="313" spans="2:13" x14ac:dyDescent="0.35">
      <c r="B313" s="3150"/>
      <c r="C313" s="3150"/>
      <c r="D313" s="874"/>
      <c r="E313" s="151"/>
      <c r="F313" s="151"/>
      <c r="G313" s="927"/>
      <c r="H313" s="326"/>
      <c r="I313" s="321"/>
      <c r="J313" s="147"/>
      <c r="K313" s="1535">
        <f t="shared" si="13"/>
        <v>0</v>
      </c>
      <c r="L313" s="1485">
        <f t="shared" si="11"/>
        <v>0</v>
      </c>
      <c r="M313" s="3153"/>
    </row>
    <row r="314" spans="2:13" x14ac:dyDescent="0.35">
      <c r="B314" s="3150"/>
      <c r="C314" s="3150"/>
      <c r="D314" s="874"/>
      <c r="E314" s="151"/>
      <c r="F314" s="151"/>
      <c r="G314" s="927"/>
      <c r="H314" s="326"/>
      <c r="I314" s="321"/>
      <c r="J314" s="147"/>
      <c r="K314" s="1535">
        <f t="shared" si="13"/>
        <v>0</v>
      </c>
      <c r="L314" s="1485">
        <f t="shared" si="11"/>
        <v>0</v>
      </c>
      <c r="M314" s="3153"/>
    </row>
    <row r="315" spans="2:13" x14ac:dyDescent="0.35">
      <c r="B315" s="3150"/>
      <c r="C315" s="3150"/>
      <c r="D315" s="874"/>
      <c r="E315" s="151"/>
      <c r="F315" s="151"/>
      <c r="G315" s="927"/>
      <c r="H315" s="326"/>
      <c r="I315" s="321"/>
      <c r="J315" s="147"/>
      <c r="K315" s="1535">
        <f t="shared" si="13"/>
        <v>0</v>
      </c>
      <c r="L315" s="1485">
        <f t="shared" si="11"/>
        <v>0</v>
      </c>
      <c r="M315" s="3153"/>
    </row>
    <row r="316" spans="2:13" x14ac:dyDescent="0.35">
      <c r="B316" s="3150"/>
      <c r="C316" s="3150"/>
      <c r="D316" s="874"/>
      <c r="E316" s="151"/>
      <c r="F316" s="151"/>
      <c r="G316" s="927"/>
      <c r="H316" s="326"/>
      <c r="I316" s="321"/>
      <c r="J316" s="147"/>
      <c r="K316" s="1535">
        <f t="shared" si="13"/>
        <v>0</v>
      </c>
      <c r="L316" s="1485">
        <f t="shared" si="11"/>
        <v>0</v>
      </c>
      <c r="M316" s="3153"/>
    </row>
    <row r="317" spans="2:13" x14ac:dyDescent="0.35">
      <c r="B317" s="3150"/>
      <c r="C317" s="3150"/>
      <c r="D317" s="874"/>
      <c r="E317" s="151"/>
      <c r="F317" s="151"/>
      <c r="G317" s="927"/>
      <c r="H317" s="326"/>
      <c r="I317" s="321"/>
      <c r="J317" s="147"/>
      <c r="K317" s="1535">
        <f t="shared" si="13"/>
        <v>0</v>
      </c>
      <c r="L317" s="1485">
        <f t="shared" si="11"/>
        <v>0</v>
      </c>
      <c r="M317" s="3153"/>
    </row>
    <row r="318" spans="2:13" x14ac:dyDescent="0.35">
      <c r="B318" s="3150"/>
      <c r="C318" s="3150"/>
      <c r="D318" s="874"/>
      <c r="E318" s="151"/>
      <c r="F318" s="151"/>
      <c r="G318" s="927"/>
      <c r="H318" s="326"/>
      <c r="I318" s="321"/>
      <c r="J318" s="147"/>
      <c r="K318" s="1535">
        <f t="shared" si="13"/>
        <v>0</v>
      </c>
      <c r="L318" s="1485">
        <f t="shared" si="11"/>
        <v>0</v>
      </c>
      <c r="M318" s="3153"/>
    </row>
    <row r="319" spans="2:13" x14ac:dyDescent="0.35">
      <c r="B319" s="3150"/>
      <c r="C319" s="3150"/>
      <c r="D319" s="874"/>
      <c r="E319" s="151"/>
      <c r="F319" s="151"/>
      <c r="G319" s="927"/>
      <c r="H319" s="326"/>
      <c r="I319" s="321"/>
      <c r="J319" s="147"/>
      <c r="K319" s="1535">
        <f t="shared" si="13"/>
        <v>0</v>
      </c>
      <c r="L319" s="1485">
        <f t="shared" si="11"/>
        <v>0</v>
      </c>
      <c r="M319" s="3153"/>
    </row>
    <row r="320" spans="2:13" x14ac:dyDescent="0.35">
      <c r="B320" s="3150"/>
      <c r="C320" s="3150"/>
      <c r="D320" s="874"/>
      <c r="E320" s="151"/>
      <c r="F320" s="151"/>
      <c r="G320" s="927"/>
      <c r="H320" s="326"/>
      <c r="I320" s="321"/>
      <c r="J320" s="147"/>
      <c r="K320" s="1535">
        <f t="shared" si="13"/>
        <v>0</v>
      </c>
      <c r="L320" s="1485">
        <f t="shared" si="11"/>
        <v>0</v>
      </c>
      <c r="M320" s="3153"/>
    </row>
    <row r="321" spans="2:13" ht="15" thickBot="1" x14ac:dyDescent="0.4">
      <c r="B321" s="3151"/>
      <c r="C321" s="3151"/>
      <c r="D321" s="920"/>
      <c r="E321" s="150"/>
      <c r="F321" s="150"/>
      <c r="G321" s="928"/>
      <c r="H321" s="327"/>
      <c r="I321" s="322"/>
      <c r="J321" s="152"/>
      <c r="K321" s="1536">
        <f t="shared" si="13"/>
        <v>0</v>
      </c>
      <c r="L321" s="1484">
        <f t="shared" si="11"/>
        <v>0</v>
      </c>
      <c r="M321" s="3154"/>
    </row>
    <row r="322" spans="2:13" x14ac:dyDescent="0.35">
      <c r="B322" s="3149" t="str">
        <f>'B) Reajuste Tarifas y Ocupación'!A96</f>
        <v>Cabaña Isla de Pascua</v>
      </c>
      <c r="C322" s="3149" t="s">
        <v>215</v>
      </c>
      <c r="D322" s="922"/>
      <c r="E322" s="502"/>
      <c r="F322" s="503"/>
      <c r="G322" s="931"/>
      <c r="H322" s="329"/>
      <c r="I322" s="324"/>
      <c r="J322" s="304"/>
      <c r="K322" s="1534">
        <f>SUM(H322:J322)</f>
        <v>0</v>
      </c>
      <c r="L322" s="1448">
        <f t="shared" si="11"/>
        <v>0</v>
      </c>
      <c r="M322" s="3152">
        <f>SUM(L322:L343)</f>
        <v>0</v>
      </c>
    </row>
    <row r="323" spans="2:13" x14ac:dyDescent="0.35">
      <c r="B323" s="3150"/>
      <c r="C323" s="3150"/>
      <c r="D323" s="874"/>
      <c r="E323" s="151"/>
      <c r="F323" s="151"/>
      <c r="G323" s="927"/>
      <c r="H323" s="326"/>
      <c r="I323" s="321"/>
      <c r="J323" s="147"/>
      <c r="K323" s="1535">
        <f>SUM(H323:J323)</f>
        <v>0</v>
      </c>
      <c r="L323" s="1485">
        <f t="shared" si="11"/>
        <v>0</v>
      </c>
      <c r="M323" s="3153"/>
    </row>
    <row r="324" spans="2:13" x14ac:dyDescent="0.35">
      <c r="B324" s="3150"/>
      <c r="C324" s="3150"/>
      <c r="D324" s="874"/>
      <c r="E324" s="151"/>
      <c r="F324" s="151"/>
      <c r="G324" s="927"/>
      <c r="H324" s="326"/>
      <c r="I324" s="321"/>
      <c r="J324" s="147"/>
      <c r="K324" s="1535">
        <f t="shared" ref="K324" si="14">SUM(H324:J324)</f>
        <v>0</v>
      </c>
      <c r="L324" s="1485">
        <f t="shared" si="11"/>
        <v>0</v>
      </c>
      <c r="M324" s="3153"/>
    </row>
    <row r="325" spans="2:13" x14ac:dyDescent="0.35">
      <c r="B325" s="3150"/>
      <c r="C325" s="3150"/>
      <c r="D325" s="874"/>
      <c r="E325" s="151"/>
      <c r="F325" s="151"/>
      <c r="G325" s="927"/>
      <c r="H325" s="326"/>
      <c r="I325" s="321"/>
      <c r="J325" s="147"/>
      <c r="K325" s="1535">
        <f>SUM(H325:J325)</f>
        <v>0</v>
      </c>
      <c r="L325" s="1485">
        <f t="shared" si="11"/>
        <v>0</v>
      </c>
      <c r="M325" s="3153"/>
    </row>
    <row r="326" spans="2:13" x14ac:dyDescent="0.35">
      <c r="B326" s="3150"/>
      <c r="C326" s="3150"/>
      <c r="D326" s="874"/>
      <c r="E326" s="151"/>
      <c r="F326" s="151"/>
      <c r="G326" s="927"/>
      <c r="H326" s="326"/>
      <c r="I326" s="321"/>
      <c r="J326" s="147"/>
      <c r="K326" s="1535">
        <f t="shared" ref="K326:K343" si="15">SUM(H326:J326)</f>
        <v>0</v>
      </c>
      <c r="L326" s="1485">
        <f t="shared" si="11"/>
        <v>0</v>
      </c>
      <c r="M326" s="3153"/>
    </row>
    <row r="327" spans="2:13" x14ac:dyDescent="0.35">
      <c r="B327" s="3150"/>
      <c r="C327" s="3150"/>
      <c r="D327" s="874"/>
      <c r="E327" s="151"/>
      <c r="F327" s="151"/>
      <c r="G327" s="927"/>
      <c r="H327" s="326"/>
      <c r="I327" s="321"/>
      <c r="J327" s="147"/>
      <c r="K327" s="1535">
        <f t="shared" si="15"/>
        <v>0</v>
      </c>
      <c r="L327" s="1485">
        <f t="shared" si="11"/>
        <v>0</v>
      </c>
      <c r="M327" s="3153"/>
    </row>
    <row r="328" spans="2:13" x14ac:dyDescent="0.35">
      <c r="B328" s="3150"/>
      <c r="C328" s="3150"/>
      <c r="D328" s="874"/>
      <c r="E328" s="151"/>
      <c r="F328" s="151"/>
      <c r="G328" s="927"/>
      <c r="H328" s="326"/>
      <c r="I328" s="321"/>
      <c r="J328" s="147"/>
      <c r="K328" s="1535">
        <f t="shared" si="15"/>
        <v>0</v>
      </c>
      <c r="L328" s="1485">
        <f t="shared" si="11"/>
        <v>0</v>
      </c>
      <c r="M328" s="3153"/>
    </row>
    <row r="329" spans="2:13" x14ac:dyDescent="0.35">
      <c r="B329" s="3150"/>
      <c r="C329" s="3150"/>
      <c r="D329" s="874"/>
      <c r="E329" s="151"/>
      <c r="F329" s="151"/>
      <c r="G329" s="927"/>
      <c r="H329" s="326"/>
      <c r="I329" s="321"/>
      <c r="J329" s="147"/>
      <c r="K329" s="1535">
        <f t="shared" si="15"/>
        <v>0</v>
      </c>
      <c r="L329" s="1485">
        <f t="shared" si="11"/>
        <v>0</v>
      </c>
      <c r="M329" s="3153"/>
    </row>
    <row r="330" spans="2:13" x14ac:dyDescent="0.35">
      <c r="B330" s="3150"/>
      <c r="C330" s="3150"/>
      <c r="D330" s="874"/>
      <c r="E330" s="151"/>
      <c r="F330" s="151"/>
      <c r="G330" s="927"/>
      <c r="H330" s="326"/>
      <c r="I330" s="321"/>
      <c r="J330" s="147"/>
      <c r="K330" s="1535">
        <f t="shared" si="15"/>
        <v>0</v>
      </c>
      <c r="L330" s="1485">
        <f t="shared" si="11"/>
        <v>0</v>
      </c>
      <c r="M330" s="3153"/>
    </row>
    <row r="331" spans="2:13" x14ac:dyDescent="0.35">
      <c r="B331" s="3150"/>
      <c r="C331" s="3150"/>
      <c r="D331" s="874"/>
      <c r="E331" s="151"/>
      <c r="F331" s="151"/>
      <c r="G331" s="927"/>
      <c r="H331" s="326"/>
      <c r="I331" s="321"/>
      <c r="J331" s="147"/>
      <c r="K331" s="1535">
        <f t="shared" si="15"/>
        <v>0</v>
      </c>
      <c r="L331" s="1485">
        <f t="shared" si="11"/>
        <v>0</v>
      </c>
      <c r="M331" s="3153"/>
    </row>
    <row r="332" spans="2:13" ht="15" thickBot="1" x14ac:dyDescent="0.4">
      <c r="B332" s="3150"/>
      <c r="C332" s="3151"/>
      <c r="D332" s="920"/>
      <c r="E332" s="150"/>
      <c r="F332" s="150"/>
      <c r="G332" s="928"/>
      <c r="H332" s="327"/>
      <c r="I332" s="322"/>
      <c r="J332" s="152"/>
      <c r="K332" s="1535">
        <f t="shared" si="15"/>
        <v>0</v>
      </c>
      <c r="L332" s="1484">
        <f t="shared" si="11"/>
        <v>0</v>
      </c>
      <c r="M332" s="3153"/>
    </row>
    <row r="333" spans="2:13" x14ac:dyDescent="0.35">
      <c r="B333" s="3150"/>
      <c r="C333" s="3149" t="s">
        <v>216</v>
      </c>
      <c r="D333" s="922"/>
      <c r="E333" s="154"/>
      <c r="F333" s="154"/>
      <c r="G333" s="931"/>
      <c r="H333" s="328"/>
      <c r="I333" s="323"/>
      <c r="J333" s="155"/>
      <c r="K333" s="1534">
        <f t="shared" si="15"/>
        <v>0</v>
      </c>
      <c r="L333" s="1448">
        <f t="shared" si="11"/>
        <v>0</v>
      </c>
      <c r="M333" s="3153"/>
    </row>
    <row r="334" spans="2:13" x14ac:dyDescent="0.35">
      <c r="B334" s="3150"/>
      <c r="C334" s="3150"/>
      <c r="D334" s="874"/>
      <c r="E334" s="151"/>
      <c r="F334" s="151"/>
      <c r="G334" s="927"/>
      <c r="H334" s="326"/>
      <c r="I334" s="321"/>
      <c r="J334" s="147"/>
      <c r="K334" s="1535">
        <f t="shared" si="15"/>
        <v>0</v>
      </c>
      <c r="L334" s="1485">
        <f t="shared" si="11"/>
        <v>0</v>
      </c>
      <c r="M334" s="3153"/>
    </row>
    <row r="335" spans="2:13" x14ac:dyDescent="0.35">
      <c r="B335" s="3150"/>
      <c r="C335" s="3150"/>
      <c r="D335" s="874"/>
      <c r="E335" s="151"/>
      <c r="F335" s="151"/>
      <c r="G335" s="927"/>
      <c r="H335" s="326"/>
      <c r="I335" s="321"/>
      <c r="J335" s="147"/>
      <c r="K335" s="1535">
        <f t="shared" si="15"/>
        <v>0</v>
      </c>
      <c r="L335" s="1485">
        <f t="shared" si="11"/>
        <v>0</v>
      </c>
      <c r="M335" s="3153"/>
    </row>
    <row r="336" spans="2:13" x14ac:dyDescent="0.35">
      <c r="B336" s="3150"/>
      <c r="C336" s="3150"/>
      <c r="D336" s="874"/>
      <c r="E336" s="151"/>
      <c r="F336" s="151"/>
      <c r="G336" s="927"/>
      <c r="H336" s="326"/>
      <c r="I336" s="321"/>
      <c r="J336" s="147"/>
      <c r="K336" s="1535">
        <f t="shared" si="15"/>
        <v>0</v>
      </c>
      <c r="L336" s="1485">
        <f t="shared" si="11"/>
        <v>0</v>
      </c>
      <c r="M336" s="3153"/>
    </row>
    <row r="337" spans="2:13" x14ac:dyDescent="0.35">
      <c r="B337" s="3150"/>
      <c r="C337" s="3150"/>
      <c r="D337" s="874"/>
      <c r="E337" s="151"/>
      <c r="F337" s="151"/>
      <c r="G337" s="927"/>
      <c r="H337" s="326"/>
      <c r="I337" s="321"/>
      <c r="J337" s="147"/>
      <c r="K337" s="1535">
        <f t="shared" si="15"/>
        <v>0</v>
      </c>
      <c r="L337" s="1485">
        <f t="shared" si="11"/>
        <v>0</v>
      </c>
      <c r="M337" s="3153"/>
    </row>
    <row r="338" spans="2:13" x14ac:dyDescent="0.35">
      <c r="B338" s="3150"/>
      <c r="C338" s="3150"/>
      <c r="D338" s="874"/>
      <c r="E338" s="151"/>
      <c r="F338" s="151"/>
      <c r="G338" s="927"/>
      <c r="H338" s="326"/>
      <c r="I338" s="321"/>
      <c r="J338" s="147"/>
      <c r="K338" s="1535">
        <f t="shared" si="15"/>
        <v>0</v>
      </c>
      <c r="L338" s="1485">
        <f t="shared" si="11"/>
        <v>0</v>
      </c>
      <c r="M338" s="3153"/>
    </row>
    <row r="339" spans="2:13" x14ac:dyDescent="0.35">
      <c r="B339" s="3150"/>
      <c r="C339" s="3150"/>
      <c r="D339" s="874"/>
      <c r="E339" s="151"/>
      <c r="F339" s="151"/>
      <c r="G339" s="927"/>
      <c r="H339" s="326"/>
      <c r="I339" s="321"/>
      <c r="J339" s="147"/>
      <c r="K339" s="1535">
        <f t="shared" si="15"/>
        <v>0</v>
      </c>
      <c r="L339" s="1485">
        <f t="shared" si="11"/>
        <v>0</v>
      </c>
      <c r="M339" s="3153"/>
    </row>
    <row r="340" spans="2:13" x14ac:dyDescent="0.35">
      <c r="B340" s="3150"/>
      <c r="C340" s="3150"/>
      <c r="D340" s="874"/>
      <c r="E340" s="151"/>
      <c r="F340" s="151"/>
      <c r="G340" s="927"/>
      <c r="H340" s="326"/>
      <c r="I340" s="321"/>
      <c r="J340" s="147"/>
      <c r="K340" s="1535">
        <f t="shared" si="15"/>
        <v>0</v>
      </c>
      <c r="L340" s="1485">
        <f t="shared" si="11"/>
        <v>0</v>
      </c>
      <c r="M340" s="3153"/>
    </row>
    <row r="341" spans="2:13" x14ac:dyDescent="0.35">
      <c r="B341" s="3150"/>
      <c r="C341" s="3150"/>
      <c r="D341" s="874"/>
      <c r="E341" s="151"/>
      <c r="F341" s="151"/>
      <c r="G341" s="927"/>
      <c r="H341" s="326"/>
      <c r="I341" s="321"/>
      <c r="J341" s="147"/>
      <c r="K341" s="1535">
        <f t="shared" si="15"/>
        <v>0</v>
      </c>
      <c r="L341" s="1485">
        <f t="shared" si="11"/>
        <v>0</v>
      </c>
      <c r="M341" s="3153"/>
    </row>
    <row r="342" spans="2:13" x14ac:dyDescent="0.35">
      <c r="B342" s="3150"/>
      <c r="C342" s="3150"/>
      <c r="D342" s="874"/>
      <c r="E342" s="151"/>
      <c r="F342" s="151"/>
      <c r="G342" s="927"/>
      <c r="H342" s="326"/>
      <c r="I342" s="321"/>
      <c r="J342" s="147"/>
      <c r="K342" s="1535">
        <f t="shared" si="15"/>
        <v>0</v>
      </c>
      <c r="L342" s="1485">
        <f t="shared" si="11"/>
        <v>0</v>
      </c>
      <c r="M342" s="3153"/>
    </row>
    <row r="343" spans="2:13" ht="15" thickBot="1" x14ac:dyDescent="0.4">
      <c r="B343" s="3151"/>
      <c r="C343" s="3151"/>
      <c r="D343" s="920"/>
      <c r="E343" s="150"/>
      <c r="F343" s="150"/>
      <c r="G343" s="928"/>
      <c r="H343" s="327"/>
      <c r="I343" s="322"/>
      <c r="J343" s="152"/>
      <c r="K343" s="1536">
        <f t="shared" si="15"/>
        <v>0</v>
      </c>
      <c r="L343" s="1484">
        <f t="shared" si="11"/>
        <v>0</v>
      </c>
      <c r="M343" s="3154"/>
    </row>
    <row r="345" spans="2:13" x14ac:dyDescent="0.35">
      <c r="H345" s="1749"/>
    </row>
    <row r="346" spans="2:13" x14ac:dyDescent="0.35">
      <c r="H346" s="1750"/>
    </row>
  </sheetData>
  <sortState xmlns:xlrd2="http://schemas.microsoft.com/office/spreadsheetml/2017/richdata2" ref="D201:H204">
    <sortCondition ref="F201:F204"/>
  </sortState>
  <mergeCells count="73">
    <mergeCell ref="B322:B343"/>
    <mergeCell ref="C322:C332"/>
    <mergeCell ref="M322:M343"/>
    <mergeCell ref="C333:C343"/>
    <mergeCell ref="B300:B321"/>
    <mergeCell ref="C300:C310"/>
    <mergeCell ref="M300:M321"/>
    <mergeCell ref="C311:C321"/>
    <mergeCell ref="B278:B299"/>
    <mergeCell ref="C278:C288"/>
    <mergeCell ref="M278:M299"/>
    <mergeCell ref="C289:C299"/>
    <mergeCell ref="B234:B255"/>
    <mergeCell ref="C234:C244"/>
    <mergeCell ref="M234:M255"/>
    <mergeCell ref="C245:C255"/>
    <mergeCell ref="B256:B277"/>
    <mergeCell ref="C256:C266"/>
    <mergeCell ref="M256:M277"/>
    <mergeCell ref="C267:C277"/>
    <mergeCell ref="B190:B211"/>
    <mergeCell ref="C190:C200"/>
    <mergeCell ref="M190:M211"/>
    <mergeCell ref="C201:C211"/>
    <mergeCell ref="B212:B233"/>
    <mergeCell ref="C212:C222"/>
    <mergeCell ref="M212:M233"/>
    <mergeCell ref="C223:C233"/>
    <mergeCell ref="B146:B167"/>
    <mergeCell ref="C146:C156"/>
    <mergeCell ref="M146:M167"/>
    <mergeCell ref="C157:C167"/>
    <mergeCell ref="B168:B189"/>
    <mergeCell ref="C168:C178"/>
    <mergeCell ref="M168:M189"/>
    <mergeCell ref="C179:C189"/>
    <mergeCell ref="B102:B123"/>
    <mergeCell ref="C102:C112"/>
    <mergeCell ref="M102:M123"/>
    <mergeCell ref="C113:C123"/>
    <mergeCell ref="B124:B145"/>
    <mergeCell ref="C124:C134"/>
    <mergeCell ref="M124:M145"/>
    <mergeCell ref="C135:C145"/>
    <mergeCell ref="B58:B79"/>
    <mergeCell ref="C58:C68"/>
    <mergeCell ref="M58:M79"/>
    <mergeCell ref="C69:C79"/>
    <mergeCell ref="B80:B101"/>
    <mergeCell ref="C80:C90"/>
    <mergeCell ref="M80:M101"/>
    <mergeCell ref="C91:C101"/>
    <mergeCell ref="B36:B57"/>
    <mergeCell ref="C36:C46"/>
    <mergeCell ref="M36:M57"/>
    <mergeCell ref="C47:C57"/>
    <mergeCell ref="G9:G10"/>
    <mergeCell ref="H9:H10"/>
    <mergeCell ref="K9:K10"/>
    <mergeCell ref="J9:J10"/>
    <mergeCell ref="I9:I10"/>
    <mergeCell ref="L9:L10"/>
    <mergeCell ref="M9:M10"/>
    <mergeCell ref="B11:B35"/>
    <mergeCell ref="C11:C24"/>
    <mergeCell ref="M11:M35"/>
    <mergeCell ref="C25:C35"/>
    <mergeCell ref="B7:F7"/>
    <mergeCell ref="B9:B10"/>
    <mergeCell ref="C9:C10"/>
    <mergeCell ref="D9:D10"/>
    <mergeCell ref="E9:E10"/>
    <mergeCell ref="F9:F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499984740745262"/>
  </sheetPr>
  <dimension ref="A1:M98"/>
  <sheetViews>
    <sheetView showGridLines="0" topLeftCell="A43" zoomScale="80" zoomScaleNormal="80" workbookViewId="0">
      <selection activeCell="K94" sqref="K94"/>
    </sheetView>
  </sheetViews>
  <sheetFormatPr baseColWidth="10" defaultRowHeight="14.5" x14ac:dyDescent="0.35"/>
  <cols>
    <col min="1" max="1" width="47" style="5" bestFit="1" customWidth="1"/>
    <col min="2" max="2" width="54.7265625" style="5" bestFit="1" customWidth="1"/>
    <col min="3" max="3" width="18.453125" style="5" bestFit="1" customWidth="1"/>
    <col min="4" max="4" width="26" style="5" customWidth="1"/>
    <col min="5" max="5" width="19.7265625" style="5" customWidth="1"/>
    <col min="6" max="6" width="15.7265625" style="5" customWidth="1"/>
    <col min="7" max="8" width="17.7265625" style="5" customWidth="1"/>
    <col min="9" max="9" width="25.7265625" style="5" customWidth="1"/>
    <col min="10" max="10" width="17.7265625" style="5" customWidth="1"/>
    <col min="11" max="11" width="25.7265625" style="5" customWidth="1"/>
    <col min="12" max="12" width="17.7265625" style="5" customWidth="1"/>
    <col min="13" max="13" width="30.1796875" style="5" bestFit="1" customWidth="1"/>
  </cols>
  <sheetData>
    <row r="1" spans="1:13" x14ac:dyDescent="0.35">
      <c r="B1" s="3"/>
      <c r="C1" s="3"/>
      <c r="D1" s="3"/>
      <c r="E1" s="3"/>
      <c r="F1" s="3"/>
      <c r="G1" s="3"/>
      <c r="H1" s="3"/>
      <c r="I1" s="3"/>
      <c r="J1" s="3"/>
      <c r="L1" s="3"/>
    </row>
    <row r="2" spans="1:13" x14ac:dyDescent="0.35">
      <c r="B2" s="3"/>
      <c r="C2" s="3"/>
      <c r="D2" s="3" t="s">
        <v>217</v>
      </c>
      <c r="E2" s="3"/>
      <c r="F2" s="3"/>
      <c r="G2" s="3"/>
      <c r="H2" s="3"/>
      <c r="I2" s="3"/>
      <c r="J2" s="3"/>
      <c r="L2" s="3"/>
    </row>
    <row r="3" spans="1:13" x14ac:dyDescent="0.35">
      <c r="C3" s="2"/>
      <c r="D3" s="2"/>
      <c r="E3" s="2"/>
      <c r="F3" s="2"/>
      <c r="G3" s="2"/>
      <c r="H3" s="2"/>
      <c r="J3" s="2"/>
      <c r="L3" s="2"/>
    </row>
    <row r="4" spans="1:13" ht="15.5" x14ac:dyDescent="0.35">
      <c r="C4" s="1539" t="s">
        <v>1</v>
      </c>
      <c r="D4" s="3170" t="str">
        <f>+'[1]B) Reajuste Tarifas y Ocupación'!F5</f>
        <v>BIENVALP</v>
      </c>
      <c r="E4" s="3171"/>
      <c r="F4" s="3"/>
      <c r="G4" s="3"/>
      <c r="H4" s="3"/>
      <c r="J4" s="3"/>
      <c r="L4" s="3"/>
    </row>
    <row r="5" spans="1:13" x14ac:dyDescent="0.35">
      <c r="A5" s="8"/>
      <c r="B5" s="8"/>
      <c r="C5" s="3"/>
      <c r="D5" s="3"/>
      <c r="E5" s="3"/>
      <c r="F5" s="3"/>
      <c r="G5" s="3"/>
      <c r="H5" s="3"/>
      <c r="I5" s="3"/>
      <c r="J5" s="3"/>
      <c r="L5" s="3"/>
    </row>
    <row r="6" spans="1:13" x14ac:dyDescent="0.35">
      <c r="A6" s="8"/>
      <c r="B6" s="8"/>
      <c r="C6" s="3"/>
      <c r="D6" s="3"/>
      <c r="E6" s="3"/>
      <c r="F6" s="3"/>
      <c r="G6" s="3"/>
      <c r="H6" s="3"/>
      <c r="I6" s="3"/>
      <c r="J6" s="3"/>
      <c r="L6" s="3"/>
    </row>
    <row r="7" spans="1:13" x14ac:dyDescent="0.35">
      <c r="A7" s="3172" t="s">
        <v>218</v>
      </c>
      <c r="B7" s="3173"/>
      <c r="C7" s="3173"/>
      <c r="D7" s="3173"/>
      <c r="E7" s="3173"/>
      <c r="F7" s="3173"/>
      <c r="G7" s="3173"/>
      <c r="H7" s="3173"/>
      <c r="I7" s="3173"/>
      <c r="J7" s="3173"/>
      <c r="K7" s="3173"/>
      <c r="L7" s="3174"/>
    </row>
    <row r="8" spans="1:13" x14ac:dyDescent="0.35">
      <c r="A8" s="3175"/>
      <c r="B8" s="3176"/>
      <c r="C8" s="3176"/>
      <c r="D8" s="3176"/>
      <c r="E8" s="3176"/>
      <c r="F8" s="3176"/>
      <c r="G8" s="3176"/>
      <c r="H8" s="3176"/>
      <c r="I8" s="3176"/>
      <c r="J8" s="3176"/>
      <c r="K8" s="3176"/>
      <c r="L8" s="3177"/>
    </row>
    <row r="9" spans="1:13" x14ac:dyDescent="0.35">
      <c r="A9" s="3175"/>
      <c r="B9" s="3176"/>
      <c r="C9" s="3176"/>
      <c r="D9" s="3176"/>
      <c r="E9" s="3176"/>
      <c r="F9" s="3176"/>
      <c r="G9" s="3176"/>
      <c r="H9" s="3176"/>
      <c r="I9" s="3176"/>
      <c r="J9" s="3176"/>
      <c r="K9" s="3176"/>
      <c r="L9" s="3177"/>
    </row>
    <row r="10" spans="1:13" x14ac:dyDescent="0.35">
      <c r="A10" s="3178"/>
      <c r="B10" s="3179"/>
      <c r="C10" s="3179"/>
      <c r="D10" s="3179"/>
      <c r="E10" s="3179"/>
      <c r="F10" s="3179"/>
      <c r="G10" s="3179"/>
      <c r="H10" s="3179"/>
      <c r="I10" s="3179"/>
      <c r="J10" s="3179"/>
      <c r="K10" s="3179"/>
      <c r="L10" s="3180"/>
    </row>
    <row r="11" spans="1:13" x14ac:dyDescent="0.35">
      <c r="A11" s="1540"/>
      <c r="B11" s="1540"/>
      <c r="C11" s="1540"/>
      <c r="D11" s="1540"/>
      <c r="E11" s="1540"/>
      <c r="F11" s="1540"/>
      <c r="G11" s="1540"/>
      <c r="H11" s="1540"/>
      <c r="I11" s="1540"/>
      <c r="J11" s="1540"/>
      <c r="K11" s="1540"/>
      <c r="L11" s="1540"/>
    </row>
    <row r="12" spans="1:13" x14ac:dyDescent="0.35">
      <c r="A12" s="1540"/>
      <c r="B12" s="1540"/>
      <c r="C12" s="1540"/>
      <c r="D12" s="1540"/>
      <c r="E12" s="1540"/>
      <c r="H12" s="1540"/>
      <c r="I12" s="1540"/>
      <c r="J12" s="1540"/>
      <c r="K12" s="1540"/>
      <c r="L12" s="1540"/>
    </row>
    <row r="13" spans="1:13" ht="15.5" x14ac:dyDescent="0.35">
      <c r="A13" s="3132" t="s">
        <v>219</v>
      </c>
      <c r="B13" s="3132"/>
      <c r="C13" s="3132"/>
      <c r="D13" s="3132"/>
      <c r="E13" s="1540"/>
      <c r="F13" s="1540"/>
      <c r="G13" s="225"/>
      <c r="H13" s="1540"/>
      <c r="I13" s="1540"/>
      <c r="J13" s="1540"/>
      <c r="K13" s="1540"/>
      <c r="L13" s="1540"/>
    </row>
    <row r="14" spans="1:13" ht="15" thickBot="1" x14ac:dyDescent="0.4">
      <c r="A14" s="8"/>
      <c r="B14" s="8"/>
      <c r="C14" s="3"/>
      <c r="D14" s="3"/>
      <c r="E14" s="3"/>
      <c r="F14" s="3"/>
      <c r="G14" s="3"/>
      <c r="H14" s="3"/>
      <c r="I14" s="3"/>
      <c r="J14" s="3"/>
      <c r="L14" s="3"/>
    </row>
    <row r="15" spans="1:13" ht="15.5" x14ac:dyDescent="0.35">
      <c r="A15" s="3181" t="s">
        <v>3</v>
      </c>
      <c r="B15" s="3183" t="s">
        <v>22</v>
      </c>
      <c r="C15" s="3185" t="s">
        <v>520</v>
      </c>
      <c r="D15" s="3186"/>
      <c r="E15" s="3187"/>
      <c r="F15" s="3188" t="s">
        <v>220</v>
      </c>
      <c r="G15" s="3189"/>
      <c r="H15" s="3190"/>
      <c r="I15" s="3191" t="s">
        <v>221</v>
      </c>
      <c r="J15" s="3192"/>
      <c r="K15" s="3193" t="s">
        <v>222</v>
      </c>
      <c r="L15" s="3194"/>
      <c r="M15" s="3199" t="s">
        <v>223</v>
      </c>
    </row>
    <row r="16" spans="1:13" ht="15" thickBot="1" x14ac:dyDescent="0.4">
      <c r="A16" s="3182"/>
      <c r="B16" s="3184"/>
      <c r="C16" s="1541" t="s">
        <v>208</v>
      </c>
      <c r="D16" s="1542" t="s">
        <v>209</v>
      </c>
      <c r="E16" s="1543" t="s">
        <v>210</v>
      </c>
      <c r="F16" s="1544" t="s">
        <v>208</v>
      </c>
      <c r="G16" s="1545" t="s">
        <v>209</v>
      </c>
      <c r="H16" s="1546" t="s">
        <v>210</v>
      </c>
      <c r="I16" s="495" t="s">
        <v>224</v>
      </c>
      <c r="J16" s="1547" t="s">
        <v>225</v>
      </c>
      <c r="K16" s="1548" t="s">
        <v>224</v>
      </c>
      <c r="L16" s="1426" t="s">
        <v>225</v>
      </c>
      <c r="M16" s="3200"/>
    </row>
    <row r="17" spans="1:13" x14ac:dyDescent="0.35">
      <c r="A17" s="3195" t="s">
        <v>41</v>
      </c>
      <c r="B17" s="1549" t="str">
        <f>+'B) Reajuste Tarifas y Ocupación'!B12</f>
        <v>Superior</v>
      </c>
      <c r="C17" s="1550">
        <f>+'B) Reajuste Tarifas y Ocupación'!K12</f>
        <v>89200</v>
      </c>
      <c r="D17" s="1551">
        <f>+'B) Reajuste Tarifas y Ocupación'!L12</f>
        <v>98100</v>
      </c>
      <c r="E17" s="1552">
        <f>+'B) Reajuste Tarifas y Ocupación'!M12</f>
        <v>111100</v>
      </c>
      <c r="F17" s="1553">
        <f>IFERROR(C17/$M17,0)</f>
        <v>0</v>
      </c>
      <c r="G17" s="1554">
        <f>IFERROR(D17/$M17,0)</f>
        <v>0</v>
      </c>
      <c r="H17" s="1555">
        <f>IFERROR(E17/$M17,0)</f>
        <v>0</v>
      </c>
      <c r="I17" s="863" t="s">
        <v>1176</v>
      </c>
      <c r="J17" s="848">
        <v>0</v>
      </c>
      <c r="K17" s="2518" t="s">
        <v>1177</v>
      </c>
      <c r="L17" s="848">
        <v>0</v>
      </c>
      <c r="M17" s="1556">
        <f>AVERAGE(J17,L17)</f>
        <v>0</v>
      </c>
    </row>
    <row r="18" spans="1:13" x14ac:dyDescent="0.35">
      <c r="A18" s="3196"/>
      <c r="B18" s="1557" t="str">
        <f>+'B) Reajuste Tarifas y Ocupación'!B13</f>
        <v>Simple</v>
      </c>
      <c r="C18" s="1558">
        <f>+'B) Reajuste Tarifas y Ocupación'!K13</f>
        <v>61500</v>
      </c>
      <c r="D18" s="1559">
        <f>+'B) Reajuste Tarifas y Ocupación'!L13</f>
        <v>67700</v>
      </c>
      <c r="E18" s="1560">
        <f>+'B) Reajuste Tarifas y Ocupación'!M13</f>
        <v>76800</v>
      </c>
      <c r="F18" s="1561">
        <f t="shared" ref="F18:H84" si="0">IFERROR(C18/$M18,0)</f>
        <v>0</v>
      </c>
      <c r="G18" s="1562">
        <f t="shared" si="0"/>
        <v>0</v>
      </c>
      <c r="H18" s="1563">
        <f t="shared" si="0"/>
        <v>0</v>
      </c>
      <c r="I18" s="737" t="s">
        <v>1176</v>
      </c>
      <c r="J18" s="2519">
        <v>0</v>
      </c>
      <c r="K18" s="2518" t="s">
        <v>1177</v>
      </c>
      <c r="L18" s="2519">
        <v>0</v>
      </c>
      <c r="M18" s="1564">
        <f t="shared" ref="M18:M84" si="1">AVERAGE(J18,L18)</f>
        <v>0</v>
      </c>
    </row>
    <row r="19" spans="1:13" x14ac:dyDescent="0.35">
      <c r="A19" s="3196"/>
      <c r="B19" s="1557" t="str">
        <f>+'B) Reajuste Tarifas y Ocupación'!B14</f>
        <v>Suit</v>
      </c>
      <c r="C19" s="1558">
        <f>+'B) Reajuste Tarifas y Ocupación'!K14</f>
        <v>83100</v>
      </c>
      <c r="D19" s="1559">
        <f>+'B) Reajuste Tarifas y Ocupación'!L14</f>
        <v>91500</v>
      </c>
      <c r="E19" s="1560">
        <f>+'B) Reajuste Tarifas y Ocupación'!M14</f>
        <v>103600</v>
      </c>
      <c r="F19" s="1561">
        <f t="shared" si="0"/>
        <v>1.0701867353509338</v>
      </c>
      <c r="G19" s="1562">
        <f t="shared" si="0"/>
        <v>1.1783644558918223</v>
      </c>
      <c r="H19" s="1563">
        <f t="shared" si="0"/>
        <v>1.3341918866709594</v>
      </c>
      <c r="I19" s="746" t="s">
        <v>1176</v>
      </c>
      <c r="J19" s="2519">
        <v>95800</v>
      </c>
      <c r="K19" s="2518" t="s">
        <v>1177</v>
      </c>
      <c r="L19" s="2519">
        <v>59500</v>
      </c>
      <c r="M19" s="1564">
        <f t="shared" si="1"/>
        <v>77650</v>
      </c>
    </row>
    <row r="20" spans="1:13" x14ac:dyDescent="0.35">
      <c r="A20" s="3196"/>
      <c r="B20" s="1557" t="str">
        <f>+'B) Reajuste Tarifas y Ocupación'!B15</f>
        <v>Matrimonial o Doble</v>
      </c>
      <c r="C20" s="1558">
        <f>+'B) Reajuste Tarifas y Ocupación'!K15</f>
        <v>75100</v>
      </c>
      <c r="D20" s="1559">
        <f>+'B) Reajuste Tarifas y Ocupación'!L15</f>
        <v>82500</v>
      </c>
      <c r="E20" s="1560">
        <f>+'B) Reajuste Tarifas y Ocupación'!M15</f>
        <v>93600</v>
      </c>
      <c r="F20" s="1561">
        <f t="shared" si="0"/>
        <v>1.0947521865889214</v>
      </c>
      <c r="G20" s="1562">
        <f t="shared" si="0"/>
        <v>1.2026239067055393</v>
      </c>
      <c r="H20" s="1563">
        <f t="shared" si="0"/>
        <v>1.3644314868804666</v>
      </c>
      <c r="I20" s="2520" t="s">
        <v>1176</v>
      </c>
      <c r="J20" s="2519">
        <v>89600</v>
      </c>
      <c r="K20" s="2518" t="s">
        <v>1177</v>
      </c>
      <c r="L20" s="2519">
        <v>47600</v>
      </c>
      <c r="M20" s="1564">
        <f>AVERAGE(J20,L20)</f>
        <v>68600</v>
      </c>
    </row>
    <row r="21" spans="1:13" x14ac:dyDescent="0.35">
      <c r="A21" s="3196"/>
      <c r="B21" s="1565" t="str">
        <f>+'B) Reajuste Tarifas y Ocupación'!B17</f>
        <v>Uso por tránsito/ Early check-in/Late check-out</v>
      </c>
      <c r="C21" s="1566"/>
      <c r="D21" s="1567"/>
      <c r="E21" s="1568"/>
      <c r="F21" s="1569"/>
      <c r="G21" s="1570"/>
      <c r="H21" s="1571"/>
      <c r="I21" s="850"/>
      <c r="J21" s="852"/>
      <c r="K21" s="849"/>
      <c r="L21" s="852"/>
      <c r="M21" s="1572"/>
    </row>
    <row r="22" spans="1:13" x14ac:dyDescent="0.35">
      <c r="A22" s="3196"/>
      <c r="B22" s="1573" t="str">
        <f>+'B) Reajuste Tarifas y Ocupación'!B18</f>
        <v>Superior</v>
      </c>
      <c r="C22" s="1558">
        <f>+'B) Reajuste Tarifas y Ocupación'!K18</f>
        <v>26800</v>
      </c>
      <c r="D22" s="1559">
        <f>+'B) Reajuste Tarifas y Ocupación'!L18</f>
        <v>29500</v>
      </c>
      <c r="E22" s="1560">
        <f>+'B) Reajuste Tarifas y Ocupación'!M18</f>
        <v>33400</v>
      </c>
      <c r="F22" s="1561">
        <f t="shared" si="0"/>
        <v>0</v>
      </c>
      <c r="G22" s="1562">
        <f t="shared" si="0"/>
        <v>0</v>
      </c>
      <c r="H22" s="1563">
        <f t="shared" si="0"/>
        <v>0</v>
      </c>
      <c r="I22" s="850"/>
      <c r="J22" s="851">
        <v>0</v>
      </c>
      <c r="K22" s="849"/>
      <c r="L22" s="851">
        <v>0</v>
      </c>
      <c r="M22" s="1564">
        <f t="shared" si="1"/>
        <v>0</v>
      </c>
    </row>
    <row r="23" spans="1:13" x14ac:dyDescent="0.35">
      <c r="A23" s="3196"/>
      <c r="B23" s="1573" t="str">
        <f>+'B) Reajuste Tarifas y Ocupación'!B19</f>
        <v>Simple</v>
      </c>
      <c r="C23" s="1558">
        <f>+'B) Reajuste Tarifas y Ocupación'!K19</f>
        <v>18500</v>
      </c>
      <c r="D23" s="1559">
        <f>+'B) Reajuste Tarifas y Ocupación'!L19</f>
        <v>20400</v>
      </c>
      <c r="E23" s="1560">
        <f>+'B) Reajuste Tarifas y Ocupación'!M19</f>
        <v>23100</v>
      </c>
      <c r="F23" s="1561">
        <f t="shared" si="0"/>
        <v>0</v>
      </c>
      <c r="G23" s="1562">
        <f t="shared" si="0"/>
        <v>0</v>
      </c>
      <c r="H23" s="1563">
        <f t="shared" si="0"/>
        <v>0</v>
      </c>
      <c r="I23" s="850"/>
      <c r="J23" s="851">
        <v>0</v>
      </c>
      <c r="K23" s="849"/>
      <c r="L23" s="851">
        <v>0</v>
      </c>
      <c r="M23" s="1564">
        <f t="shared" si="1"/>
        <v>0</v>
      </c>
    </row>
    <row r="24" spans="1:13" x14ac:dyDescent="0.35">
      <c r="A24" s="3196"/>
      <c r="B24" s="1573" t="str">
        <f>+'B) Reajuste Tarifas y Ocupación'!B20</f>
        <v>Suit</v>
      </c>
      <c r="C24" s="1558">
        <f>+'B) Reajuste Tarifas y Ocupación'!K20</f>
        <v>25000</v>
      </c>
      <c r="D24" s="1559">
        <f>+'B) Reajuste Tarifas y Ocupación'!L20</f>
        <v>27500</v>
      </c>
      <c r="E24" s="1560">
        <f>+'B) Reajuste Tarifas y Ocupación'!M20</f>
        <v>31100</v>
      </c>
      <c r="F24" s="1561">
        <f t="shared" si="0"/>
        <v>0</v>
      </c>
      <c r="G24" s="1562">
        <f t="shared" si="0"/>
        <v>0</v>
      </c>
      <c r="H24" s="1563">
        <f t="shared" si="0"/>
        <v>0</v>
      </c>
      <c r="I24" s="850"/>
      <c r="J24" s="851">
        <v>0</v>
      </c>
      <c r="K24" s="849"/>
      <c r="L24" s="851">
        <v>0</v>
      </c>
      <c r="M24" s="1564">
        <f t="shared" si="1"/>
        <v>0</v>
      </c>
    </row>
    <row r="25" spans="1:13" ht="15" thickBot="1" x14ac:dyDescent="0.4">
      <c r="A25" s="2949"/>
      <c r="B25" s="1574" t="str">
        <f>+'B) Reajuste Tarifas y Ocupación'!B21</f>
        <v>Matrimonial o Doble</v>
      </c>
      <c r="C25" s="1575">
        <f>+'B) Reajuste Tarifas y Ocupación'!K21</f>
        <v>22600</v>
      </c>
      <c r="D25" s="452">
        <f>+'B) Reajuste Tarifas y Ocupación'!L21</f>
        <v>24800</v>
      </c>
      <c r="E25" s="453">
        <f>+'B) Reajuste Tarifas y Ocupación'!M21</f>
        <v>28100</v>
      </c>
      <c r="F25" s="1576">
        <f t="shared" si="0"/>
        <v>0</v>
      </c>
      <c r="G25" s="1577">
        <f t="shared" si="0"/>
        <v>0</v>
      </c>
      <c r="H25" s="1578">
        <f t="shared" si="0"/>
        <v>0</v>
      </c>
      <c r="I25" s="853"/>
      <c r="J25" s="854">
        <v>0</v>
      </c>
      <c r="K25" s="855"/>
      <c r="L25" s="854">
        <v>0</v>
      </c>
      <c r="M25" s="1579">
        <f t="shared" si="1"/>
        <v>0</v>
      </c>
    </row>
    <row r="26" spans="1:13" x14ac:dyDescent="0.35">
      <c r="A26" s="3195" t="s">
        <v>47</v>
      </c>
      <c r="B26" s="1549" t="str">
        <f>+'B) Reajuste Tarifas y Ocupación'!B22</f>
        <v>Chica</v>
      </c>
      <c r="C26" s="1550">
        <f>+'B) Reajuste Tarifas y Ocupación'!K22</f>
        <v>90500</v>
      </c>
      <c r="D26" s="1551">
        <f>+'B) Reajuste Tarifas y Ocupación'!L22</f>
        <v>99500</v>
      </c>
      <c r="E26" s="1552">
        <f>+'B) Reajuste Tarifas y Ocupación'!M22</f>
        <v>112800</v>
      </c>
      <c r="F26" s="1553">
        <f t="shared" si="0"/>
        <v>0</v>
      </c>
      <c r="G26" s="1554">
        <f t="shared" si="0"/>
        <v>0</v>
      </c>
      <c r="H26" s="1555">
        <f t="shared" si="0"/>
        <v>0</v>
      </c>
      <c r="I26" s="454"/>
      <c r="J26" s="471">
        <v>0</v>
      </c>
      <c r="K26" s="454"/>
      <c r="L26" s="471">
        <v>0</v>
      </c>
      <c r="M26" s="1556">
        <f t="shared" si="1"/>
        <v>0</v>
      </c>
    </row>
    <row r="27" spans="1:13" x14ac:dyDescent="0.35">
      <c r="A27" s="3196"/>
      <c r="B27" s="1557" t="str">
        <f>+'B) Reajuste Tarifas y Ocupación'!B23</f>
        <v>Grande</v>
      </c>
      <c r="C27" s="1558">
        <f>+'B) Reajuste Tarifas y Ocupación'!K23</f>
        <v>110200</v>
      </c>
      <c r="D27" s="1559">
        <f>+'B) Reajuste Tarifas y Ocupación'!L23</f>
        <v>121200</v>
      </c>
      <c r="E27" s="1560">
        <f>+'B) Reajuste Tarifas y Ocupación'!M23</f>
        <v>137300</v>
      </c>
      <c r="F27" s="1561">
        <f t="shared" si="0"/>
        <v>0</v>
      </c>
      <c r="G27" s="1562">
        <f t="shared" si="0"/>
        <v>0</v>
      </c>
      <c r="H27" s="1563">
        <f t="shared" si="0"/>
        <v>0</v>
      </c>
      <c r="I27" s="737"/>
      <c r="J27" s="857">
        <v>0</v>
      </c>
      <c r="K27" s="737"/>
      <c r="L27" s="857">
        <v>0</v>
      </c>
      <c r="M27" s="1564">
        <f t="shared" si="1"/>
        <v>0</v>
      </c>
    </row>
    <row r="28" spans="1:13" x14ac:dyDescent="0.35">
      <c r="A28" s="3196"/>
      <c r="B28" s="1557" t="str">
        <f>+'B) Reajuste Tarifas y Ocupación'!B24</f>
        <v>Persona adicional</v>
      </c>
      <c r="C28" s="1558">
        <f>+'B) Reajuste Tarifas y Ocupación'!K24</f>
        <v>11500</v>
      </c>
      <c r="D28" s="1559">
        <f>+'B) Reajuste Tarifas y Ocupación'!L24</f>
        <v>12700</v>
      </c>
      <c r="E28" s="1560">
        <f>+'B) Reajuste Tarifas y Ocupación'!M24</f>
        <v>14400</v>
      </c>
      <c r="F28" s="1561">
        <f t="shared" si="0"/>
        <v>0</v>
      </c>
      <c r="G28" s="1562">
        <f t="shared" si="0"/>
        <v>0</v>
      </c>
      <c r="H28" s="1563">
        <f t="shared" si="0"/>
        <v>0</v>
      </c>
      <c r="I28" s="455"/>
      <c r="J28" s="472">
        <v>0</v>
      </c>
      <c r="K28" s="455"/>
      <c r="L28" s="482">
        <v>0</v>
      </c>
      <c r="M28" s="1564">
        <f t="shared" si="1"/>
        <v>0</v>
      </c>
    </row>
    <row r="29" spans="1:13" x14ac:dyDescent="0.35">
      <c r="A29" s="3196"/>
      <c r="B29" s="1565" t="str">
        <f>+'B) Reajuste Tarifas y Ocupación'!B25</f>
        <v>Uso por tránsito/ Early check-in/Late check-out</v>
      </c>
      <c r="C29" s="1566"/>
      <c r="D29" s="1567"/>
      <c r="E29" s="1568"/>
      <c r="F29" s="1569"/>
      <c r="G29" s="1570"/>
      <c r="H29" s="1571"/>
      <c r="I29" s="456"/>
      <c r="J29" s="473"/>
      <c r="K29" s="456"/>
      <c r="L29" s="483"/>
      <c r="M29" s="1572"/>
    </row>
    <row r="30" spans="1:13" x14ac:dyDescent="0.35">
      <c r="A30" s="3196"/>
      <c r="B30" s="1573" t="str">
        <f>+'B) Reajuste Tarifas y Ocupación'!B26</f>
        <v>Cabaña Chica</v>
      </c>
      <c r="C30" s="1558">
        <f>+'B) Reajuste Tarifas y Ocupación'!K26</f>
        <v>27200</v>
      </c>
      <c r="D30" s="1559">
        <f>+'B) Reajuste Tarifas y Ocupación'!L26</f>
        <v>29900</v>
      </c>
      <c r="E30" s="1560">
        <f>+'B) Reajuste Tarifas y Ocupación'!M26</f>
        <v>33900</v>
      </c>
      <c r="F30" s="1561">
        <f t="shared" si="0"/>
        <v>0</v>
      </c>
      <c r="G30" s="1562">
        <f t="shared" si="0"/>
        <v>0</v>
      </c>
      <c r="H30" s="1563">
        <f t="shared" si="0"/>
        <v>0</v>
      </c>
      <c r="I30" s="455"/>
      <c r="J30" s="472">
        <v>0</v>
      </c>
      <c r="K30" s="455"/>
      <c r="L30" s="482">
        <v>0</v>
      </c>
      <c r="M30" s="1564">
        <f t="shared" si="1"/>
        <v>0</v>
      </c>
    </row>
    <row r="31" spans="1:13" ht="15" thickBot="1" x14ac:dyDescent="0.4">
      <c r="A31" s="2949"/>
      <c r="B31" s="1574" t="str">
        <f>+'B) Reajuste Tarifas y Ocupación'!B27</f>
        <v>Cabaña Grande</v>
      </c>
      <c r="C31" s="1575">
        <f>+'B) Reajuste Tarifas y Ocupación'!K27</f>
        <v>33100</v>
      </c>
      <c r="D31" s="452">
        <f>+'B) Reajuste Tarifas y Ocupación'!L27</f>
        <v>36400</v>
      </c>
      <c r="E31" s="453">
        <f>+'B) Reajuste Tarifas y Ocupación'!M27</f>
        <v>41200</v>
      </c>
      <c r="F31" s="1576">
        <f t="shared" si="0"/>
        <v>0</v>
      </c>
      <c r="G31" s="1577">
        <f t="shared" si="0"/>
        <v>0</v>
      </c>
      <c r="H31" s="1578">
        <f t="shared" si="0"/>
        <v>0</v>
      </c>
      <c r="I31" s="457"/>
      <c r="J31" s="474">
        <v>0</v>
      </c>
      <c r="K31" s="457"/>
      <c r="L31" s="474">
        <v>0</v>
      </c>
      <c r="M31" s="1580">
        <f t="shared" si="1"/>
        <v>0</v>
      </c>
    </row>
    <row r="32" spans="1:13" x14ac:dyDescent="0.35">
      <c r="A32" s="3195" t="s">
        <v>53</v>
      </c>
      <c r="B32" s="1549" t="str">
        <f>+'B) Reajuste Tarifas y Ocupación'!B28</f>
        <v>Camping (5p)</v>
      </c>
      <c r="C32" s="1550">
        <f>+'B) Reajuste Tarifas y Ocupación'!K28</f>
        <v>39100</v>
      </c>
      <c r="D32" s="1551">
        <f>+'B) Reajuste Tarifas y Ocupación'!L28</f>
        <v>43100</v>
      </c>
      <c r="E32" s="1552">
        <f>+'B) Reajuste Tarifas y Ocupación'!M28</f>
        <v>48900</v>
      </c>
      <c r="F32" s="1553">
        <f t="shared" si="0"/>
        <v>0</v>
      </c>
      <c r="G32" s="1554">
        <f t="shared" si="0"/>
        <v>0</v>
      </c>
      <c r="H32" s="1555">
        <f t="shared" si="0"/>
        <v>0</v>
      </c>
      <c r="I32" s="451"/>
      <c r="J32" s="471">
        <v>0</v>
      </c>
      <c r="K32" s="487"/>
      <c r="L32" s="471">
        <v>0</v>
      </c>
      <c r="M32" s="1581">
        <f t="shared" si="1"/>
        <v>0</v>
      </c>
    </row>
    <row r="33" spans="1:13" x14ac:dyDescent="0.35">
      <c r="A33" s="3196"/>
      <c r="B33" s="1582" t="str">
        <f>+'B) Reajuste Tarifas y Ocupación'!B29</f>
        <v>Camping (P/Adicional)</v>
      </c>
      <c r="C33" s="1558">
        <f>+'B) Reajuste Tarifas y Ocupación'!K29</f>
        <v>7900</v>
      </c>
      <c r="D33" s="1559">
        <f>+'B) Reajuste Tarifas y Ocupación'!L29</f>
        <v>8700</v>
      </c>
      <c r="E33" s="1560">
        <f>+'B) Reajuste Tarifas y Ocupación'!M29</f>
        <v>9800</v>
      </c>
      <c r="F33" s="1561">
        <f t="shared" si="0"/>
        <v>0</v>
      </c>
      <c r="G33" s="1562">
        <f t="shared" si="0"/>
        <v>0</v>
      </c>
      <c r="H33" s="1563">
        <f t="shared" si="0"/>
        <v>0</v>
      </c>
      <c r="I33" s="459"/>
      <c r="J33" s="472">
        <v>0</v>
      </c>
      <c r="K33" s="460"/>
      <c r="L33" s="482">
        <v>0</v>
      </c>
      <c r="M33" s="1564">
        <f t="shared" si="1"/>
        <v>0</v>
      </c>
    </row>
    <row r="34" spans="1:13" x14ac:dyDescent="0.35">
      <c r="A34" s="3196"/>
      <c r="B34" s="1582" t="str">
        <f>+'B) Reajuste Tarifas y Ocupación'!B30</f>
        <v>Picnic (6p)</v>
      </c>
      <c r="C34" s="1558">
        <f>+'B) Reajuste Tarifas y Ocupación'!K30</f>
        <v>23500</v>
      </c>
      <c r="D34" s="1559">
        <f>+'B) Reajuste Tarifas y Ocupación'!L30</f>
        <v>25900</v>
      </c>
      <c r="E34" s="1560">
        <f>+'B) Reajuste Tarifas y Ocupación'!M30</f>
        <v>29200</v>
      </c>
      <c r="F34" s="1561">
        <f t="shared" si="0"/>
        <v>0</v>
      </c>
      <c r="G34" s="1583">
        <f t="shared" si="0"/>
        <v>0</v>
      </c>
      <c r="H34" s="1563">
        <f t="shared" si="0"/>
        <v>0</v>
      </c>
      <c r="I34" s="459"/>
      <c r="J34" s="472">
        <v>0</v>
      </c>
      <c r="K34" s="460"/>
      <c r="L34" s="482">
        <v>0</v>
      </c>
      <c r="M34" s="1564">
        <f t="shared" si="1"/>
        <v>0</v>
      </c>
    </row>
    <row r="35" spans="1:13" x14ac:dyDescent="0.35">
      <c r="A35" s="3196"/>
      <c r="B35" s="1582" t="str">
        <f>+'B) Reajuste Tarifas y Ocupación'!B31</f>
        <v>Picnic (12p)</v>
      </c>
      <c r="C35" s="1558">
        <f>+'B) Reajuste Tarifas y Ocupación'!K31</f>
        <v>46400</v>
      </c>
      <c r="D35" s="1559">
        <f>+'B) Reajuste Tarifas y Ocupación'!L31</f>
        <v>51000</v>
      </c>
      <c r="E35" s="1560">
        <f>+'B) Reajuste Tarifas y Ocupación'!M31</f>
        <v>57800</v>
      </c>
      <c r="F35" s="1561">
        <f t="shared" si="0"/>
        <v>0</v>
      </c>
      <c r="G35" s="1584">
        <f t="shared" si="0"/>
        <v>0</v>
      </c>
      <c r="H35" s="1563">
        <f t="shared" si="0"/>
        <v>0</v>
      </c>
      <c r="I35" s="459"/>
      <c r="J35" s="472">
        <v>0</v>
      </c>
      <c r="K35" s="460"/>
      <c r="L35" s="482">
        <v>0</v>
      </c>
      <c r="M35" s="1564">
        <f t="shared" si="1"/>
        <v>0</v>
      </c>
    </row>
    <row r="36" spans="1:13" x14ac:dyDescent="0.35">
      <c r="A36" s="3196"/>
      <c r="B36" s="1582" t="str">
        <f>+'B) Reajuste Tarifas y Ocupación'!B32</f>
        <v>Picnic (15p)</v>
      </c>
      <c r="C36" s="1558">
        <f>+'B) Reajuste Tarifas y Ocupación'!K32</f>
        <v>57600</v>
      </c>
      <c r="D36" s="1559">
        <f>+'B) Reajuste Tarifas y Ocupación'!L32</f>
        <v>63400</v>
      </c>
      <c r="E36" s="1560">
        <f>+'B) Reajuste Tarifas y Ocupación'!M32</f>
        <v>71700</v>
      </c>
      <c r="F36" s="1561">
        <f t="shared" si="0"/>
        <v>0</v>
      </c>
      <c r="G36" s="1585">
        <f t="shared" si="0"/>
        <v>0</v>
      </c>
      <c r="H36" s="1563">
        <f t="shared" si="0"/>
        <v>0</v>
      </c>
      <c r="I36" s="459"/>
      <c r="J36" s="472">
        <v>0</v>
      </c>
      <c r="K36" s="460"/>
      <c r="L36" s="482">
        <v>0</v>
      </c>
      <c r="M36" s="1564">
        <f t="shared" si="1"/>
        <v>0</v>
      </c>
    </row>
    <row r="37" spans="1:13" x14ac:dyDescent="0.35">
      <c r="A37" s="3196"/>
      <c r="B37" s="1582" t="str">
        <f>+'B) Reajuste Tarifas y Ocupación'!B33</f>
        <v>Picnic (30p)</v>
      </c>
      <c r="C37" s="1558">
        <f>+'B) Reajuste Tarifas y Ocupación'!K33</f>
        <v>114600</v>
      </c>
      <c r="D37" s="1559">
        <f>+'B) Reajuste Tarifas y Ocupación'!L33</f>
        <v>126000</v>
      </c>
      <c r="E37" s="1560">
        <f>+'B) Reajuste Tarifas y Ocupación'!M33</f>
        <v>142800</v>
      </c>
      <c r="F37" s="1561">
        <f t="shared" si="0"/>
        <v>0</v>
      </c>
      <c r="G37" s="1586">
        <f t="shared" si="0"/>
        <v>0</v>
      </c>
      <c r="H37" s="1563">
        <f t="shared" si="0"/>
        <v>0</v>
      </c>
      <c r="I37" s="459"/>
      <c r="J37" s="472">
        <v>0</v>
      </c>
      <c r="K37" s="460"/>
      <c r="L37" s="482">
        <v>0</v>
      </c>
      <c r="M37" s="1564">
        <f t="shared" si="1"/>
        <v>0</v>
      </c>
    </row>
    <row r="38" spans="1:13" x14ac:dyDescent="0.35">
      <c r="A38" s="3196"/>
      <c r="B38" s="1582" t="str">
        <f>+'B) Reajuste Tarifas y Ocupación'!B34</f>
        <v>Picnic (60p)</v>
      </c>
      <c r="C38" s="1558">
        <f>+'B) Reajuste Tarifas y Ocupación'!K34</f>
        <v>215600</v>
      </c>
      <c r="D38" s="1559">
        <f>+'B) Reajuste Tarifas y Ocupación'!L34</f>
        <v>237200</v>
      </c>
      <c r="E38" s="1560">
        <f>+'B) Reajuste Tarifas y Ocupación'!M34</f>
        <v>268700</v>
      </c>
      <c r="F38" s="1561">
        <f t="shared" si="0"/>
        <v>0</v>
      </c>
      <c r="G38" s="1587">
        <f t="shared" si="0"/>
        <v>0</v>
      </c>
      <c r="H38" s="1563">
        <f t="shared" si="0"/>
        <v>0</v>
      </c>
      <c r="I38" s="459"/>
      <c r="J38" s="472">
        <v>0</v>
      </c>
      <c r="K38" s="460"/>
      <c r="L38" s="482">
        <v>0</v>
      </c>
      <c r="M38" s="1564">
        <f t="shared" si="1"/>
        <v>0</v>
      </c>
    </row>
    <row r="39" spans="1:13" x14ac:dyDescent="0.35">
      <c r="A39" s="3196"/>
      <c r="B39" s="1582" t="str">
        <f>+'B) Reajuste Tarifas y Ocupación'!B35</f>
        <v>Picnic (P/Adicional)</v>
      </c>
      <c r="C39" s="1558">
        <f>+'B) Reajuste Tarifas y Ocupación'!K35</f>
        <v>4600</v>
      </c>
      <c r="D39" s="1559">
        <f>+'B) Reajuste Tarifas y Ocupación'!L35</f>
        <v>5100</v>
      </c>
      <c r="E39" s="1560">
        <f>+'B) Reajuste Tarifas y Ocupación'!M35</f>
        <v>5700</v>
      </c>
      <c r="F39" s="1561">
        <f t="shared" si="0"/>
        <v>0</v>
      </c>
      <c r="G39" s="1588">
        <f t="shared" si="0"/>
        <v>0</v>
      </c>
      <c r="H39" s="1563">
        <f t="shared" si="0"/>
        <v>0</v>
      </c>
      <c r="I39" s="459"/>
      <c r="J39" s="472">
        <v>0</v>
      </c>
      <c r="K39" s="460"/>
      <c r="L39" s="482">
        <v>0</v>
      </c>
      <c r="M39" s="1564">
        <f t="shared" si="1"/>
        <v>0</v>
      </c>
    </row>
    <row r="40" spans="1:13" x14ac:dyDescent="0.35">
      <c r="A40" s="3196"/>
      <c r="B40" s="1582" t="str">
        <f>+'B) Reajuste Tarifas y Ocupación'!B36</f>
        <v>Matrimonial o Doble</v>
      </c>
      <c r="C40" s="1558">
        <f>+'B) Reajuste Tarifas y Ocupación'!K36</f>
        <v>48100</v>
      </c>
      <c r="D40" s="1559">
        <f>+'B) Reajuste Tarifas y Ocupación'!L36</f>
        <v>52900</v>
      </c>
      <c r="E40" s="1560">
        <f>+'B) Reajuste Tarifas y Ocupación'!M36</f>
        <v>60000</v>
      </c>
      <c r="F40" s="1561">
        <f t="shared" si="0"/>
        <v>0</v>
      </c>
      <c r="G40" s="1589">
        <f t="shared" si="0"/>
        <v>0</v>
      </c>
      <c r="H40" s="1563">
        <f t="shared" si="0"/>
        <v>0</v>
      </c>
      <c r="I40" s="460"/>
      <c r="J40" s="472">
        <v>0</v>
      </c>
      <c r="K40" s="488"/>
      <c r="L40" s="482">
        <v>0</v>
      </c>
      <c r="M40" s="1564">
        <f t="shared" si="1"/>
        <v>0</v>
      </c>
    </row>
    <row r="41" spans="1:13" x14ac:dyDescent="0.35">
      <c r="A41" s="3196"/>
      <c r="B41" s="1582" t="str">
        <f>+'B) Reajuste Tarifas y Ocupación'!B37</f>
        <v>Cuádruple</v>
      </c>
      <c r="C41" s="1558">
        <f>+'B) Reajuste Tarifas y Ocupación'!K37</f>
        <v>50400</v>
      </c>
      <c r="D41" s="1559">
        <f>+'B) Reajuste Tarifas y Ocupación'!L37</f>
        <v>55500</v>
      </c>
      <c r="E41" s="1560">
        <f>+'B) Reajuste Tarifas y Ocupación'!M37</f>
        <v>62900</v>
      </c>
      <c r="F41" s="1561">
        <f t="shared" si="0"/>
        <v>0</v>
      </c>
      <c r="G41" s="1590">
        <f t="shared" si="0"/>
        <v>0</v>
      </c>
      <c r="H41" s="1563">
        <f t="shared" si="0"/>
        <v>0</v>
      </c>
      <c r="I41" s="460"/>
      <c r="J41" s="472">
        <v>0</v>
      </c>
      <c r="K41" s="489"/>
      <c r="L41" s="492">
        <v>0</v>
      </c>
      <c r="M41" s="1564">
        <f t="shared" si="1"/>
        <v>0</v>
      </c>
    </row>
    <row r="42" spans="1:13" x14ac:dyDescent="0.35">
      <c r="A42" s="3196"/>
      <c r="B42" s="1565" t="str">
        <f>+'B) Reajuste Tarifas y Ocupación'!B38</f>
        <v>Uso por tránsito/ Early check-in/Late check-out</v>
      </c>
      <c r="C42" s="1566"/>
      <c r="D42" s="1567"/>
      <c r="E42" s="1568"/>
      <c r="F42" s="1569"/>
      <c r="G42" s="1591"/>
      <c r="H42" s="1571"/>
      <c r="I42" s="461"/>
      <c r="J42" s="473"/>
      <c r="K42" s="456"/>
      <c r="L42" s="483"/>
      <c r="M42" s="1572"/>
    </row>
    <row r="43" spans="1:13" x14ac:dyDescent="0.35">
      <c r="A43" s="3196"/>
      <c r="B43" s="1573" t="str">
        <f>+'B) Reajuste Tarifas y Ocupación'!B39</f>
        <v>Matrimonial o Doble</v>
      </c>
      <c r="C43" s="1558">
        <f>+'B) Reajuste Tarifas y Ocupación'!K39</f>
        <v>14500</v>
      </c>
      <c r="D43" s="1559">
        <f>+'B) Reajuste Tarifas y Ocupación'!L39</f>
        <v>15900</v>
      </c>
      <c r="E43" s="1560">
        <f>+'B) Reajuste Tarifas y Ocupación'!M39</f>
        <v>18000</v>
      </c>
      <c r="F43" s="1561">
        <f t="shared" si="0"/>
        <v>0</v>
      </c>
      <c r="G43" s="1592">
        <f t="shared" si="0"/>
        <v>0</v>
      </c>
      <c r="H43" s="1563">
        <f t="shared" si="0"/>
        <v>0</v>
      </c>
      <c r="I43" s="462"/>
      <c r="J43" s="472">
        <v>0</v>
      </c>
      <c r="K43" s="455"/>
      <c r="L43" s="482">
        <v>0</v>
      </c>
      <c r="M43" s="1564">
        <f t="shared" si="1"/>
        <v>0</v>
      </c>
    </row>
    <row r="44" spans="1:13" x14ac:dyDescent="0.35">
      <c r="A44" s="3196"/>
      <c r="B44" s="1573" t="str">
        <f>+'B) Reajuste Tarifas y Ocupación'!B40</f>
        <v>Cuádruple</v>
      </c>
      <c r="C44" s="1558">
        <f>+'B) Reajuste Tarifas y Ocupación'!K40</f>
        <v>15200</v>
      </c>
      <c r="D44" s="1559">
        <f>+'B) Reajuste Tarifas y Ocupación'!L40</f>
        <v>16700</v>
      </c>
      <c r="E44" s="1560">
        <f>+'B) Reajuste Tarifas y Ocupación'!M40</f>
        <v>18900</v>
      </c>
      <c r="F44" s="1561">
        <f t="shared" si="0"/>
        <v>0</v>
      </c>
      <c r="G44" s="1592">
        <f t="shared" si="0"/>
        <v>0</v>
      </c>
      <c r="H44" s="1563">
        <f t="shared" si="0"/>
        <v>0</v>
      </c>
      <c r="I44" s="462"/>
      <c r="J44" s="472">
        <v>0</v>
      </c>
      <c r="K44" s="455"/>
      <c r="L44" s="482">
        <v>0</v>
      </c>
      <c r="M44" s="1564">
        <f t="shared" si="1"/>
        <v>0</v>
      </c>
    </row>
    <row r="45" spans="1:13" x14ac:dyDescent="0.35">
      <c r="A45" s="3196"/>
      <c r="B45" s="1557" t="str">
        <f>+'B) Reajuste Tarifas y Ocupación'!B41</f>
        <v>Salón Comedor (Hasta 50p)</v>
      </c>
      <c r="C45" s="1558">
        <f>+'B) Reajuste Tarifas y Ocupación'!K41</f>
        <v>271400</v>
      </c>
      <c r="D45" s="1559">
        <f>+'B) Reajuste Tarifas y Ocupación'!L41</f>
        <v>327600</v>
      </c>
      <c r="E45" s="1560">
        <f>+'B) Reajuste Tarifas y Ocupación'!M41</f>
        <v>381700</v>
      </c>
      <c r="F45" s="1561">
        <f t="shared" si="0"/>
        <v>0</v>
      </c>
      <c r="G45" s="1592">
        <f t="shared" si="0"/>
        <v>0</v>
      </c>
      <c r="H45" s="1563">
        <f t="shared" si="0"/>
        <v>0</v>
      </c>
      <c r="I45" s="460"/>
      <c r="J45" s="475">
        <v>0</v>
      </c>
      <c r="K45" s="455"/>
      <c r="L45" s="476">
        <v>0</v>
      </c>
      <c r="M45" s="1564">
        <f t="shared" si="1"/>
        <v>0</v>
      </c>
    </row>
    <row r="46" spans="1:13" x14ac:dyDescent="0.35">
      <c r="A46" s="3196"/>
      <c r="B46" s="1557" t="str">
        <f>+'B) Reajuste Tarifas y Ocupación'!B42</f>
        <v>Salón Comedor (P/Adicional)</v>
      </c>
      <c r="C46" s="1558">
        <f>+'B) Reajuste Tarifas y Ocupación'!K42</f>
        <v>4900</v>
      </c>
      <c r="D46" s="1559">
        <f>+'B) Reajuste Tarifas y Ocupación'!L42</f>
        <v>5800</v>
      </c>
      <c r="E46" s="1560">
        <f>+'B) Reajuste Tarifas y Ocupación'!M42</f>
        <v>7200</v>
      </c>
      <c r="F46" s="1561">
        <f t="shared" si="0"/>
        <v>0</v>
      </c>
      <c r="G46" s="1592">
        <f t="shared" si="0"/>
        <v>0</v>
      </c>
      <c r="H46" s="1563">
        <f t="shared" si="0"/>
        <v>0</v>
      </c>
      <c r="I46" s="462"/>
      <c r="J46" s="476">
        <v>0</v>
      </c>
      <c r="K46" s="455"/>
      <c r="L46" s="476">
        <v>0</v>
      </c>
      <c r="M46" s="1564">
        <f t="shared" si="1"/>
        <v>0</v>
      </c>
    </row>
    <row r="47" spans="1:13" x14ac:dyDescent="0.35">
      <c r="A47" s="3196"/>
      <c r="B47" s="1557" t="str">
        <f>+'B) Reajuste Tarifas y Ocupación'!B43</f>
        <v>Sala Multiuso (Hasta 25p)</v>
      </c>
      <c r="C47" s="1558">
        <f>+'B) Reajuste Tarifas y Ocupación'!K43</f>
        <v>122400</v>
      </c>
      <c r="D47" s="1559">
        <f>+'B) Reajuste Tarifas y Ocupación'!L43</f>
        <v>147900</v>
      </c>
      <c r="E47" s="1560">
        <f>+'B) Reajuste Tarifas y Ocupación'!M43</f>
        <v>158800</v>
      </c>
      <c r="F47" s="1561">
        <f t="shared" si="0"/>
        <v>0</v>
      </c>
      <c r="G47" s="1592">
        <f t="shared" si="0"/>
        <v>0</v>
      </c>
      <c r="H47" s="1563">
        <f t="shared" si="0"/>
        <v>0</v>
      </c>
      <c r="I47" s="460"/>
      <c r="J47" s="476">
        <v>0</v>
      </c>
      <c r="K47" s="460"/>
      <c r="L47" s="476">
        <v>0</v>
      </c>
      <c r="M47" s="1564">
        <f t="shared" si="1"/>
        <v>0</v>
      </c>
    </row>
    <row r="48" spans="1:13" ht="15" thickBot="1" x14ac:dyDescent="0.4">
      <c r="A48" s="2949"/>
      <c r="B48" s="1593" t="str">
        <f>+'B) Reajuste Tarifas y Ocupación'!B44</f>
        <v>Sala Multiuso (P/Adicional))</v>
      </c>
      <c r="C48" s="1575">
        <f>+'B) Reajuste Tarifas y Ocupación'!K44</f>
        <v>3100</v>
      </c>
      <c r="D48" s="452">
        <f>+'B) Reajuste Tarifas y Ocupación'!L44</f>
        <v>4100</v>
      </c>
      <c r="E48" s="453">
        <f>+'B) Reajuste Tarifas y Ocupación'!M44</f>
        <v>10000</v>
      </c>
      <c r="F48" s="1576">
        <f t="shared" si="0"/>
        <v>0</v>
      </c>
      <c r="G48" s="1594">
        <f t="shared" si="0"/>
        <v>0</v>
      </c>
      <c r="H48" s="1578">
        <f t="shared" si="0"/>
        <v>0</v>
      </c>
      <c r="I48" s="463"/>
      <c r="J48" s="474">
        <v>0</v>
      </c>
      <c r="K48" s="457"/>
      <c r="L48" s="474">
        <v>0</v>
      </c>
      <c r="M48" s="1579">
        <f t="shared" si="1"/>
        <v>0</v>
      </c>
    </row>
    <row r="49" spans="1:13" x14ac:dyDescent="0.35">
      <c r="A49" s="3195" t="s">
        <v>67</v>
      </c>
      <c r="B49" s="1549" t="str">
        <f>+'B) Reajuste Tarifas y Ocupación'!B45</f>
        <v>Piscina adulto</v>
      </c>
      <c r="C49" s="1550">
        <f>+'B) Reajuste Tarifas y Ocupación'!K45</f>
        <v>8800</v>
      </c>
      <c r="D49" s="1551">
        <f>+'B) Reajuste Tarifas y Ocupación'!L45</f>
        <v>9800</v>
      </c>
      <c r="E49" s="1552">
        <f>+'B) Reajuste Tarifas y Ocupación'!M45</f>
        <v>11000</v>
      </c>
      <c r="F49" s="1553">
        <f t="shared" si="0"/>
        <v>0</v>
      </c>
      <c r="G49" s="1595">
        <f t="shared" si="0"/>
        <v>0</v>
      </c>
      <c r="H49" s="1555">
        <f t="shared" si="0"/>
        <v>0</v>
      </c>
      <c r="I49" s="451"/>
      <c r="J49" s="477">
        <v>0</v>
      </c>
      <c r="K49" s="451"/>
      <c r="L49" s="471">
        <v>0</v>
      </c>
      <c r="M49" s="1556">
        <f t="shared" si="1"/>
        <v>0</v>
      </c>
    </row>
    <row r="50" spans="1:13" ht="15" thickBot="1" x14ac:dyDescent="0.4">
      <c r="A50" s="2949"/>
      <c r="B50" s="1593" t="str">
        <f>+'B) Reajuste Tarifas y Ocupación'!B46</f>
        <v>Piscina niño</v>
      </c>
      <c r="C50" s="1575">
        <f>+'B) Reajuste Tarifas y Ocupación'!K46</f>
        <v>4600</v>
      </c>
      <c r="D50" s="452">
        <f>+'B) Reajuste Tarifas y Ocupación'!L46</f>
        <v>5100</v>
      </c>
      <c r="E50" s="453">
        <f>+'B) Reajuste Tarifas y Ocupación'!M46</f>
        <v>5700</v>
      </c>
      <c r="F50" s="1576">
        <f t="shared" si="0"/>
        <v>0</v>
      </c>
      <c r="G50" s="1594">
        <f t="shared" si="0"/>
        <v>0</v>
      </c>
      <c r="H50" s="1578">
        <f t="shared" si="0"/>
        <v>0</v>
      </c>
      <c r="I50" s="464"/>
      <c r="J50" s="474">
        <v>0</v>
      </c>
      <c r="K50" s="464"/>
      <c r="L50" s="474">
        <v>0</v>
      </c>
      <c r="M50" s="1580">
        <f t="shared" si="1"/>
        <v>0</v>
      </c>
    </row>
    <row r="51" spans="1:13" x14ac:dyDescent="0.35">
      <c r="A51" s="3195" t="s">
        <v>70</v>
      </c>
      <c r="B51" s="1549" t="str">
        <f>+'B) Reajuste Tarifas y Ocupación'!B47</f>
        <v>Piscina adulto</v>
      </c>
      <c r="C51" s="1550">
        <f>+'B) Reajuste Tarifas y Ocupación'!K47</f>
        <v>8800</v>
      </c>
      <c r="D51" s="1551">
        <f>+'B) Reajuste Tarifas y Ocupación'!L47</f>
        <v>9800</v>
      </c>
      <c r="E51" s="1552">
        <f>+'B) Reajuste Tarifas y Ocupación'!M47</f>
        <v>11000</v>
      </c>
      <c r="F51" s="1553">
        <f t="shared" si="0"/>
        <v>0</v>
      </c>
      <c r="G51" s="1595">
        <f t="shared" si="0"/>
        <v>0</v>
      </c>
      <c r="H51" s="1555">
        <f t="shared" si="0"/>
        <v>0</v>
      </c>
      <c r="I51" s="451"/>
      <c r="J51" s="477">
        <v>0</v>
      </c>
      <c r="K51" s="451"/>
      <c r="L51" s="471">
        <v>0</v>
      </c>
      <c r="M51" s="1581">
        <f t="shared" si="1"/>
        <v>0</v>
      </c>
    </row>
    <row r="52" spans="1:13" ht="15" thickBot="1" x14ac:dyDescent="0.4">
      <c r="A52" s="2949"/>
      <c r="B52" s="1593" t="str">
        <f>+'B) Reajuste Tarifas y Ocupación'!B48</f>
        <v>Piscina niño</v>
      </c>
      <c r="C52" s="446">
        <f>+'B) Reajuste Tarifas y Ocupación'!K48</f>
        <v>4600</v>
      </c>
      <c r="D52" s="226">
        <f>+'B) Reajuste Tarifas y Ocupación'!L48</f>
        <v>5100</v>
      </c>
      <c r="E52" s="228">
        <f>+'B) Reajuste Tarifas y Ocupación'!M48</f>
        <v>5700</v>
      </c>
      <c r="F52" s="1576">
        <f t="shared" si="0"/>
        <v>0</v>
      </c>
      <c r="G52" s="1594">
        <f t="shared" si="0"/>
        <v>0</v>
      </c>
      <c r="H52" s="1578">
        <f t="shared" si="0"/>
        <v>0</v>
      </c>
      <c r="I52" s="464"/>
      <c r="J52" s="474">
        <v>0</v>
      </c>
      <c r="K52" s="464"/>
      <c r="L52" s="474">
        <v>0</v>
      </c>
      <c r="M52" s="1579">
        <f t="shared" si="1"/>
        <v>0</v>
      </c>
    </row>
    <row r="53" spans="1:13" x14ac:dyDescent="0.35">
      <c r="A53" s="3195" t="s">
        <v>71</v>
      </c>
      <c r="B53" s="887" t="s">
        <v>72</v>
      </c>
      <c r="C53" s="1550">
        <f>+'B) Reajuste Tarifas y Ocupación'!K49</f>
        <v>24100</v>
      </c>
      <c r="D53" s="1551">
        <f>+'B) Reajuste Tarifas y Ocupación'!L49</f>
        <v>26500</v>
      </c>
      <c r="E53" s="1552">
        <f>+'B) Reajuste Tarifas y Ocupación'!M49</f>
        <v>30000</v>
      </c>
      <c r="F53" s="1553">
        <f t="shared" si="0"/>
        <v>0</v>
      </c>
      <c r="G53" s="1595">
        <f t="shared" si="0"/>
        <v>0</v>
      </c>
      <c r="H53" s="1555">
        <f t="shared" si="0"/>
        <v>0</v>
      </c>
      <c r="I53" s="465"/>
      <c r="J53" s="478">
        <v>0</v>
      </c>
      <c r="K53" s="465"/>
      <c r="L53" s="498">
        <v>0</v>
      </c>
      <c r="M53" s="1556">
        <f t="shared" si="1"/>
        <v>0</v>
      </c>
    </row>
    <row r="54" spans="1:13" x14ac:dyDescent="0.35">
      <c r="A54" s="3196"/>
      <c r="B54" s="905" t="s">
        <v>73</v>
      </c>
      <c r="C54" s="1558">
        <f>+'B) Reajuste Tarifas y Ocupación'!K50</f>
        <v>4000</v>
      </c>
      <c r="D54" s="1559">
        <f>+'B) Reajuste Tarifas y Ocupación'!L50</f>
        <v>4400</v>
      </c>
      <c r="E54" s="1560">
        <f>+'B) Reajuste Tarifas y Ocupación'!M50</f>
        <v>5100</v>
      </c>
      <c r="F54" s="1561">
        <f t="shared" si="0"/>
        <v>0</v>
      </c>
      <c r="G54" s="1596">
        <f t="shared" si="0"/>
        <v>0</v>
      </c>
      <c r="H54" s="1563">
        <f t="shared" si="0"/>
        <v>0</v>
      </c>
      <c r="I54" s="466"/>
      <c r="J54" s="479">
        <v>0</v>
      </c>
      <c r="K54" s="490"/>
      <c r="L54" s="499">
        <v>0</v>
      </c>
      <c r="M54" s="1564">
        <f t="shared" si="1"/>
        <v>0</v>
      </c>
    </row>
    <row r="55" spans="1:13" x14ac:dyDescent="0.35">
      <c r="A55" s="3196"/>
      <c r="B55" s="905" t="s">
        <v>74</v>
      </c>
      <c r="C55" s="1558">
        <f>+'B) Reajuste Tarifas y Ocupación'!K52</f>
        <v>438900</v>
      </c>
      <c r="D55" s="1559">
        <f>+'B) Reajuste Tarifas y Ocupación'!L52</f>
        <v>0</v>
      </c>
      <c r="E55" s="1560">
        <f>+'B) Reajuste Tarifas y Ocupación'!M52</f>
        <v>0</v>
      </c>
      <c r="F55" s="1561">
        <f t="shared" ref="F55:F61" si="2">IFERROR(C55/$M55,0)</f>
        <v>0</v>
      </c>
      <c r="G55" s="1596">
        <f t="shared" ref="G55:G61" si="3">IFERROR(D55/$M55,0)</f>
        <v>0</v>
      </c>
      <c r="H55" s="1563">
        <f t="shared" ref="H55:H61" si="4">IFERROR(E55/$M55,0)</f>
        <v>0</v>
      </c>
      <c r="I55" s="466"/>
      <c r="J55" s="479">
        <v>0</v>
      </c>
      <c r="K55" s="490"/>
      <c r="L55" s="499">
        <v>0</v>
      </c>
      <c r="M55" s="1564">
        <f t="shared" si="1"/>
        <v>0</v>
      </c>
    </row>
    <row r="56" spans="1:13" x14ac:dyDescent="0.35">
      <c r="A56" s="3196"/>
      <c r="B56" s="905" t="s">
        <v>335</v>
      </c>
      <c r="C56" s="1558" t="e">
        <f>+'B) Reajuste Tarifas y Ocupación'!#REF!</f>
        <v>#REF!</v>
      </c>
      <c r="D56" s="1559" t="e">
        <f>+'B) Reajuste Tarifas y Ocupación'!#REF!</f>
        <v>#REF!</v>
      </c>
      <c r="E56" s="1560" t="e">
        <f>+'B) Reajuste Tarifas y Ocupación'!#REF!</f>
        <v>#REF!</v>
      </c>
      <c r="F56" s="1561">
        <f t="shared" si="2"/>
        <v>0</v>
      </c>
      <c r="G56" s="1596">
        <f t="shared" si="3"/>
        <v>0</v>
      </c>
      <c r="H56" s="1563">
        <f t="shared" si="4"/>
        <v>0</v>
      </c>
      <c r="I56" s="466"/>
      <c r="J56" s="479">
        <v>0</v>
      </c>
      <c r="K56" s="490"/>
      <c r="L56" s="499">
        <v>0</v>
      </c>
      <c r="M56" s="1564">
        <f t="shared" si="1"/>
        <v>0</v>
      </c>
    </row>
    <row r="57" spans="1:13" x14ac:dyDescent="0.35">
      <c r="A57" s="3196"/>
      <c r="B57" s="905" t="s">
        <v>336</v>
      </c>
      <c r="C57" s="1558">
        <f>+'B) Reajuste Tarifas y Ocupación'!K57</f>
        <v>164600</v>
      </c>
      <c r="D57" s="1559">
        <f>+'B) Reajuste Tarifas y Ocupación'!L57</f>
        <v>181100</v>
      </c>
      <c r="E57" s="1560">
        <f>+'B) Reajuste Tarifas y Ocupación'!M57</f>
        <v>205300</v>
      </c>
      <c r="F57" s="1561">
        <f t="shared" si="2"/>
        <v>0</v>
      </c>
      <c r="G57" s="1596">
        <f t="shared" si="3"/>
        <v>0</v>
      </c>
      <c r="H57" s="1563">
        <f t="shared" si="4"/>
        <v>0</v>
      </c>
      <c r="I57" s="490"/>
      <c r="J57" s="497">
        <v>0</v>
      </c>
      <c r="K57" s="490"/>
      <c r="L57" s="499">
        <v>0</v>
      </c>
      <c r="M57" s="1564">
        <f t="shared" si="1"/>
        <v>0</v>
      </c>
    </row>
    <row r="58" spans="1:13" x14ac:dyDescent="0.35">
      <c r="A58" s="3196"/>
      <c r="B58" s="905" t="s">
        <v>337</v>
      </c>
      <c r="C58" s="1558">
        <f>+'B) Reajuste Tarifas y Ocupación'!K58</f>
        <v>219500</v>
      </c>
      <c r="D58" s="1559">
        <f>+'B) Reajuste Tarifas y Ocupación'!L58</f>
        <v>241400</v>
      </c>
      <c r="E58" s="1560">
        <f>+'B) Reajuste Tarifas y Ocupación'!M58</f>
        <v>273600</v>
      </c>
      <c r="F58" s="1561">
        <f t="shared" si="2"/>
        <v>0</v>
      </c>
      <c r="G58" s="1596">
        <f t="shared" si="3"/>
        <v>0</v>
      </c>
      <c r="H58" s="1563">
        <f t="shared" si="4"/>
        <v>0</v>
      </c>
      <c r="I58" s="490"/>
      <c r="J58" s="497">
        <v>0</v>
      </c>
      <c r="K58" s="490"/>
      <c r="L58" s="499">
        <v>0</v>
      </c>
      <c r="M58" s="1564">
        <f t="shared" si="1"/>
        <v>0</v>
      </c>
    </row>
    <row r="59" spans="1:13" x14ac:dyDescent="0.35">
      <c r="A59" s="3196"/>
      <c r="B59" s="905" t="s">
        <v>331</v>
      </c>
      <c r="C59" s="1558">
        <f>+'B) Reajuste Tarifas y Ocupación'!K60</f>
        <v>16900</v>
      </c>
      <c r="D59" s="1559">
        <f>+'B) Reajuste Tarifas y Ocupación'!L60</f>
        <v>18500</v>
      </c>
      <c r="E59" s="1560">
        <f>+'B) Reajuste Tarifas y Ocupación'!M60</f>
        <v>21100</v>
      </c>
      <c r="F59" s="1561">
        <f t="shared" si="2"/>
        <v>0</v>
      </c>
      <c r="G59" s="1596">
        <f t="shared" si="3"/>
        <v>0</v>
      </c>
      <c r="H59" s="1563">
        <f t="shared" si="4"/>
        <v>0</v>
      </c>
      <c r="I59" s="490"/>
      <c r="J59" s="497">
        <v>0</v>
      </c>
      <c r="K59" s="490"/>
      <c r="L59" s="499">
        <v>0</v>
      </c>
      <c r="M59" s="1564">
        <f t="shared" si="1"/>
        <v>0</v>
      </c>
    </row>
    <row r="60" spans="1:13" x14ac:dyDescent="0.35">
      <c r="A60" s="3196"/>
      <c r="B60" s="905" t="s">
        <v>332</v>
      </c>
      <c r="C60" s="1558">
        <f>+'B) Reajuste Tarifas y Ocupación'!K61</f>
        <v>22500</v>
      </c>
      <c r="D60" s="1559">
        <f>+'B) Reajuste Tarifas y Ocupación'!L61</f>
        <v>24700</v>
      </c>
      <c r="E60" s="1560">
        <f>+'B) Reajuste Tarifas y Ocupación'!M61</f>
        <v>28100</v>
      </c>
      <c r="F60" s="1561">
        <f t="shared" si="2"/>
        <v>0</v>
      </c>
      <c r="G60" s="1596">
        <f t="shared" si="3"/>
        <v>0</v>
      </c>
      <c r="H60" s="1563">
        <f t="shared" si="4"/>
        <v>0</v>
      </c>
      <c r="I60" s="466"/>
      <c r="J60" s="479">
        <v>0</v>
      </c>
      <c r="K60" s="490"/>
      <c r="L60" s="499">
        <v>0</v>
      </c>
      <c r="M60" s="1564">
        <f t="shared" si="1"/>
        <v>0</v>
      </c>
    </row>
    <row r="61" spans="1:13" ht="15" thickBot="1" x14ac:dyDescent="0.4">
      <c r="A61" s="3197"/>
      <c r="B61" s="905" t="s">
        <v>333</v>
      </c>
      <c r="C61" s="1575">
        <f>+'B) Reajuste Tarifas y Ocupación'!K62</f>
        <v>22500</v>
      </c>
      <c r="D61" s="452">
        <f>+'B) Reajuste Tarifas y Ocupación'!L62</f>
        <v>24700</v>
      </c>
      <c r="E61" s="453">
        <f>+'B) Reajuste Tarifas y Ocupación'!M62</f>
        <v>28100</v>
      </c>
      <c r="F61" s="1576">
        <f t="shared" si="2"/>
        <v>0</v>
      </c>
      <c r="G61" s="1594">
        <f t="shared" si="3"/>
        <v>0</v>
      </c>
      <c r="H61" s="1578">
        <f t="shared" si="4"/>
        <v>0</v>
      </c>
      <c r="I61" s="496"/>
      <c r="J61" s="494">
        <v>0</v>
      </c>
      <c r="K61" s="496"/>
      <c r="L61" s="500">
        <v>0</v>
      </c>
      <c r="M61" s="1564">
        <f>AVERAGE(J61,L61)</f>
        <v>0</v>
      </c>
    </row>
    <row r="62" spans="1:13" x14ac:dyDescent="0.35">
      <c r="A62" s="3195" t="s">
        <v>75</v>
      </c>
      <c r="B62" s="1549" t="str">
        <f>+'B) Reajuste Tarifas y Ocupación'!B63</f>
        <v>Piscina adulto</v>
      </c>
      <c r="C62" s="355">
        <f>+'B) Reajuste Tarifas y Ocupación'!K63</f>
        <v>8500</v>
      </c>
      <c r="D62" s="1597">
        <f>+'B) Reajuste Tarifas y Ocupación'!L63</f>
        <v>9400</v>
      </c>
      <c r="E62" s="1598">
        <f>+'B) Reajuste Tarifas y Ocupación'!M63</f>
        <v>10600</v>
      </c>
      <c r="F62" s="1553">
        <f t="shared" si="0"/>
        <v>0</v>
      </c>
      <c r="G62" s="1595">
        <f t="shared" si="0"/>
        <v>0</v>
      </c>
      <c r="H62" s="1555">
        <f t="shared" si="0"/>
        <v>0</v>
      </c>
      <c r="I62" s="465"/>
      <c r="J62" s="478">
        <v>0</v>
      </c>
      <c r="K62" s="465"/>
      <c r="L62" s="493">
        <v>0</v>
      </c>
      <c r="M62" s="1581">
        <f t="shared" si="1"/>
        <v>0</v>
      </c>
    </row>
    <row r="63" spans="1:13" ht="15" thickBot="1" x14ac:dyDescent="0.4">
      <c r="A63" s="2949"/>
      <c r="B63" s="1593" t="str">
        <f>+'B) Reajuste Tarifas y Ocupación'!B64</f>
        <v>Piscina niño</v>
      </c>
      <c r="C63" s="1575">
        <f>+'B) Reajuste Tarifas y Ocupación'!K64</f>
        <v>4300</v>
      </c>
      <c r="D63" s="452">
        <f>+'B) Reajuste Tarifas y Ocupación'!L64</f>
        <v>4900</v>
      </c>
      <c r="E63" s="453">
        <f>+'B) Reajuste Tarifas y Ocupación'!M64</f>
        <v>5500</v>
      </c>
      <c r="F63" s="1576">
        <f t="shared" si="0"/>
        <v>0</v>
      </c>
      <c r="G63" s="1599">
        <f t="shared" si="0"/>
        <v>0</v>
      </c>
      <c r="H63" s="1578">
        <f t="shared" si="0"/>
        <v>0</v>
      </c>
      <c r="I63" s="467"/>
      <c r="J63" s="480">
        <v>0</v>
      </c>
      <c r="K63" s="491"/>
      <c r="L63" s="494">
        <v>0</v>
      </c>
      <c r="M63" s="1579">
        <f t="shared" si="1"/>
        <v>0</v>
      </c>
    </row>
    <row r="64" spans="1:13" x14ac:dyDescent="0.35">
      <c r="A64" s="3198" t="s">
        <v>76</v>
      </c>
      <c r="B64" s="1582" t="str">
        <f>+'B) Reajuste Tarifas y Ocupación'!B65</f>
        <v>Camping ( 5p antiguo)</v>
      </c>
      <c r="C64" s="355">
        <f>+'B) Reajuste Tarifas y Ocupación'!K65</f>
        <v>40200</v>
      </c>
      <c r="D64" s="1597">
        <f>+'B) Reajuste Tarifas y Ocupación'!L65</f>
        <v>44100</v>
      </c>
      <c r="E64" s="1598">
        <f>+'B) Reajuste Tarifas y Ocupación'!M65</f>
        <v>50000</v>
      </c>
      <c r="F64" s="1600">
        <f t="shared" si="0"/>
        <v>0</v>
      </c>
      <c r="G64" s="1601">
        <f t="shared" si="0"/>
        <v>0</v>
      </c>
      <c r="H64" s="1602">
        <f t="shared" si="0"/>
        <v>0</v>
      </c>
      <c r="I64" s="468"/>
      <c r="J64" s="481">
        <v>0</v>
      </c>
      <c r="K64" s="458"/>
      <c r="L64" s="471">
        <v>0</v>
      </c>
      <c r="M64" s="1556">
        <f t="shared" si="1"/>
        <v>0</v>
      </c>
    </row>
    <row r="65" spans="1:13" x14ac:dyDescent="0.35">
      <c r="A65" s="3196"/>
      <c r="B65" s="1557" t="str">
        <f>+'B) Reajuste Tarifas y Ocupación'!B66</f>
        <v>Camping (5 p nuevo)</v>
      </c>
      <c r="C65" s="1558">
        <f>+'B) Reajuste Tarifas y Ocupación'!K66</f>
        <v>45400</v>
      </c>
      <c r="D65" s="1559">
        <f>+'B) Reajuste Tarifas y Ocupación'!L66</f>
        <v>50000</v>
      </c>
      <c r="E65" s="1560">
        <f>+'B) Reajuste Tarifas y Ocupación'!M66</f>
        <v>56600</v>
      </c>
      <c r="F65" s="1561">
        <f t="shared" si="0"/>
        <v>0</v>
      </c>
      <c r="G65" s="1603">
        <f t="shared" si="0"/>
        <v>0</v>
      </c>
      <c r="H65" s="1563">
        <f t="shared" si="0"/>
        <v>0</v>
      </c>
      <c r="I65" s="455"/>
      <c r="J65" s="482">
        <v>0</v>
      </c>
      <c r="K65" s="462"/>
      <c r="L65" s="472">
        <v>0</v>
      </c>
      <c r="M65" s="1564">
        <f t="shared" si="1"/>
        <v>0</v>
      </c>
    </row>
    <row r="66" spans="1:13" x14ac:dyDescent="0.35">
      <c r="A66" s="3196"/>
      <c r="B66" s="1557" t="str">
        <f>+'B) Reajuste Tarifas y Ocupación'!B67</f>
        <v>Camping (P/Adicional)</v>
      </c>
      <c r="C66" s="1558">
        <f>+'B) Reajuste Tarifas y Ocupación'!K67</f>
        <v>15300</v>
      </c>
      <c r="D66" s="1559">
        <f>+'B) Reajuste Tarifas y Ocupación'!L67</f>
        <v>16900</v>
      </c>
      <c r="E66" s="1560">
        <f>+'B) Reajuste Tarifas y Ocupación'!M67</f>
        <v>19100</v>
      </c>
      <c r="F66" s="1561">
        <f t="shared" si="0"/>
        <v>0</v>
      </c>
      <c r="G66" s="1603">
        <f t="shared" si="0"/>
        <v>0</v>
      </c>
      <c r="H66" s="1563">
        <f t="shared" si="0"/>
        <v>0</v>
      </c>
      <c r="I66" s="455"/>
      <c r="J66" s="482">
        <v>0</v>
      </c>
      <c r="K66" s="462"/>
      <c r="L66" s="472">
        <v>0</v>
      </c>
      <c r="M66" s="1564">
        <f t="shared" si="1"/>
        <v>0</v>
      </c>
    </row>
    <row r="67" spans="1:13" x14ac:dyDescent="0.35">
      <c r="A67" s="3196"/>
      <c r="B67" s="1557" t="e">
        <f>+'B) Reajuste Tarifas y Ocupación'!#REF!</f>
        <v>#REF!</v>
      </c>
      <c r="C67" s="1558" t="e">
        <f>+'B) Reajuste Tarifas y Ocupación'!#REF!</f>
        <v>#REF!</v>
      </c>
      <c r="D67" s="1559" t="e">
        <f>+'B) Reajuste Tarifas y Ocupación'!#REF!</f>
        <v>#REF!</v>
      </c>
      <c r="E67" s="1560" t="e">
        <f>+'B) Reajuste Tarifas y Ocupación'!#REF!</f>
        <v>#REF!</v>
      </c>
      <c r="F67" s="1561">
        <f t="shared" si="0"/>
        <v>0</v>
      </c>
      <c r="G67" s="1603">
        <f t="shared" si="0"/>
        <v>0</v>
      </c>
      <c r="H67" s="1563">
        <f t="shared" si="0"/>
        <v>0</v>
      </c>
      <c r="I67" s="455"/>
      <c r="J67" s="482">
        <v>0</v>
      </c>
      <c r="K67" s="462"/>
      <c r="L67" s="472">
        <v>0</v>
      </c>
      <c r="M67" s="1564">
        <f t="shared" si="1"/>
        <v>0</v>
      </c>
    </row>
    <row r="68" spans="1:13" x14ac:dyDescent="0.35">
      <c r="A68" s="3196"/>
      <c r="B68" s="1557" t="str">
        <f>+'B) Reajuste Tarifas y Ocupación'!B68</f>
        <v>Cabaña</v>
      </c>
      <c r="C68" s="1558">
        <f>+'B) Reajuste Tarifas y Ocupación'!K68</f>
        <v>84000</v>
      </c>
      <c r="D68" s="1559">
        <f>+'B) Reajuste Tarifas y Ocupación'!L68</f>
        <v>92300</v>
      </c>
      <c r="E68" s="1560">
        <f>+'B) Reajuste Tarifas y Ocupación'!M68</f>
        <v>104700</v>
      </c>
      <c r="F68" s="1561">
        <f t="shared" si="0"/>
        <v>0</v>
      </c>
      <c r="G68" s="1603">
        <f t="shared" si="0"/>
        <v>0</v>
      </c>
      <c r="H68" s="1563">
        <f t="shared" si="0"/>
        <v>0</v>
      </c>
      <c r="I68" s="455"/>
      <c r="J68" s="482">
        <v>0</v>
      </c>
      <c r="K68" s="462"/>
      <c r="L68" s="472">
        <v>0</v>
      </c>
      <c r="M68" s="1564">
        <f t="shared" si="1"/>
        <v>0</v>
      </c>
    </row>
    <row r="69" spans="1:13" x14ac:dyDescent="0.35">
      <c r="A69" s="3196"/>
      <c r="B69" s="1565" t="str">
        <f>+'B) Reajuste Tarifas y Ocupación'!B69</f>
        <v>Uso por tránsito/ Early check-in/Late check-out</v>
      </c>
      <c r="C69" s="1566"/>
      <c r="D69" s="1567"/>
      <c r="E69" s="1568"/>
      <c r="F69" s="1569"/>
      <c r="G69" s="1604"/>
      <c r="H69" s="1571"/>
      <c r="I69" s="456"/>
      <c r="J69" s="483"/>
      <c r="K69" s="461"/>
      <c r="L69" s="473"/>
      <c r="M69" s="1572"/>
    </row>
    <row r="70" spans="1:13" x14ac:dyDescent="0.35">
      <c r="A70" s="3196"/>
      <c r="B70" s="1573" t="e">
        <f>+'B) Reajuste Tarifas y Ocupación'!#REF!</f>
        <v>#REF!</v>
      </c>
      <c r="C70" s="1558" t="e">
        <f>+'B) Reajuste Tarifas y Ocupación'!#REF!</f>
        <v>#REF!</v>
      </c>
      <c r="D70" s="1559" t="e">
        <f>+'B) Reajuste Tarifas y Ocupación'!#REF!</f>
        <v>#REF!</v>
      </c>
      <c r="E70" s="1560" t="e">
        <f>+'B) Reajuste Tarifas y Ocupación'!#REF!</f>
        <v>#REF!</v>
      </c>
      <c r="F70" s="1561">
        <f t="shared" si="0"/>
        <v>0</v>
      </c>
      <c r="G70" s="1603">
        <f t="shared" si="0"/>
        <v>0</v>
      </c>
      <c r="H70" s="1563">
        <f t="shared" si="0"/>
        <v>0</v>
      </c>
      <c r="I70" s="455"/>
      <c r="J70" s="482">
        <v>0</v>
      </c>
      <c r="K70" s="462"/>
      <c r="L70" s="472">
        <v>0</v>
      </c>
      <c r="M70" s="1564">
        <f t="shared" si="1"/>
        <v>0</v>
      </c>
    </row>
    <row r="71" spans="1:13" ht="15" thickBot="1" x14ac:dyDescent="0.4">
      <c r="A71" s="3197"/>
      <c r="B71" s="1605" t="str">
        <f>+'B) Reajuste Tarifas y Ocupación'!B70</f>
        <v>Cabaña</v>
      </c>
      <c r="C71" s="446">
        <f>+'B) Reajuste Tarifas y Ocupación'!K70</f>
        <v>25200</v>
      </c>
      <c r="D71" s="226">
        <f>+'B) Reajuste Tarifas y Ocupación'!L70</f>
        <v>27700</v>
      </c>
      <c r="E71" s="228">
        <f>+'B) Reajuste Tarifas y Ocupación'!M70</f>
        <v>31500</v>
      </c>
      <c r="F71" s="1606">
        <f t="shared" si="0"/>
        <v>0</v>
      </c>
      <c r="G71" s="1607">
        <f t="shared" si="0"/>
        <v>0</v>
      </c>
      <c r="H71" s="1608">
        <f t="shared" si="0"/>
        <v>0</v>
      </c>
      <c r="I71" s="469"/>
      <c r="J71" s="484">
        <v>0</v>
      </c>
      <c r="K71" s="469"/>
      <c r="L71" s="484">
        <v>0</v>
      </c>
      <c r="M71" s="1580">
        <f t="shared" si="1"/>
        <v>0</v>
      </c>
    </row>
    <row r="72" spans="1:13" x14ac:dyDescent="0.35">
      <c r="A72" s="3195" t="s">
        <v>79</v>
      </c>
      <c r="B72" s="1549" t="str">
        <f>+'B) Reajuste Tarifas y Ocupación'!B71</f>
        <v>Piscina adulto</v>
      </c>
      <c r="C72" s="1550">
        <f>+'B) Reajuste Tarifas y Ocupación'!K71</f>
        <v>0</v>
      </c>
      <c r="D72" s="1551">
        <f>+'B) Reajuste Tarifas y Ocupación'!L71</f>
        <v>0</v>
      </c>
      <c r="E72" s="1552">
        <f>+'B) Reajuste Tarifas y Ocupación'!M71</f>
        <v>0</v>
      </c>
      <c r="F72" s="1553">
        <f t="shared" si="0"/>
        <v>0</v>
      </c>
      <c r="G72" s="1595">
        <f t="shared" si="0"/>
        <v>0</v>
      </c>
      <c r="H72" s="1555">
        <f t="shared" si="0"/>
        <v>0</v>
      </c>
      <c r="I72" s="454"/>
      <c r="J72" s="471">
        <v>0</v>
      </c>
      <c r="K72" s="454"/>
      <c r="L72" s="471">
        <v>0</v>
      </c>
      <c r="M72" s="1556">
        <f t="shared" si="1"/>
        <v>0</v>
      </c>
    </row>
    <row r="73" spans="1:13" ht="15" thickBot="1" x14ac:dyDescent="0.4">
      <c r="A73" s="2949"/>
      <c r="B73" s="1609" t="str">
        <f>+'B) Reajuste Tarifas y Ocupación'!B72</f>
        <v>Piscina niño</v>
      </c>
      <c r="C73" s="1575">
        <f>+'B) Reajuste Tarifas y Ocupación'!K72</f>
        <v>0</v>
      </c>
      <c r="D73" s="452">
        <f>+'B) Reajuste Tarifas y Ocupación'!L72</f>
        <v>0</v>
      </c>
      <c r="E73" s="453">
        <f>+'B) Reajuste Tarifas y Ocupación'!M72</f>
        <v>0</v>
      </c>
      <c r="F73" s="1576">
        <f t="shared" si="0"/>
        <v>0</v>
      </c>
      <c r="G73" s="1599">
        <f t="shared" si="0"/>
        <v>0</v>
      </c>
      <c r="H73" s="1578">
        <f t="shared" si="0"/>
        <v>0</v>
      </c>
      <c r="I73" s="740"/>
      <c r="J73" s="484">
        <v>0</v>
      </c>
      <c r="K73" s="740"/>
      <c r="L73" s="484">
        <v>0</v>
      </c>
      <c r="M73" s="1580">
        <f t="shared" si="1"/>
        <v>0</v>
      </c>
    </row>
    <row r="74" spans="1:13" x14ac:dyDescent="0.35">
      <c r="A74" s="3195" t="s">
        <v>80</v>
      </c>
      <c r="B74" s="1549" t="str">
        <f>+'B) Reajuste Tarifas y Ocupación'!B73</f>
        <v>Simple</v>
      </c>
      <c r="C74" s="1550">
        <f>+'B) Reajuste Tarifas y Ocupación'!K73</f>
        <v>41500</v>
      </c>
      <c r="D74" s="1551">
        <f>+'B) Reajuste Tarifas y Ocupación'!L73</f>
        <v>45700</v>
      </c>
      <c r="E74" s="1552">
        <f>+'B) Reajuste Tarifas y Ocupación'!M73</f>
        <v>51800</v>
      </c>
      <c r="F74" s="1553">
        <f t="shared" si="0"/>
        <v>1.3764510779436152</v>
      </c>
      <c r="G74" s="1595">
        <f t="shared" si="0"/>
        <v>1.5157545605306799</v>
      </c>
      <c r="H74" s="1555">
        <f t="shared" si="0"/>
        <v>1.7180762852404643</v>
      </c>
      <c r="I74" s="2521" t="s">
        <v>382</v>
      </c>
      <c r="J74" s="471">
        <v>37200</v>
      </c>
      <c r="K74" s="863" t="s">
        <v>1178</v>
      </c>
      <c r="L74" s="2522">
        <v>23100</v>
      </c>
      <c r="M74" s="1610">
        <f t="shared" si="1"/>
        <v>30150</v>
      </c>
    </row>
    <row r="75" spans="1:13" x14ac:dyDescent="0.35">
      <c r="A75" s="3196"/>
      <c r="B75" s="1582" t="str">
        <f>+'B) Reajuste Tarifas y Ocupación'!B74</f>
        <v>Matrimonial o Doble</v>
      </c>
      <c r="C75" s="1558">
        <f>+'B) Reajuste Tarifas y Ocupación'!K74</f>
        <v>53300</v>
      </c>
      <c r="D75" s="1559">
        <f>+'B) Reajuste Tarifas y Ocupación'!L74</f>
        <v>58700</v>
      </c>
      <c r="E75" s="1560">
        <f>+'B) Reajuste Tarifas y Ocupación'!M74</f>
        <v>66400</v>
      </c>
      <c r="F75" s="1561">
        <f t="shared" si="0"/>
        <v>1.3341677096370463</v>
      </c>
      <c r="G75" s="1596">
        <f t="shared" si="0"/>
        <v>1.4693366708385482</v>
      </c>
      <c r="H75" s="1563">
        <f t="shared" si="0"/>
        <v>1.6620775969962454</v>
      </c>
      <c r="I75" s="746" t="s">
        <v>1179</v>
      </c>
      <c r="J75" s="859">
        <v>51000</v>
      </c>
      <c r="K75" s="737"/>
      <c r="L75" s="481">
        <v>28900</v>
      </c>
      <c r="M75" s="1611">
        <f t="shared" si="1"/>
        <v>39950</v>
      </c>
    </row>
    <row r="76" spans="1:13" x14ac:dyDescent="0.35">
      <c r="A76" s="3196"/>
      <c r="B76" s="1565" t="str">
        <f>+'B) Reajuste Tarifas y Ocupación'!B77</f>
        <v>Uso por tránsito/ Early check-in/Late check-out</v>
      </c>
      <c r="C76" s="1566"/>
      <c r="D76" s="1567"/>
      <c r="E76" s="1568"/>
      <c r="F76" s="1569"/>
      <c r="G76" s="1612"/>
      <c r="H76" s="1571"/>
      <c r="I76" s="754"/>
      <c r="J76" s="751"/>
      <c r="K76" s="750"/>
      <c r="L76" s="755"/>
      <c r="M76" s="1613"/>
    </row>
    <row r="77" spans="1:13" x14ac:dyDescent="0.35">
      <c r="A77" s="3196"/>
      <c r="B77" s="1573" t="str">
        <f>+'B) Reajuste Tarifas y Ocupación'!B78</f>
        <v>Simple</v>
      </c>
      <c r="C77" s="1558">
        <f>+'B) Reajuste Tarifas y Ocupación'!K78</f>
        <v>12500</v>
      </c>
      <c r="D77" s="1559">
        <f>+'B) Reajuste Tarifas y Ocupación'!L78</f>
        <v>13800</v>
      </c>
      <c r="E77" s="1560">
        <f>+'B) Reajuste Tarifas y Ocupación'!M78</f>
        <v>15600</v>
      </c>
      <c r="F77" s="1561">
        <f t="shared" si="0"/>
        <v>0</v>
      </c>
      <c r="G77" s="1596">
        <f t="shared" si="0"/>
        <v>0</v>
      </c>
      <c r="H77" s="1563">
        <f t="shared" si="0"/>
        <v>0</v>
      </c>
      <c r="I77" s="752"/>
      <c r="J77" s="749">
        <v>0</v>
      </c>
      <c r="K77" s="748"/>
      <c r="L77" s="753">
        <v>0</v>
      </c>
      <c r="M77" s="1611">
        <f t="shared" si="1"/>
        <v>0</v>
      </c>
    </row>
    <row r="78" spans="1:13" ht="15" thickBot="1" x14ac:dyDescent="0.4">
      <c r="A78" s="2949"/>
      <c r="B78" s="1574" t="str">
        <f>+'B) Reajuste Tarifas y Ocupación'!B79</f>
        <v>Matrimonial o Doble</v>
      </c>
      <c r="C78" s="1575">
        <f>+'B) Reajuste Tarifas y Ocupación'!K79</f>
        <v>16000</v>
      </c>
      <c r="D78" s="452">
        <f>+'B) Reajuste Tarifas y Ocupación'!L79</f>
        <v>17700</v>
      </c>
      <c r="E78" s="453">
        <f>+'B) Reajuste Tarifas y Ocupación'!M79</f>
        <v>20000</v>
      </c>
      <c r="F78" s="1576">
        <f t="shared" si="0"/>
        <v>0</v>
      </c>
      <c r="G78" s="1599">
        <f t="shared" si="0"/>
        <v>0</v>
      </c>
      <c r="H78" s="1578">
        <f t="shared" si="0"/>
        <v>0</v>
      </c>
      <c r="I78" s="633"/>
      <c r="J78" s="756">
        <v>0</v>
      </c>
      <c r="K78" s="628"/>
      <c r="L78" s="757">
        <v>0</v>
      </c>
      <c r="M78" s="1614">
        <f t="shared" si="1"/>
        <v>0</v>
      </c>
    </row>
    <row r="79" spans="1:13" x14ac:dyDescent="0.35">
      <c r="A79" s="3198" t="s">
        <v>81</v>
      </c>
      <c r="B79" s="1582" t="str">
        <f>+'B) Reajuste Tarifas y Ocupación'!B80</f>
        <v>Cabaña Chica</v>
      </c>
      <c r="C79" s="355">
        <f>+'B) Reajuste Tarifas y Ocupación'!K80</f>
        <v>94400</v>
      </c>
      <c r="D79" s="1597">
        <f>+'B) Reajuste Tarifas y Ocupación'!L80</f>
        <v>103900</v>
      </c>
      <c r="E79" s="1598">
        <f>+'B) Reajuste Tarifas y Ocupación'!M80</f>
        <v>117700</v>
      </c>
      <c r="F79" s="1600">
        <f>IFERROR(C79/$M79,0)</f>
        <v>0</v>
      </c>
      <c r="G79" s="1601">
        <f t="shared" si="0"/>
        <v>0</v>
      </c>
      <c r="H79" s="1602">
        <f t="shared" si="0"/>
        <v>0</v>
      </c>
      <c r="I79" s="860" t="s">
        <v>383</v>
      </c>
      <c r="J79" s="861">
        <v>0</v>
      </c>
      <c r="K79" s="860" t="s">
        <v>384</v>
      </c>
      <c r="L79" s="861">
        <v>0</v>
      </c>
      <c r="M79" s="1556">
        <f t="shared" si="1"/>
        <v>0</v>
      </c>
    </row>
    <row r="80" spans="1:13" x14ac:dyDescent="0.35">
      <c r="A80" s="3196"/>
      <c r="B80" s="1582" t="str">
        <f>+'B) Reajuste Tarifas y Ocupación'!B81</f>
        <v>Cabaña Grande</v>
      </c>
      <c r="C80" s="1558">
        <f>+'B) Reajuste Tarifas y Ocupación'!K81</f>
        <v>104000</v>
      </c>
      <c r="D80" s="1559">
        <f>+'B) Reajuste Tarifas y Ocupación'!L81</f>
        <v>114400</v>
      </c>
      <c r="E80" s="1560">
        <f>+'B) Reajuste Tarifas y Ocupación'!M81</f>
        <v>129600</v>
      </c>
      <c r="F80" s="1561">
        <f t="shared" si="0"/>
        <v>0</v>
      </c>
      <c r="G80" s="1603">
        <f t="shared" si="0"/>
        <v>0</v>
      </c>
      <c r="H80" s="1563">
        <f t="shared" si="0"/>
        <v>0</v>
      </c>
      <c r="I80" s="860" t="s">
        <v>383</v>
      </c>
      <c r="J80" s="862">
        <v>0</v>
      </c>
      <c r="K80" s="860" t="s">
        <v>384</v>
      </c>
      <c r="L80" s="862">
        <v>0</v>
      </c>
      <c r="M80" s="1564">
        <f t="shared" si="1"/>
        <v>0</v>
      </c>
    </row>
    <row r="81" spans="1:13" x14ac:dyDescent="0.35">
      <c r="A81" s="3196"/>
      <c r="B81" s="1582" t="str">
        <f>+'B) Reajuste Tarifas y Ocupación'!B82</f>
        <v>Cabaña Superior</v>
      </c>
      <c r="C81" s="1558">
        <f>+'B) Reajuste Tarifas y Ocupación'!K82</f>
        <v>107300</v>
      </c>
      <c r="D81" s="1559">
        <f>+'B) Reajuste Tarifas y Ocupación'!L82</f>
        <v>0</v>
      </c>
      <c r="E81" s="1560">
        <f>+'B) Reajuste Tarifas y Ocupación'!M82</f>
        <v>0</v>
      </c>
      <c r="F81" s="1561">
        <f t="shared" si="0"/>
        <v>0</v>
      </c>
      <c r="G81" s="1603">
        <f t="shared" si="0"/>
        <v>0</v>
      </c>
      <c r="H81" s="1563">
        <f t="shared" si="0"/>
        <v>0</v>
      </c>
      <c r="I81" s="738"/>
      <c r="J81" s="743">
        <v>0</v>
      </c>
      <c r="K81" s="746"/>
      <c r="L81" s="735">
        <v>0</v>
      </c>
      <c r="M81" s="1564">
        <f t="shared" si="1"/>
        <v>0</v>
      </c>
    </row>
    <row r="82" spans="1:13" x14ac:dyDescent="0.35">
      <c r="A82" s="3196"/>
      <c r="B82" s="1565" t="str">
        <f>+'B) Reajuste Tarifas y Ocupación'!B83</f>
        <v>Uso por tránsito/ Early check-in/Late check-out</v>
      </c>
      <c r="C82" s="1566"/>
      <c r="D82" s="1567"/>
      <c r="E82" s="1568"/>
      <c r="F82" s="1569"/>
      <c r="G82" s="1604"/>
      <c r="H82" s="1571"/>
      <c r="I82" s="739"/>
      <c r="J82" s="744"/>
      <c r="K82" s="747"/>
      <c r="L82" s="736"/>
      <c r="M82" s="1572"/>
    </row>
    <row r="83" spans="1:13" x14ac:dyDescent="0.35">
      <c r="A83" s="3196"/>
      <c r="B83" s="1573" t="str">
        <f>+'B) Reajuste Tarifas y Ocupación'!B84</f>
        <v>Cabaña Chica</v>
      </c>
      <c r="C83" s="1558">
        <f>+'B) Reajuste Tarifas y Ocupación'!K84</f>
        <v>28400</v>
      </c>
      <c r="D83" s="1559">
        <f>+'B) Reajuste Tarifas y Ocupación'!L84</f>
        <v>31200</v>
      </c>
      <c r="E83" s="1560">
        <f>+'B) Reajuste Tarifas y Ocupación'!M84</f>
        <v>35400</v>
      </c>
      <c r="F83" s="1561">
        <f>IFERROR(C83/$M83,0)</f>
        <v>0</v>
      </c>
      <c r="G83" s="1603">
        <f t="shared" si="0"/>
        <v>0</v>
      </c>
      <c r="H83" s="1563">
        <f t="shared" si="0"/>
        <v>0</v>
      </c>
      <c r="I83" s="738"/>
      <c r="J83" s="743">
        <v>0</v>
      </c>
      <c r="K83" s="746"/>
      <c r="L83" s="735">
        <v>0</v>
      </c>
      <c r="M83" s="1564">
        <f t="shared" si="1"/>
        <v>0</v>
      </c>
    </row>
    <row r="84" spans="1:13" x14ac:dyDescent="0.35">
      <c r="A84" s="3196"/>
      <c r="B84" s="1573" t="str">
        <f>+'B) Reajuste Tarifas y Ocupación'!B85</f>
        <v>Cabaña Grande</v>
      </c>
      <c r="C84" s="1558">
        <f>+'B) Reajuste Tarifas y Ocupación'!K85</f>
        <v>31200</v>
      </c>
      <c r="D84" s="1559">
        <f>+'B) Reajuste Tarifas y Ocupación'!L85</f>
        <v>34400</v>
      </c>
      <c r="E84" s="1560">
        <f>+'B) Reajuste Tarifas y Ocupación'!M85</f>
        <v>38900</v>
      </c>
      <c r="F84" s="1561">
        <f>IFERROR(C84/$M84,0)</f>
        <v>0</v>
      </c>
      <c r="G84" s="1603">
        <f t="shared" si="0"/>
        <v>0</v>
      </c>
      <c r="H84" s="1563">
        <f t="shared" si="0"/>
        <v>0</v>
      </c>
      <c r="I84" s="738"/>
      <c r="J84" s="743">
        <v>0</v>
      </c>
      <c r="K84" s="746"/>
      <c r="L84" s="735">
        <v>0</v>
      </c>
      <c r="M84" s="1564">
        <f t="shared" si="1"/>
        <v>0</v>
      </c>
    </row>
    <row r="85" spans="1:13" x14ac:dyDescent="0.35">
      <c r="A85" s="3196"/>
      <c r="B85" s="1573" t="str">
        <f>+'B) Reajuste Tarifas y Ocupación'!B86</f>
        <v>Cabaña Superior</v>
      </c>
      <c r="C85" s="1558">
        <f>+'B) Reajuste Tarifas y Ocupación'!K86</f>
        <v>32200</v>
      </c>
      <c r="D85" s="1559">
        <f>+'B) Reajuste Tarifas y Ocupación'!L86</f>
        <v>0</v>
      </c>
      <c r="E85" s="1560">
        <f>+'B) Reajuste Tarifas y Ocupación'!M86</f>
        <v>0</v>
      </c>
      <c r="F85" s="1561">
        <f>IFERROR(C85/$M85,0)</f>
        <v>0</v>
      </c>
      <c r="G85" s="1603">
        <f t="shared" ref="F85:H96" si="5">IFERROR(D85/$M85,0)</f>
        <v>0</v>
      </c>
      <c r="H85" s="1563">
        <f t="shared" si="5"/>
        <v>0</v>
      </c>
      <c r="I85" s="738"/>
      <c r="J85" s="743">
        <v>0</v>
      </c>
      <c r="K85" s="746"/>
      <c r="L85" s="735">
        <v>0</v>
      </c>
      <c r="M85" s="1564">
        <f t="shared" ref="M85:M96" si="6">AVERAGE(J85,L85)</f>
        <v>0</v>
      </c>
    </row>
    <row r="86" spans="1:13" ht="15" thickBot="1" x14ac:dyDescent="0.4">
      <c r="A86" s="3197"/>
      <c r="B86" s="1615" t="str">
        <f>+'B) Reajuste Tarifas y Ocupación'!B87</f>
        <v>Persona adicional</v>
      </c>
      <c r="C86" s="446">
        <f>+'B) Reajuste Tarifas y Ocupación'!K87</f>
        <v>11200</v>
      </c>
      <c r="D86" s="226">
        <f>+'B) Reajuste Tarifas y Ocupación'!L87</f>
        <v>12300</v>
      </c>
      <c r="E86" s="228">
        <f>+'B) Reajuste Tarifas y Ocupación'!M87</f>
        <v>13900</v>
      </c>
      <c r="F86" s="1606">
        <f t="shared" si="5"/>
        <v>0</v>
      </c>
      <c r="G86" s="1607">
        <f t="shared" si="5"/>
        <v>0</v>
      </c>
      <c r="H86" s="1608">
        <f t="shared" si="5"/>
        <v>0</v>
      </c>
      <c r="I86" s="740"/>
      <c r="J86" s="745">
        <v>0</v>
      </c>
      <c r="K86" s="457"/>
      <c r="L86" s="484">
        <v>0</v>
      </c>
      <c r="M86" s="1579">
        <f>AVERAGE(J86,L86)</f>
        <v>0</v>
      </c>
    </row>
    <row r="87" spans="1:13" x14ac:dyDescent="0.35">
      <c r="A87" s="3195" t="s">
        <v>83</v>
      </c>
      <c r="B87" s="1616" t="str">
        <f>+'B) Reajuste Tarifas y Ocupación'!B88</f>
        <v>Simple Recreo</v>
      </c>
      <c r="C87" s="1550">
        <f>+'B) Reajuste Tarifas y Ocupación'!K88</f>
        <v>356100</v>
      </c>
      <c r="D87" s="1551">
        <f>+'B) Reajuste Tarifas y Ocupación'!L88</f>
        <v>391600</v>
      </c>
      <c r="E87" s="1552">
        <f>+'B) Reajuste Tarifas y Ocupación'!M88</f>
        <v>443900</v>
      </c>
      <c r="F87" s="1553">
        <f>IFERROR(C87/$M87,0)</f>
        <v>0</v>
      </c>
      <c r="G87" s="1595">
        <f t="shared" si="5"/>
        <v>0</v>
      </c>
      <c r="H87" s="1555">
        <f t="shared" si="5"/>
        <v>0</v>
      </c>
      <c r="I87" s="454" t="s">
        <v>381</v>
      </c>
      <c r="J87" s="471">
        <v>0</v>
      </c>
      <c r="K87" s="741"/>
      <c r="L87" s="471">
        <v>0</v>
      </c>
      <c r="M87" s="1556">
        <f t="shared" si="6"/>
        <v>0</v>
      </c>
    </row>
    <row r="88" spans="1:13" ht="15" thickBot="1" x14ac:dyDescent="0.4">
      <c r="A88" s="2949"/>
      <c r="B88" s="1593" t="str">
        <f>+'B) Reajuste Tarifas y Ocupación'!B89</f>
        <v>Doble Recreo</v>
      </c>
      <c r="C88" s="1575">
        <f>+'B) Reajuste Tarifas y Ocupación'!K89</f>
        <v>273900</v>
      </c>
      <c r="D88" s="452">
        <f>+'B) Reajuste Tarifas y Ocupación'!L89</f>
        <v>301300</v>
      </c>
      <c r="E88" s="453">
        <f>+'B) Reajuste Tarifas y Ocupación'!M89</f>
        <v>341600</v>
      </c>
      <c r="F88" s="1576">
        <f t="shared" si="5"/>
        <v>0</v>
      </c>
      <c r="G88" s="1599">
        <f t="shared" si="5"/>
        <v>0</v>
      </c>
      <c r="H88" s="1578">
        <f t="shared" si="5"/>
        <v>0</v>
      </c>
      <c r="I88" s="457" t="s">
        <v>381</v>
      </c>
      <c r="J88" s="858">
        <v>0</v>
      </c>
      <c r="K88" s="742"/>
      <c r="L88" s="474">
        <v>0</v>
      </c>
      <c r="M88" s="1580">
        <f t="shared" si="6"/>
        <v>0</v>
      </c>
    </row>
    <row r="89" spans="1:13" x14ac:dyDescent="0.35">
      <c r="A89" s="3195" t="s">
        <v>86</v>
      </c>
      <c r="B89" s="1616" t="str">
        <f>+'B) Reajuste Tarifas y Ocupación'!B90</f>
        <v>Simple Las Salinas</v>
      </c>
      <c r="C89" s="1550">
        <f>+'B) Reajuste Tarifas y Ocupación'!K90</f>
        <v>356100</v>
      </c>
      <c r="D89" s="1551">
        <f>+'B) Reajuste Tarifas y Ocupación'!L90</f>
        <v>391600</v>
      </c>
      <c r="E89" s="1552">
        <f>+'B) Reajuste Tarifas y Ocupación'!M90</f>
        <v>443900</v>
      </c>
      <c r="F89" s="1553">
        <f>IFERROR(C89/$M89,0)</f>
        <v>0</v>
      </c>
      <c r="G89" s="1595">
        <f t="shared" si="5"/>
        <v>0</v>
      </c>
      <c r="H89" s="1555">
        <f t="shared" si="5"/>
        <v>0</v>
      </c>
      <c r="I89" s="454"/>
      <c r="J89" s="471">
        <v>0</v>
      </c>
      <c r="K89" s="454"/>
      <c r="L89" s="481">
        <v>0</v>
      </c>
      <c r="M89" s="1556">
        <f t="shared" si="6"/>
        <v>0</v>
      </c>
    </row>
    <row r="90" spans="1:13" x14ac:dyDescent="0.35">
      <c r="A90" s="3196"/>
      <c r="B90" s="1615" t="str">
        <f>+'B) Reajuste Tarifas y Ocupación'!B91</f>
        <v>Doble Las Salinas</v>
      </c>
      <c r="C90" s="1558">
        <f>+'B) Reajuste Tarifas y Ocupación'!K91</f>
        <v>273900</v>
      </c>
      <c r="D90" s="1559">
        <f>+'B) Reajuste Tarifas y Ocupación'!L91</f>
        <v>301300</v>
      </c>
      <c r="E90" s="1560">
        <f>+'B) Reajuste Tarifas y Ocupación'!M91</f>
        <v>341600</v>
      </c>
      <c r="F90" s="1561">
        <f t="shared" si="5"/>
        <v>0</v>
      </c>
      <c r="G90" s="1596">
        <f t="shared" si="5"/>
        <v>0</v>
      </c>
      <c r="H90" s="1563">
        <f t="shared" si="5"/>
        <v>0</v>
      </c>
      <c r="I90" s="468"/>
      <c r="J90" s="482">
        <v>0</v>
      </c>
      <c r="K90" s="458"/>
      <c r="L90" s="472">
        <v>0</v>
      </c>
      <c r="M90" s="1564">
        <f t="shared" si="6"/>
        <v>0</v>
      </c>
    </row>
    <row r="91" spans="1:13" x14ac:dyDescent="0.35">
      <c r="A91" s="3196"/>
      <c r="B91" s="1615" t="str">
        <f>+'B) Reajuste Tarifas y Ocupación'!B92</f>
        <v>Anexo Cabañas Punta Osas</v>
      </c>
      <c r="C91" s="1558">
        <f>+'B) Reajuste Tarifas y Ocupación'!K92</f>
        <v>101700</v>
      </c>
      <c r="D91" s="1559">
        <f>+'B) Reajuste Tarifas y Ocupación'!L92</f>
        <v>111900</v>
      </c>
      <c r="E91" s="1560">
        <f>+'B) Reajuste Tarifas y Ocupación'!M92</f>
        <v>126800</v>
      </c>
      <c r="F91" s="1561">
        <f>IFERROR(C91/$M91,0)</f>
        <v>0</v>
      </c>
      <c r="G91" s="1596">
        <f t="shared" si="5"/>
        <v>0</v>
      </c>
      <c r="H91" s="1563">
        <f t="shared" si="5"/>
        <v>0</v>
      </c>
      <c r="I91" s="455"/>
      <c r="J91" s="482">
        <v>0</v>
      </c>
      <c r="K91" s="462"/>
      <c r="L91" s="472">
        <v>0</v>
      </c>
      <c r="M91" s="1564">
        <f t="shared" si="6"/>
        <v>0</v>
      </c>
    </row>
    <row r="92" spans="1:13" x14ac:dyDescent="0.35">
      <c r="A92" s="3196"/>
      <c r="B92" s="1565" t="str">
        <f>+'B) Reajuste Tarifas y Ocupación'!B93</f>
        <v>Uso por tránsito/ Early check-in/Late check-out</v>
      </c>
      <c r="C92" s="1566"/>
      <c r="D92" s="1567"/>
      <c r="E92" s="1568"/>
      <c r="F92" s="1569"/>
      <c r="G92" s="1612"/>
      <c r="H92" s="1571"/>
      <c r="I92" s="456"/>
      <c r="J92" s="483"/>
      <c r="K92" s="461"/>
      <c r="L92" s="473"/>
      <c r="M92" s="1572"/>
    </row>
    <row r="93" spans="1:13" ht="15" thickBot="1" x14ac:dyDescent="0.4">
      <c r="A93" s="2949"/>
      <c r="B93" s="1574" t="str">
        <f>+'B) Reajuste Tarifas y Ocupación'!B94</f>
        <v>Anexo Cabañas Punta Osas</v>
      </c>
      <c r="C93" s="1575">
        <f>+'B) Reajuste Tarifas y Ocupación'!K94</f>
        <v>30600</v>
      </c>
      <c r="D93" s="452">
        <f>+'B) Reajuste Tarifas y Ocupación'!L94</f>
        <v>33600</v>
      </c>
      <c r="E93" s="453">
        <f>+'B) Reajuste Tarifas y Ocupación'!M94</f>
        <v>38100</v>
      </c>
      <c r="F93" s="1576">
        <f>IFERROR(C93/$M93,0)</f>
        <v>0</v>
      </c>
      <c r="G93" s="1599">
        <f t="shared" si="5"/>
        <v>0</v>
      </c>
      <c r="H93" s="1578">
        <f t="shared" si="5"/>
        <v>0</v>
      </c>
      <c r="I93" s="457"/>
      <c r="J93" s="474">
        <v>0</v>
      </c>
      <c r="K93" s="463"/>
      <c r="L93" s="474">
        <v>0</v>
      </c>
      <c r="M93" s="1580">
        <f t="shared" si="6"/>
        <v>0</v>
      </c>
    </row>
    <row r="94" spans="1:13" ht="15" thickBot="1" x14ac:dyDescent="0.4">
      <c r="A94" s="1617" t="s">
        <v>90</v>
      </c>
      <c r="B94" s="1618" t="e">
        <f>+'B) Reajuste Tarifas y Ocupación'!#REF!</f>
        <v>#REF!</v>
      </c>
      <c r="C94" s="1619" t="e">
        <f>+'B) Reajuste Tarifas y Ocupación'!#REF!</f>
        <v>#REF!</v>
      </c>
      <c r="D94" s="1620" t="e">
        <f>+'B) Reajuste Tarifas y Ocupación'!#REF!</f>
        <v>#REF!</v>
      </c>
      <c r="E94" s="1621" t="e">
        <f>+'B) Reajuste Tarifas y Ocupación'!#REF!</f>
        <v>#REF!</v>
      </c>
      <c r="F94" s="1622">
        <f t="shared" si="5"/>
        <v>0</v>
      </c>
      <c r="G94" s="1623">
        <f t="shared" si="5"/>
        <v>0</v>
      </c>
      <c r="H94" s="1624">
        <f t="shared" si="5"/>
        <v>0</v>
      </c>
      <c r="I94" s="470"/>
      <c r="J94" s="485">
        <v>0</v>
      </c>
      <c r="K94" s="470"/>
      <c r="L94" s="485">
        <v>0</v>
      </c>
      <c r="M94" s="1625">
        <f t="shared" si="6"/>
        <v>0</v>
      </c>
    </row>
    <row r="95" spans="1:13" x14ac:dyDescent="0.35">
      <c r="A95" s="3195" t="s">
        <v>92</v>
      </c>
      <c r="B95" s="1549" t="e">
        <f>+'B) Reajuste Tarifas y Ocupación'!#REF!</f>
        <v>#REF!</v>
      </c>
      <c r="C95" s="1550" t="e">
        <f>+'B) Reajuste Tarifas y Ocupación'!#REF!</f>
        <v>#REF!</v>
      </c>
      <c r="D95" s="1551" t="e">
        <f>+'B) Reajuste Tarifas y Ocupación'!#REF!</f>
        <v>#REF!</v>
      </c>
      <c r="E95" s="1552" t="e">
        <f>+'B) Reajuste Tarifas y Ocupación'!#REF!</f>
        <v>#REF!</v>
      </c>
      <c r="F95" s="1553">
        <f>IFERROR(C95/$M95,0)</f>
        <v>0</v>
      </c>
      <c r="G95" s="1595">
        <f t="shared" si="5"/>
        <v>0</v>
      </c>
      <c r="H95" s="1555">
        <f t="shared" si="5"/>
        <v>0</v>
      </c>
      <c r="I95" s="454"/>
      <c r="J95" s="486">
        <v>0</v>
      </c>
      <c r="K95" s="454"/>
      <c r="L95" s="486">
        <v>0</v>
      </c>
      <c r="M95" s="1556">
        <f t="shared" si="6"/>
        <v>0</v>
      </c>
    </row>
    <row r="96" spans="1:13" ht="15" thickBot="1" x14ac:dyDescent="0.4">
      <c r="A96" s="2949"/>
      <c r="B96" s="1593" t="e">
        <f>+'B) Reajuste Tarifas y Ocupación'!#REF!</f>
        <v>#REF!</v>
      </c>
      <c r="C96" s="1575" t="e">
        <f>+'B) Reajuste Tarifas y Ocupación'!#REF!</f>
        <v>#REF!</v>
      </c>
      <c r="D96" s="452" t="e">
        <f>+'B) Reajuste Tarifas y Ocupación'!#REF!</f>
        <v>#REF!</v>
      </c>
      <c r="E96" s="453" t="e">
        <f>+'B) Reajuste Tarifas y Ocupación'!#REF!</f>
        <v>#REF!</v>
      </c>
      <c r="F96" s="1576">
        <f t="shared" si="5"/>
        <v>0</v>
      </c>
      <c r="G96" s="1599">
        <f t="shared" si="5"/>
        <v>0</v>
      </c>
      <c r="H96" s="1578">
        <f t="shared" si="5"/>
        <v>0</v>
      </c>
      <c r="I96" s="457"/>
      <c r="J96" s="474">
        <v>0</v>
      </c>
      <c r="K96" s="463"/>
      <c r="L96" s="474">
        <v>0</v>
      </c>
      <c r="M96" s="1580">
        <f t="shared" si="6"/>
        <v>0</v>
      </c>
    </row>
    <row r="97" spans="1:13" ht="15" thickBot="1" x14ac:dyDescent="0.4">
      <c r="A97" s="1000" t="str">
        <f>'B) Reajuste Tarifas y Ocupación'!A95</f>
        <v>Vista Mar</v>
      </c>
      <c r="B97" s="1616" t="str">
        <f>+'B) Reajuste Tarifas y Ocupación'!B95</f>
        <v>Departamento</v>
      </c>
      <c r="C97" s="438">
        <f>+'B) Reajuste Tarifas y Ocupación'!J95</f>
        <v>0</v>
      </c>
      <c r="D97" s="1626">
        <f>+'B) Reajuste Tarifas y Ocupación'!L95</f>
        <v>1675400</v>
      </c>
      <c r="E97" s="1627">
        <f>+'B) Reajuste Tarifas y Ocupación'!M95</f>
        <v>1898700</v>
      </c>
      <c r="F97" s="1628">
        <f>IFERROR(C97/$M97,0)</f>
        <v>0</v>
      </c>
      <c r="G97" s="1629">
        <f t="shared" ref="G97" si="7">IFERROR(D97/$M97,0)</f>
        <v>0.99629703852281148</v>
      </c>
      <c r="H97" s="1630">
        <f t="shared" ref="H97" si="8">IFERROR(E97/$M97,0)</f>
        <v>1.1290851062691072</v>
      </c>
      <c r="I97" s="863" t="s">
        <v>1180</v>
      </c>
      <c r="J97" s="481">
        <v>2053254</v>
      </c>
      <c r="K97" s="863" t="s">
        <v>385</v>
      </c>
      <c r="L97" s="481">
        <v>1310000</v>
      </c>
      <c r="M97" s="1631">
        <f t="shared" ref="M97" si="9">AVERAGE(J97,L97)</f>
        <v>1681627</v>
      </c>
    </row>
    <row r="98" spans="1:13" ht="15" thickBot="1" x14ac:dyDescent="0.4">
      <c r="A98" s="914" t="str">
        <f>'B) Reajuste Tarifas y Ocupación'!A96</f>
        <v>Cabaña Isla de Pascua</v>
      </c>
      <c r="B98" s="1632" t="str">
        <f>+'B) Reajuste Tarifas y Ocupación'!B96</f>
        <v>Cabaña</v>
      </c>
      <c r="C98" s="1633">
        <f>+'B) Reajuste Tarifas y Ocupación'!J96</f>
        <v>61900</v>
      </c>
      <c r="D98" s="730">
        <f>+'B) Reajuste Tarifas y Ocupación'!L96</f>
        <v>104800</v>
      </c>
      <c r="E98" s="731">
        <f>+'B) Reajuste Tarifas y Ocupación'!M96</f>
        <v>118700</v>
      </c>
      <c r="F98" s="1634">
        <f>IFERROR(C98/$M98,0)</f>
        <v>0</v>
      </c>
      <c r="G98" s="1635">
        <f t="shared" ref="G98" si="10">IFERROR(D98/$M98,0)</f>
        <v>0</v>
      </c>
      <c r="H98" s="1636">
        <f t="shared" ref="H98" si="11">IFERROR(E98/$M98,0)</f>
        <v>0</v>
      </c>
      <c r="I98" s="733"/>
      <c r="J98" s="734">
        <v>0</v>
      </c>
      <c r="K98" s="733"/>
      <c r="L98" s="734">
        <v>0</v>
      </c>
      <c r="M98" s="1637">
        <f t="shared" ref="M98" si="12">AVERAGE(J98,L98)</f>
        <v>0</v>
      </c>
    </row>
  </sheetData>
  <mergeCells count="24">
    <mergeCell ref="M15:M16"/>
    <mergeCell ref="A17:A25"/>
    <mergeCell ref="A26:A31"/>
    <mergeCell ref="A32:A48"/>
    <mergeCell ref="A49:A50"/>
    <mergeCell ref="A51:A52"/>
    <mergeCell ref="A87:A88"/>
    <mergeCell ref="A89:A93"/>
    <mergeCell ref="A95:A96"/>
    <mergeCell ref="A53:A61"/>
    <mergeCell ref="A62:A63"/>
    <mergeCell ref="A64:A71"/>
    <mergeCell ref="A72:A73"/>
    <mergeCell ref="A74:A78"/>
    <mergeCell ref="A79:A86"/>
    <mergeCell ref="D4:E4"/>
    <mergeCell ref="A7:L10"/>
    <mergeCell ref="A13:D13"/>
    <mergeCell ref="A15:A16"/>
    <mergeCell ref="B15:B16"/>
    <mergeCell ref="C15:E15"/>
    <mergeCell ref="F15:H15"/>
    <mergeCell ref="I15:J15"/>
    <mergeCell ref="K15:L15"/>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2:N40"/>
  <sheetViews>
    <sheetView showGridLines="0" zoomScale="80" zoomScaleNormal="80" workbookViewId="0">
      <selection activeCell="I23" sqref="I23"/>
    </sheetView>
  </sheetViews>
  <sheetFormatPr baseColWidth="10" defaultRowHeight="14.5" x14ac:dyDescent="0.35"/>
  <cols>
    <col min="1" max="1" width="11.453125" style="157"/>
    <col min="2" max="2" width="33.54296875" style="157" bestFit="1" customWidth="1"/>
    <col min="3" max="3" width="11.453125" style="157" bestFit="1"/>
    <col min="4" max="4" width="14.1796875" style="157" bestFit="1" customWidth="1"/>
    <col min="5" max="5" width="18" style="157" customWidth="1"/>
    <col min="6" max="6" width="20.7265625" style="157" customWidth="1"/>
    <col min="7" max="14" width="11.453125" style="157"/>
  </cols>
  <sheetData>
    <row r="2" spans="1:14" x14ac:dyDescent="0.35">
      <c r="C2" s="235"/>
      <c r="D2" s="3201" t="s">
        <v>236</v>
      </c>
      <c r="E2" s="3201"/>
      <c r="F2" s="3201"/>
      <c r="G2" s="235"/>
      <c r="H2" s="235"/>
    </row>
    <row r="3" spans="1:14" x14ac:dyDescent="0.35">
      <c r="C3" s="236"/>
      <c r="D3" s="237"/>
      <c r="E3" s="237"/>
      <c r="F3" s="237"/>
      <c r="G3" s="237"/>
      <c r="H3" s="237"/>
    </row>
    <row r="4" spans="1:14" ht="15.5" x14ac:dyDescent="0.35">
      <c r="C4" s="236"/>
      <c r="D4" s="238" t="s">
        <v>1</v>
      </c>
      <c r="E4" s="3202" t="s">
        <v>34</v>
      </c>
      <c r="F4" s="3203"/>
      <c r="G4" s="235"/>
      <c r="H4" s="235"/>
    </row>
    <row r="5" spans="1:14" x14ac:dyDescent="0.35">
      <c r="C5" s="239"/>
      <c r="D5" s="235"/>
      <c r="E5" s="235"/>
      <c r="F5" s="235"/>
      <c r="G5" s="235"/>
      <c r="H5" s="235"/>
    </row>
    <row r="7" spans="1:14" x14ac:dyDescent="0.35">
      <c r="B7" s="3172" t="s">
        <v>237</v>
      </c>
      <c r="C7" s="3173"/>
      <c r="D7" s="3173"/>
      <c r="E7" s="3173"/>
      <c r="F7" s="3173"/>
      <c r="G7" s="3173"/>
      <c r="H7" s="3173"/>
      <c r="I7" s="3173"/>
      <c r="J7" s="3173"/>
      <c r="K7" s="3173"/>
      <c r="L7" s="3173"/>
      <c r="M7" s="3174"/>
    </row>
    <row r="8" spans="1:14" x14ac:dyDescent="0.35">
      <c r="B8" s="3175"/>
      <c r="C8" s="3176"/>
      <c r="D8" s="3176"/>
      <c r="E8" s="3176"/>
      <c r="F8" s="3176"/>
      <c r="G8" s="3176"/>
      <c r="H8" s="3176"/>
      <c r="I8" s="3176"/>
      <c r="J8" s="3176"/>
      <c r="K8" s="3176"/>
      <c r="L8" s="3176"/>
      <c r="M8" s="3177"/>
    </row>
    <row r="9" spans="1:14" x14ac:dyDescent="0.35">
      <c r="B9" s="3175"/>
      <c r="C9" s="3176"/>
      <c r="D9" s="3176"/>
      <c r="E9" s="3176"/>
      <c r="F9" s="3176"/>
      <c r="G9" s="3176"/>
      <c r="H9" s="3176"/>
      <c r="I9" s="3176"/>
      <c r="J9" s="3176"/>
      <c r="K9" s="3176"/>
      <c r="L9" s="3176"/>
      <c r="M9" s="3177"/>
    </row>
    <row r="10" spans="1:14" x14ac:dyDescent="0.35">
      <c r="B10" s="3178"/>
      <c r="C10" s="3179"/>
      <c r="D10" s="3179"/>
      <c r="E10" s="3179"/>
      <c r="F10" s="3179"/>
      <c r="G10" s="3179"/>
      <c r="H10" s="3179"/>
      <c r="I10" s="3179"/>
      <c r="J10" s="3179"/>
      <c r="K10" s="3179"/>
      <c r="L10" s="3179"/>
      <c r="M10" s="3180"/>
    </row>
    <row r="12" spans="1:14" ht="15.5" x14ac:dyDescent="0.35">
      <c r="B12" s="3204" t="s">
        <v>371</v>
      </c>
      <c r="C12" s="3204"/>
      <c r="D12" s="3204"/>
      <c r="E12" s="240"/>
    </row>
    <row r="14" spans="1:14" x14ac:dyDescent="0.35">
      <c r="A14" s="241"/>
      <c r="B14" s="231" t="s">
        <v>228</v>
      </c>
      <c r="C14" s="231" t="s">
        <v>229</v>
      </c>
      <c r="D14" s="231" t="s">
        <v>103</v>
      </c>
      <c r="E14" s="588" t="s">
        <v>326</v>
      </c>
      <c r="F14" s="586"/>
      <c r="G14" s="241"/>
      <c r="H14" s="241"/>
      <c r="I14" s="241"/>
      <c r="J14" s="241"/>
      <c r="K14" s="241"/>
      <c r="L14" s="241"/>
      <c r="M14" s="241"/>
      <c r="N14" s="241"/>
    </row>
    <row r="15" spans="1:14" x14ac:dyDescent="0.35">
      <c r="B15" s="232" t="s">
        <v>230</v>
      </c>
      <c r="C15" s="2042">
        <v>250</v>
      </c>
      <c r="D15" s="2043">
        <v>2</v>
      </c>
      <c r="E15" s="2044">
        <f>C15*D15</f>
        <v>500</v>
      </c>
      <c r="F15" s="156"/>
    </row>
    <row r="16" spans="1:14" x14ac:dyDescent="0.35">
      <c r="B16" s="232" t="s">
        <v>314</v>
      </c>
      <c r="C16" s="2042">
        <v>320</v>
      </c>
      <c r="D16" s="2043">
        <v>1</v>
      </c>
      <c r="E16" s="2044">
        <f t="shared" ref="E16:E29" si="0">C16*D16</f>
        <v>320</v>
      </c>
      <c r="F16" s="156"/>
    </row>
    <row r="17" spans="2:8" x14ac:dyDescent="0.35">
      <c r="B17" s="232" t="s">
        <v>315</v>
      </c>
      <c r="C17" s="2042">
        <v>460</v>
      </c>
      <c r="D17" s="2043">
        <v>2</v>
      </c>
      <c r="E17" s="2044">
        <f t="shared" si="0"/>
        <v>920</v>
      </c>
      <c r="F17" s="156"/>
    </row>
    <row r="18" spans="2:8" x14ac:dyDescent="0.35">
      <c r="B18" s="232" t="s">
        <v>313</v>
      </c>
      <c r="C18" s="2042">
        <v>350</v>
      </c>
      <c r="D18" s="2043">
        <v>1</v>
      </c>
      <c r="E18" s="2044">
        <f t="shared" si="0"/>
        <v>350</v>
      </c>
      <c r="F18" s="156"/>
    </row>
    <row r="19" spans="2:8" x14ac:dyDescent="0.35">
      <c r="B19" s="232" t="s">
        <v>327</v>
      </c>
      <c r="C19" s="2042">
        <v>300</v>
      </c>
      <c r="D19" s="2043">
        <v>1</v>
      </c>
      <c r="E19" s="2044">
        <f t="shared" si="0"/>
        <v>300</v>
      </c>
      <c r="F19" s="156"/>
    </row>
    <row r="20" spans="2:8" x14ac:dyDescent="0.35">
      <c r="B20" s="232" t="s">
        <v>231</v>
      </c>
      <c r="C20" s="2042">
        <v>240</v>
      </c>
      <c r="D20" s="2043">
        <v>1</v>
      </c>
      <c r="E20" s="2044">
        <f t="shared" si="0"/>
        <v>240</v>
      </c>
      <c r="F20" s="156"/>
    </row>
    <row r="21" spans="2:8" x14ac:dyDescent="0.35">
      <c r="B21" s="232" t="s">
        <v>232</v>
      </c>
      <c r="C21" s="2042">
        <v>100</v>
      </c>
      <c r="D21" s="2043">
        <v>1</v>
      </c>
      <c r="E21" s="2044">
        <f>C21*D21</f>
        <v>100</v>
      </c>
      <c r="F21" s="156"/>
    </row>
    <row r="22" spans="2:8" x14ac:dyDescent="0.35">
      <c r="B22" s="232" t="s">
        <v>233</v>
      </c>
      <c r="C22" s="2042">
        <v>80</v>
      </c>
      <c r="D22" s="2043">
        <v>1</v>
      </c>
      <c r="E22" s="2044">
        <f t="shared" si="0"/>
        <v>80</v>
      </c>
      <c r="F22" s="156"/>
      <c r="H22" s="157" t="s">
        <v>512</v>
      </c>
    </row>
    <row r="23" spans="2:8" x14ac:dyDescent="0.35">
      <c r="B23" s="232" t="s">
        <v>234</v>
      </c>
      <c r="C23" s="2042">
        <v>12</v>
      </c>
      <c r="D23" s="2043">
        <v>1</v>
      </c>
      <c r="E23" s="2044">
        <f t="shared" si="0"/>
        <v>12</v>
      </c>
      <c r="F23" s="156"/>
    </row>
    <row r="24" spans="2:8" x14ac:dyDescent="0.35">
      <c r="B24" s="232" t="s">
        <v>312</v>
      </c>
      <c r="C24" s="2042">
        <v>60</v>
      </c>
      <c r="D24" s="2043">
        <v>2</v>
      </c>
      <c r="E24" s="2044">
        <f t="shared" si="0"/>
        <v>120</v>
      </c>
      <c r="F24" s="156"/>
    </row>
    <row r="25" spans="2:8" x14ac:dyDescent="0.35">
      <c r="B25" s="232" t="s">
        <v>235</v>
      </c>
      <c r="C25" s="2042">
        <v>7</v>
      </c>
      <c r="D25" s="2043">
        <v>2</v>
      </c>
      <c r="E25" s="2044">
        <f t="shared" si="0"/>
        <v>14</v>
      </c>
      <c r="F25" s="156"/>
    </row>
    <row r="26" spans="2:8" x14ac:dyDescent="0.35">
      <c r="B26" s="232" t="s">
        <v>316</v>
      </c>
      <c r="C26" s="2042">
        <v>180</v>
      </c>
      <c r="D26" s="2043">
        <v>1</v>
      </c>
      <c r="E26" s="2044">
        <f t="shared" si="0"/>
        <v>180</v>
      </c>
      <c r="F26" s="156"/>
    </row>
    <row r="27" spans="2:8" x14ac:dyDescent="0.35">
      <c r="B27" s="232" t="s">
        <v>317</v>
      </c>
      <c r="C27" s="2042">
        <v>200</v>
      </c>
      <c r="D27" s="2043">
        <v>2</v>
      </c>
      <c r="E27" s="2044">
        <f t="shared" si="0"/>
        <v>400</v>
      </c>
      <c r="F27" s="156"/>
    </row>
    <row r="28" spans="2:8" x14ac:dyDescent="0.35">
      <c r="B28" s="232" t="s">
        <v>318</v>
      </c>
      <c r="C28" s="2042">
        <v>90</v>
      </c>
      <c r="D28" s="2043">
        <v>1</v>
      </c>
      <c r="E28" s="2044">
        <f t="shared" si="0"/>
        <v>90</v>
      </c>
      <c r="F28" s="156"/>
    </row>
    <row r="29" spans="2:8" x14ac:dyDescent="0.35">
      <c r="B29" s="232" t="s">
        <v>319</v>
      </c>
      <c r="C29" s="2042">
        <v>350</v>
      </c>
      <c r="D29" s="2043">
        <v>1</v>
      </c>
      <c r="E29" s="2044">
        <f t="shared" si="0"/>
        <v>350</v>
      </c>
      <c r="F29" s="156"/>
    </row>
    <row r="30" spans="2:8" x14ac:dyDescent="0.35">
      <c r="B30" s="232" t="s">
        <v>325</v>
      </c>
      <c r="C30" s="844"/>
      <c r="D30" s="845"/>
      <c r="E30" s="589">
        <v>0</v>
      </c>
      <c r="F30" s="156"/>
    </row>
    <row r="31" spans="2:8" x14ac:dyDescent="0.35">
      <c r="B31" s="232" t="s">
        <v>320</v>
      </c>
      <c r="C31" s="233">
        <v>0</v>
      </c>
      <c r="D31" s="234">
        <v>0</v>
      </c>
      <c r="E31" s="589">
        <f>C31*D31</f>
        <v>0</v>
      </c>
      <c r="F31" s="156"/>
    </row>
    <row r="32" spans="2:8" x14ac:dyDescent="0.35">
      <c r="B32" s="232" t="s">
        <v>321</v>
      </c>
      <c r="C32" s="233">
        <v>0</v>
      </c>
      <c r="D32" s="234">
        <v>0</v>
      </c>
      <c r="E32" s="589">
        <f>C32*D32</f>
        <v>0</v>
      </c>
      <c r="F32" s="156"/>
    </row>
    <row r="33" spans="2:6" x14ac:dyDescent="0.35">
      <c r="B33" s="232" t="s">
        <v>322</v>
      </c>
      <c r="C33" s="233">
        <v>0</v>
      </c>
      <c r="D33" s="234">
        <v>0</v>
      </c>
      <c r="E33" s="589">
        <f t="shared" ref="E33:E36" si="1">C33*D33</f>
        <v>0</v>
      </c>
      <c r="F33" s="156"/>
    </row>
    <row r="34" spans="2:6" x14ac:dyDescent="0.35">
      <c r="B34" s="232" t="s">
        <v>323</v>
      </c>
      <c r="C34" s="233">
        <v>0</v>
      </c>
      <c r="D34" s="234">
        <v>0</v>
      </c>
      <c r="E34" s="589">
        <f t="shared" si="1"/>
        <v>0</v>
      </c>
      <c r="F34" s="156"/>
    </row>
    <row r="35" spans="2:6" x14ac:dyDescent="0.35">
      <c r="B35" s="232" t="s">
        <v>324</v>
      </c>
      <c r="C35" s="233">
        <v>0</v>
      </c>
      <c r="D35" s="234">
        <v>0</v>
      </c>
      <c r="E35" s="589">
        <f t="shared" si="1"/>
        <v>0</v>
      </c>
      <c r="F35" s="156"/>
    </row>
    <row r="36" spans="2:6" x14ac:dyDescent="0.35">
      <c r="B36" s="232" t="s">
        <v>328</v>
      </c>
      <c r="C36" s="233">
        <v>0</v>
      </c>
      <c r="D36" s="234">
        <v>0</v>
      </c>
      <c r="E36" s="589">
        <f t="shared" si="1"/>
        <v>0</v>
      </c>
      <c r="F36" s="156"/>
    </row>
    <row r="37" spans="2:6" x14ac:dyDescent="0.35">
      <c r="E37" s="590">
        <f>SUM(E15:E36)</f>
        <v>3976</v>
      </c>
      <c r="F37" s="587"/>
    </row>
    <row r="39" spans="2:6" x14ac:dyDescent="0.35">
      <c r="F39" s="294"/>
    </row>
    <row r="40" spans="2:6" x14ac:dyDescent="0.35">
      <c r="B40" s="157" t="s">
        <v>379</v>
      </c>
    </row>
  </sheetData>
  <mergeCells count="4">
    <mergeCell ref="D2:F2"/>
    <mergeCell ref="E4:F4"/>
    <mergeCell ref="B7:M10"/>
    <mergeCell ref="B12:D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A1:AD11"/>
  <sheetViews>
    <sheetView showGridLines="0" zoomScale="90" zoomScaleNormal="90" workbookViewId="0">
      <selection activeCell="N30" sqref="N30"/>
    </sheetView>
  </sheetViews>
  <sheetFormatPr baseColWidth="10" defaultRowHeight="14.5" x14ac:dyDescent="0.35"/>
  <cols>
    <col min="1" max="1" width="18.26953125" style="229" customWidth="1"/>
    <col min="2" max="2" width="27.453125" style="229" customWidth="1"/>
    <col min="3" max="3" width="17" style="229" customWidth="1"/>
    <col min="4" max="4" width="29.7265625" style="229" customWidth="1"/>
    <col min="5" max="5" width="13.1796875" style="229" bestFit="1" customWidth="1"/>
    <col min="6" max="6" width="13.7265625" style="229" customWidth="1"/>
    <col min="7" max="7" width="15.81640625" style="229" customWidth="1"/>
    <col min="8" max="8" width="21" style="229" customWidth="1"/>
    <col min="9" max="9" width="14.26953125" style="229" customWidth="1"/>
    <col min="10" max="10" width="14.81640625" style="229" customWidth="1"/>
    <col min="11" max="13" width="14" style="229" bestFit="1" customWidth="1"/>
    <col min="14" max="14" width="13.81640625" style="229" customWidth="1"/>
    <col min="15" max="15" width="15.26953125" style="229" customWidth="1"/>
    <col min="16" max="16" width="14.1796875" style="229" customWidth="1"/>
    <col min="17" max="17" width="14.7265625" style="229" customWidth="1"/>
    <col min="18" max="18" width="13.7265625" style="229" customWidth="1"/>
    <col min="19" max="19" width="15.453125" style="229" customWidth="1"/>
    <col min="20" max="20" width="15.7265625" style="229" customWidth="1"/>
    <col min="21" max="21" width="16.26953125" style="229" customWidth="1"/>
    <col min="22" max="22" width="11.453125" style="229"/>
    <col min="23" max="23" width="14.1796875" style="229" bestFit="1" customWidth="1"/>
  </cols>
  <sheetData>
    <row r="1" spans="1:30" x14ac:dyDescent="0.35">
      <c r="J1" s="3"/>
      <c r="K1" s="230"/>
    </row>
    <row r="2" spans="1:30" x14ac:dyDescent="0.35">
      <c r="J2" s="3" t="s">
        <v>226</v>
      </c>
      <c r="K2" s="230"/>
    </row>
    <row r="4" spans="1:30" ht="15.5" x14ac:dyDescent="0.35">
      <c r="I4" s="8" t="s">
        <v>1</v>
      </c>
      <c r="J4" s="3205" t="s">
        <v>34</v>
      </c>
      <c r="K4" s="3206"/>
    </row>
    <row r="6" spans="1:30" x14ac:dyDescent="0.35">
      <c r="A6" s="3207" t="s">
        <v>227</v>
      </c>
      <c r="B6" s="3207"/>
      <c r="C6" s="3207"/>
      <c r="D6" s="3207"/>
      <c r="E6" s="3207"/>
      <c r="F6" s="3207"/>
      <c r="G6" s="3207"/>
      <c r="H6" s="3207"/>
      <c r="I6" s="3207"/>
      <c r="J6" s="3207"/>
      <c r="K6" s="3207"/>
      <c r="L6" s="3207"/>
      <c r="M6" s="3207"/>
      <c r="N6" s="3207"/>
      <c r="O6" s="3207"/>
      <c r="P6" s="3207"/>
      <c r="Q6" s="3207"/>
    </row>
    <row r="7" spans="1:30" ht="16.149999999999999" customHeight="1" x14ac:dyDescent="0.35">
      <c r="A7" s="289"/>
      <c r="B7" s="289"/>
      <c r="C7" s="289"/>
      <c r="D7" s="289"/>
      <c r="E7" s="289"/>
      <c r="F7" s="289"/>
      <c r="G7" s="289"/>
      <c r="H7" s="289"/>
      <c r="I7" s="289"/>
      <c r="J7" s="289"/>
      <c r="K7" s="289"/>
      <c r="L7" s="289"/>
      <c r="M7" s="289"/>
      <c r="N7" s="289"/>
      <c r="O7" s="289"/>
      <c r="P7" s="289"/>
      <c r="Q7" s="290"/>
      <c r="R7" s="290"/>
      <c r="S7" s="290"/>
      <c r="T7" s="290"/>
      <c r="U7" s="290"/>
      <c r="V7" s="290"/>
      <c r="W7" s="290"/>
      <c r="X7" s="157"/>
    </row>
    <row r="8" spans="1:30" x14ac:dyDescent="0.35">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row>
    <row r="9" spans="1:30" x14ac:dyDescent="0.35">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row>
    <row r="10" spans="1:30" x14ac:dyDescent="0.35">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row>
    <row r="11" spans="1:30" x14ac:dyDescent="0.35">
      <c r="B11" s="290"/>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row>
  </sheetData>
  <mergeCells count="2">
    <mergeCell ref="J4:K4"/>
    <mergeCell ref="A6:Q6"/>
  </mergeCells>
  <pageMargins left="0.7" right="0.7" top="0.75" bottom="0.75" header="0.3" footer="0.3"/>
  <pageSetup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T181"/>
  <sheetViews>
    <sheetView showGridLines="0" zoomScale="91" zoomScaleNormal="91" workbookViewId="0">
      <pane xSplit="2" topLeftCell="C1" activePane="topRight" state="frozen"/>
      <selection activeCell="A22" sqref="A22"/>
      <selection pane="topRight" activeCell="L3" sqref="L3"/>
    </sheetView>
  </sheetViews>
  <sheetFormatPr baseColWidth="10" defaultRowHeight="14.5" x14ac:dyDescent="0.35"/>
  <cols>
    <col min="1" max="1" width="0" hidden="1" customWidth="1"/>
    <col min="2" max="2" width="61.453125" customWidth="1"/>
    <col min="3" max="3" width="18.7265625" bestFit="1" customWidth="1"/>
    <col min="4" max="4" width="18.54296875" customWidth="1"/>
    <col min="5" max="5" width="18.26953125" bestFit="1" customWidth="1"/>
    <col min="6" max="8" width="17.7265625" bestFit="1" customWidth="1"/>
    <col min="9" max="10" width="18.7265625" bestFit="1" customWidth="1"/>
    <col min="11" max="11" width="19.1796875" bestFit="1" customWidth="1"/>
    <col min="12" max="12" width="18.26953125" bestFit="1" customWidth="1"/>
    <col min="13" max="13" width="17.7265625" bestFit="1" customWidth="1"/>
    <col min="14" max="14" width="18.7265625" bestFit="1" customWidth="1"/>
    <col min="15" max="15" width="21.54296875" bestFit="1" customWidth="1"/>
    <col min="16" max="16" width="15.1796875" hidden="1" customWidth="1"/>
    <col min="17" max="17" width="30.54296875" hidden="1" customWidth="1"/>
    <col min="18" max="18" width="14" bestFit="1" customWidth="1"/>
    <col min="19" max="19" width="13.54296875" bestFit="1" customWidth="1"/>
  </cols>
  <sheetData>
    <row r="2" spans="2:17" x14ac:dyDescent="0.35">
      <c r="B2" s="157"/>
    </row>
    <row r="3" spans="2:17" x14ac:dyDescent="0.35">
      <c r="B3" s="157"/>
    </row>
    <row r="4" spans="2:17" x14ac:dyDescent="0.35">
      <c r="B4" s="157"/>
    </row>
    <row r="5" spans="2:17" x14ac:dyDescent="0.35">
      <c r="B5" s="157"/>
    </row>
    <row r="6" spans="2:17" x14ac:dyDescent="0.35">
      <c r="B6" s="157"/>
    </row>
    <row r="7" spans="2:17" x14ac:dyDescent="0.35">
      <c r="D7" s="3" t="s">
        <v>310</v>
      </c>
      <c r="E7" s="229"/>
      <c r="F7" s="3"/>
      <c r="G7" s="230"/>
    </row>
    <row r="8" spans="2:17" x14ac:dyDescent="0.35">
      <c r="D8" s="229"/>
      <c r="E8" s="229"/>
      <c r="F8" s="229"/>
      <c r="G8" s="229"/>
    </row>
    <row r="9" spans="2:17" ht="15.5" x14ac:dyDescent="0.35">
      <c r="D9" s="594" t="str">
        <f>'H) Detalle Datos'!J4</f>
        <v>BIENVALP</v>
      </c>
      <c r="E9" s="8"/>
      <c r="F9" s="3208"/>
      <c r="G9" s="3208"/>
    </row>
    <row r="10" spans="2:17" x14ac:dyDescent="0.35">
      <c r="E10" s="229"/>
      <c r="F10" s="229" t="s">
        <v>512</v>
      </c>
      <c r="G10" s="229"/>
    </row>
    <row r="12" spans="2:17" x14ac:dyDescent="0.35">
      <c r="B12" s="2674" t="s">
        <v>311</v>
      </c>
      <c r="C12" s="2674"/>
      <c r="D12" s="2674"/>
      <c r="E12" s="2674"/>
      <c r="F12" t="s">
        <v>512</v>
      </c>
    </row>
    <row r="15" spans="2:17" ht="15" thickBot="1" x14ac:dyDescent="0.4"/>
    <row r="16" spans="2:17" ht="29" x14ac:dyDescent="0.35">
      <c r="B16" s="568" t="s">
        <v>242</v>
      </c>
      <c r="C16" s="569" t="s">
        <v>243</v>
      </c>
      <c r="D16" s="569" t="s">
        <v>244</v>
      </c>
      <c r="E16" s="569" t="s">
        <v>245</v>
      </c>
      <c r="F16" s="569" t="s">
        <v>246</v>
      </c>
      <c r="G16" s="569" t="s">
        <v>247</v>
      </c>
      <c r="H16" s="569" t="s">
        <v>248</v>
      </c>
      <c r="I16" s="569" t="s">
        <v>197</v>
      </c>
      <c r="J16" s="570" t="s">
        <v>249</v>
      </c>
      <c r="K16" s="569" t="s">
        <v>250</v>
      </c>
      <c r="L16" s="569" t="s">
        <v>251</v>
      </c>
      <c r="M16" s="569" t="s">
        <v>252</v>
      </c>
      <c r="N16" s="569" t="s">
        <v>253</v>
      </c>
      <c r="O16" s="571" t="s">
        <v>343</v>
      </c>
      <c r="P16" s="305"/>
      <c r="Q16" s="319" t="s">
        <v>344</v>
      </c>
    </row>
    <row r="17" spans="2:19" x14ac:dyDescent="0.35">
      <c r="B17" s="572" t="s">
        <v>255</v>
      </c>
      <c r="C17" s="559">
        <f>'A) Resumen Ingresos y Egresos'!$E$9*C24</f>
        <v>13546329.924160762</v>
      </c>
      <c r="D17" s="559">
        <f>'A) Resumen Ingresos y Egresos'!$E$9*D24</f>
        <v>17102004.898956843</v>
      </c>
      <c r="E17" s="559">
        <f>'A) Resumen Ingresos y Egresos'!$E$9*E24</f>
        <v>18848916.98131467</v>
      </c>
      <c r="F17" s="559">
        <f>'A) Resumen Ingresos y Egresos'!$E$9*F24</f>
        <v>16903453.796911336</v>
      </c>
      <c r="G17" s="559">
        <f>'A) Resumen Ingresos y Egresos'!$E$9*G24</f>
        <v>15062348.593728207</v>
      </c>
      <c r="H17" s="559">
        <f>'A) Resumen Ingresos y Egresos'!$E$9*H24</f>
        <v>16991691.687712003</v>
      </c>
      <c r="I17" s="559">
        <f>'A) Resumen Ingresos y Egresos'!$E$9*I24</f>
        <v>18516096.748625003</v>
      </c>
      <c r="J17" s="559">
        <f>'A) Resumen Ingresos y Egresos'!$E$9*J24</f>
        <v>20780894.32252403</v>
      </c>
      <c r="K17" s="559">
        <f>'A) Resumen Ingresos y Egresos'!$E$9*K24</f>
        <v>16925129.988987997</v>
      </c>
      <c r="L17" s="559">
        <f>'A) Resumen Ingresos y Egresos'!$E$9*L24</f>
        <v>18123200.653183363</v>
      </c>
      <c r="M17" s="559">
        <f>'A) Resumen Ingresos y Egresos'!$E$9*M24</f>
        <v>13713687.970378431</v>
      </c>
      <c r="N17" s="559">
        <f>'A) Resumen Ingresos y Egresos'!$E$9*N24</f>
        <v>14849844.43351735</v>
      </c>
      <c r="O17" s="573">
        <f>SUM(C17:N17)</f>
        <v>201363600</v>
      </c>
      <c r="P17" s="305">
        <f>IF(Q17=12,C17+D17+E17+F17+G17+H17+I17+J17+K17+L17+M17+N17,IF(Q17=11,C17+D17+E17+F17+G17+H17+I17+J17+K17+L17+M17,IF(Q17=10,C17+D17+E17+F17+G17+H17+I17+J17+K17+L17,IF(Q17=9,C17+D17+E17+F17+G17+H17+I17+J17+K17,IF(Q17=8,C17+D17+E17+F17+G17+H17+I17+J17,IF(Q17=7,C17+D17+E17+F17+G17+H17+I17,IF(Q17=6,C17+D17+E17+F17+G17+H17,IF(Q17=5,C17+D17+E17+F17+G17,0))))))))</f>
        <v>201363600</v>
      </c>
      <c r="Q17" s="320">
        <f>COUNTA(#REF!,#REF!,#REF!,#REF!,#REF!,#REF!,#REF!,#REF!,#REF!,#REF!,#REF!,#REF!)</f>
        <v>12</v>
      </c>
    </row>
    <row r="18" spans="2:19" x14ac:dyDescent="0.35">
      <c r="B18" s="572" t="s">
        <v>256</v>
      </c>
      <c r="C18" s="559">
        <f>(SUM('F) Remuneraciones'!$L$11:$L$24)-SUM('F) Remuneraciones'!$I$11:$J$24))/12</f>
        <v>5509431.2349999994</v>
      </c>
      <c r="D18" s="559">
        <f>(SUM('F) Remuneraciones'!$L$11:$L$24)-SUM('F) Remuneraciones'!$I$11:$J$24))/12</f>
        <v>5509431.2349999994</v>
      </c>
      <c r="E18" s="559">
        <f>(SUM('F) Remuneraciones'!$L$11:$L$24)-SUM('F) Remuneraciones'!$I$11:$J$24))/12</f>
        <v>5509431.2349999994</v>
      </c>
      <c r="F18" s="559">
        <f>(SUM('F) Remuneraciones'!$L$11:$L$24)-SUM('F) Remuneraciones'!$I$11:$J$24))/12</f>
        <v>5509431.2349999994</v>
      </c>
      <c r="G18" s="559">
        <f>(SUM('F) Remuneraciones'!$L$11:$L$24)-SUM('F) Remuneraciones'!$I$11:$J$24))/12</f>
        <v>5509431.2349999994</v>
      </c>
      <c r="H18" s="559">
        <f>(SUM('F) Remuneraciones'!$L$11:$L$24)-SUM('F) Remuneraciones'!$I$11:$J$24))/12</f>
        <v>5509431.2349999994</v>
      </c>
      <c r="I18" s="559">
        <f>(SUM('F) Remuneraciones'!$L$11:$L$24)-SUM('F) Remuneraciones'!$I$11:$J$24))/12</f>
        <v>5509431.2349999994</v>
      </c>
      <c r="J18" s="559">
        <f>(SUM('F) Remuneraciones'!$L$11:$L$24)-SUM('F) Remuneraciones'!$I$11:$J$24))/12</f>
        <v>5509431.2349999994</v>
      </c>
      <c r="K18" s="559">
        <f>(SUM('F) Remuneraciones'!$L$11:$L$24)-SUM('F) Remuneraciones'!$I$11:$J$24))/12</f>
        <v>5509431.2349999994</v>
      </c>
      <c r="L18" s="559">
        <f>(SUM('F) Remuneraciones'!$L$11:$L$24)-SUM('F) Remuneraciones'!$I$11:$J$24))/12</f>
        <v>5509431.2349999994</v>
      </c>
      <c r="M18" s="559">
        <f>(SUM('F) Remuneraciones'!$L$11:$L$24)-SUM('F) Remuneraciones'!$I$11:$J$24))/12</f>
        <v>5509431.2349999994</v>
      </c>
      <c r="N18" s="559">
        <f>(SUM('F) Remuneraciones'!$L$11:$L$24)-SUM('F) Remuneraciones'!$I$11:$J$24))/12</f>
        <v>5509431.2349999994</v>
      </c>
      <c r="O18" s="573">
        <f t="shared" ref="O18:O22" si="0">SUM(C18:N18)</f>
        <v>66113174.819999993</v>
      </c>
      <c r="P18" s="554">
        <f>IF(Q18=12,C18+D18+E18+F18+G18+H18+I18+J18+K18+L18+M18+N18,IF(Q18=11,C18+D18+E18+F18+G18+H18+I18+J18+K18+L18+M18,IF(Q18=10,C18+D18+E18+F18+G18+H18+I18+J18+K18+L18,IF(Q18=9,C18+D18+E18+F18+G18+H18+I18+J18+K18,IF(Q18=8,C18+D18+E18+F18+G18+H18+I18+J18,IF(Q18=7,C18+D18+E18+F18+G18+H18+I18,IF(Q18=6,C18+D18+E18+F18+G18+H18,IF(Q18=5,C18+D18+E18+F18+G18,0))))))))</f>
        <v>66113174.819999993</v>
      </c>
      <c r="Q18" s="3209">
        <f>COUNTA(#REF!,#REF!,#REF!,#REF!,#REF!,#REF!,#REF!,#REF!,#REF!,#REF!,#REF!,#REF!)</f>
        <v>12</v>
      </c>
    </row>
    <row r="19" spans="2:19" x14ac:dyDescent="0.35">
      <c r="B19" s="572" t="s">
        <v>257</v>
      </c>
      <c r="C19" s="559">
        <f>SUM('F) Remuneraciones'!$L$25:$L$35)/4</f>
        <v>116606.4295</v>
      </c>
      <c r="D19" s="559">
        <f>SUM('F) Remuneraciones'!$L$25:$L$35)/4</f>
        <v>116606.4295</v>
      </c>
      <c r="E19" s="559">
        <f>SUM('F) Remuneraciones'!$L$25:$L$35)/4</f>
        <v>116606.4295</v>
      </c>
      <c r="F19" s="559">
        <v>0</v>
      </c>
      <c r="G19" s="559">
        <v>0</v>
      </c>
      <c r="H19" s="559">
        <v>0</v>
      </c>
      <c r="I19" s="559">
        <v>0</v>
      </c>
      <c r="J19" s="559">
        <v>0</v>
      </c>
      <c r="K19" s="559">
        <v>0</v>
      </c>
      <c r="L19" s="559">
        <v>0</v>
      </c>
      <c r="M19" s="559">
        <v>0</v>
      </c>
      <c r="N19" s="559">
        <f>SUM('F) Remuneraciones'!$L$25:$L$35)/4</f>
        <v>116606.4295</v>
      </c>
      <c r="O19" s="573">
        <f t="shared" si="0"/>
        <v>466425.71799999999</v>
      </c>
      <c r="P19" s="554">
        <f>IF(Q18=12,C19+D19+E19+F19+G19+H19+I19+J19+K19+L19+M19+N19,IF(Q18=11,C19+D19+E19+F19+G19+H19+I19+J19+K19+L19+M19,IF(Q18=10,C19+D19+E19+F19+G19+H19+I19+J19+K19+L19,IF(Q18=9,C19+D19+E19+F19+G19+H19+I19+J19+K19,IF(Q18=8,C19+D19+E19+F19+G19+H19+I19+J19,IF(Q18=7,C19+D19+E19+F19+G19+H19+I19,IF(Q18=6,C19+D19+E19+F19+G19+H19,IF(Q18=5,C19+D19+E19+F19+G19,0))))))))</f>
        <v>466425.71799999999</v>
      </c>
      <c r="Q19" s="3209"/>
    </row>
    <row r="20" spans="2:19" x14ac:dyDescent="0.35">
      <c r="B20" s="572" t="s">
        <v>258</v>
      </c>
      <c r="C20" s="559">
        <f>SUM('F) Remuneraciones'!J11:J24)/2</f>
        <v>1471322</v>
      </c>
      <c r="D20" s="559">
        <v>0</v>
      </c>
      <c r="E20" s="559">
        <v>0</v>
      </c>
      <c r="F20" s="559">
        <v>0</v>
      </c>
      <c r="G20" s="559">
        <v>0</v>
      </c>
      <c r="H20" s="559">
        <v>0</v>
      </c>
      <c r="I20" s="559">
        <v>0</v>
      </c>
      <c r="J20" s="559">
        <v>0</v>
      </c>
      <c r="K20" s="559">
        <f>SUM('F) Remuneraciones'!I11:I24)/2</f>
        <v>695716</v>
      </c>
      <c r="L20" s="559">
        <v>0</v>
      </c>
      <c r="M20" s="559">
        <v>0</v>
      </c>
      <c r="N20" s="559">
        <f>C20+K20</f>
        <v>2167038</v>
      </c>
      <c r="O20" s="573">
        <f>SUM(C20:N20)</f>
        <v>4334076</v>
      </c>
      <c r="P20" s="305">
        <f>IF(Q20=12,C20+D20+E20+F20+G20+H20+I20+J20+K20+L20+M20+N20,IF(Q20=11,C20+D20+E20+F20+G20+H20+I20+J20+K20+L20+M20,IF(Q20=10,C20+D20+E20+F20+G20+H20+I20+J20+K20+L20,IF(Q20=9,C20+D20+E20+F20+G20+H20+I20+J20+K20,IF(Q20=8,C20+D20+E20+F20+G20+H20+I20+J20,IF(Q20=7,C20+D20+E20+F20+G20+H20+I20,IF(Q20=6,C20+D20+E20+F20+G20+H20,IF(Q20=5,C20+D20+E20+F20+G20,0))))))))</f>
        <v>4334076</v>
      </c>
      <c r="Q20" s="320">
        <f>COUNTA(#REF!,#REF!,#REF!,#REF!,#REF!,#REF!,#REF!,#REF!,#REF!,#REF!,#REF!,#REF!)</f>
        <v>12</v>
      </c>
    </row>
    <row r="21" spans="2:19" x14ac:dyDescent="0.35">
      <c r="B21" s="572" t="s">
        <v>259</v>
      </c>
      <c r="C21" s="559">
        <f>('C) Costos Directos'!$H$11-'C) Costos Directos'!$H$12)*C25</f>
        <v>3416627.5836368166</v>
      </c>
      <c r="D21" s="559">
        <f>('C) Costos Directos'!$H$11-'C) Costos Directos'!$H$12)*D25</f>
        <v>3291668.6472890703</v>
      </c>
      <c r="E21" s="559">
        <f>('C) Costos Directos'!$H$11-'C) Costos Directos'!$H$12)*E25</f>
        <v>4820652.7915671356</v>
      </c>
      <c r="F21" s="559">
        <f>('C) Costos Directos'!$H$11-'C) Costos Directos'!$H$12)*F25</f>
        <v>4981421.2275887234</v>
      </c>
      <c r="G21" s="559">
        <f>('C) Costos Directos'!$H$11-'C) Costos Directos'!$H$12)*G25</f>
        <v>6403460.3261528201</v>
      </c>
      <c r="H21" s="559">
        <f>('C) Costos Directos'!$H$11-'C) Costos Directos'!$H$12)*H25</f>
        <v>2644305.265661079</v>
      </c>
      <c r="I21" s="559">
        <f>('C) Costos Directos'!$H$11-'C) Costos Directos'!$H$12)*I25</f>
        <v>6875480.5289019514</v>
      </c>
      <c r="J21" s="559">
        <f>('C) Costos Directos'!$H$11-'C) Costos Directos'!$H$12)*J25</f>
        <v>1804483.8113064098</v>
      </c>
      <c r="K21" s="559">
        <f>('C) Costos Directos'!$H$11-'C) Costos Directos'!$H$12)*K25</f>
        <v>3964099.6488291677</v>
      </c>
      <c r="L21" s="559">
        <f>('C) Costos Directos'!$H$11-'C) Costos Directos'!$H$12)*L25</f>
        <v>5211261.2359143263</v>
      </c>
      <c r="M21" s="559">
        <f>('C) Costos Directos'!$H$11-'C) Costos Directos'!$H$12)*M25</f>
        <v>7043844.355934415</v>
      </c>
      <c r="N21" s="559">
        <f>('C) Costos Directos'!$H$11-'C) Costos Directos'!$H$12)*N25</f>
        <v>2986837.5932180868</v>
      </c>
      <c r="O21" s="573">
        <f t="shared" si="0"/>
        <v>53444143.016000003</v>
      </c>
      <c r="P21" s="305">
        <f>IF(Q21=12,C21+D21+E21+F21+G21+H21+I21+J21+K21+L21+M21+N21,IF(Q21=11,C21+D21+E21+F21+G21+H21+I21+J21+K21+L21+M21,IF(Q21=10,C21+D21+E21+F21+G21+H21+I21+J21+K21+L21,IF(Q21=9,C21+D21+E21+F21+G21+H21+I21+J21+K21,IF(Q21=8,C21+D21+E21+F21+G21+H21+I21+J21,IF(Q21=7,C21+D21+E21+F21+G21+H21+I21,IF(Q21=6,C21+D21+E21+F21+G21+H21,IF(Q21=5,C21+D21+E21+F21+G21,0))))))))</f>
        <v>53444143.016000003</v>
      </c>
      <c r="Q21" s="320">
        <f>COUNTA(#REF!,#REF!,#REF!,#REF!,#REF!,#REF!,#REF!,#REF!,#REF!,#REF!,#REF!,#REF!)</f>
        <v>12</v>
      </c>
    </row>
    <row r="22" spans="2:19" ht="15" thickBot="1" x14ac:dyDescent="0.4">
      <c r="B22" s="574" t="s">
        <v>292</v>
      </c>
      <c r="C22" s="575">
        <f>'C) Costos Directos'!$H$39*C26</f>
        <v>2254569.3629851388</v>
      </c>
      <c r="D22" s="575">
        <f>'C) Costos Directos'!$H$39*D26</f>
        <v>2172111.2715999042</v>
      </c>
      <c r="E22" s="575">
        <f>'C) Costos Directos'!$H$39*E26</f>
        <v>3181059.6348013785</v>
      </c>
      <c r="F22" s="575">
        <f>'C) Costos Directos'!$H$39*F26</f>
        <v>3287147.7528407131</v>
      </c>
      <c r="G22" s="575">
        <f>'C) Costos Directos'!$H$39*G26</f>
        <v>4225525.0579776429</v>
      </c>
      <c r="H22" s="575">
        <f>'C) Costos Directos'!$H$39*H26</f>
        <v>1744928.1469517855</v>
      </c>
      <c r="I22" s="575">
        <f>'C) Costos Directos'!$H$39*I26</f>
        <v>4537002.4612875581</v>
      </c>
      <c r="J22" s="575">
        <f>'C) Costos Directos'!$H$39*J26</f>
        <v>1190745.4989997959</v>
      </c>
      <c r="K22" s="575">
        <f>'C) Costos Directos'!$H$39*K26</f>
        <v>2615836.0550836134</v>
      </c>
      <c r="L22" s="575">
        <f>'C) Costos Directos'!$H$39*L26</f>
        <v>3438814.9241885389</v>
      </c>
      <c r="M22" s="575">
        <f>'C) Costos Directos'!$H$39*M26</f>
        <v>4648102.6374028223</v>
      </c>
      <c r="N22" s="575">
        <f>'C) Costos Directos'!$H$39*N26</f>
        <v>1970958.8958811106</v>
      </c>
      <c r="O22" s="576">
        <f t="shared" si="0"/>
        <v>35266801.700000003</v>
      </c>
      <c r="P22" s="305">
        <f>IF(Q22=12,C22+D22+E22+F22+G22+H22+I22+J22+K22+L22+M22+N22,IF(Q22=11,C22+D22+E22+F22+G22+H22+I22+J22+K22+L22+M22,IF(Q22=10,C22+D22+E22+F22+G22+H22+I22+J22+K22+L22,IF(Q22=9,C22+D22+E22+F22+G22+H22+I22+J22+K22,IF(Q22=8,C22+D22+E22+F22+G22+H22+I22+J22,IF(Q22=7,C22+D22+E22+F22+G22+H22+I22,IF(Q22=6,C22+D22+E22+F22+G22+H22,IF(Q22=5,C22+D22+E22+F22+G22,0))))))))</f>
        <v>35266801.700000003</v>
      </c>
      <c r="Q22" s="320">
        <f>COUNTA(#REF!,#REF!,#REF!,#REF!,#REF!,#REF!,#REF!,#REF!,#REF!,#REF!,#REF!,#REF!)</f>
        <v>12</v>
      </c>
    </row>
    <row r="23" spans="2:19" ht="15" thickBot="1" x14ac:dyDescent="0.4">
      <c r="B23" s="565" t="s">
        <v>260</v>
      </c>
      <c r="C23" s="566">
        <f>C17-(C18+C19+C20+C21+C22)</f>
        <v>777773.31303880922</v>
      </c>
      <c r="D23" s="566">
        <f t="shared" ref="D23:N23" si="1">D17-(D18+D19+D20+D21+D22)</f>
        <v>6012187.3155678697</v>
      </c>
      <c r="E23" s="566">
        <f t="shared" si="1"/>
        <v>5221166.8904461581</v>
      </c>
      <c r="F23" s="566">
        <f t="shared" si="1"/>
        <v>3125453.5814819001</v>
      </c>
      <c r="G23" s="566">
        <f t="shared" si="1"/>
        <v>-1076068.0254022554</v>
      </c>
      <c r="H23" s="566">
        <f t="shared" si="1"/>
        <v>7093027.0400991384</v>
      </c>
      <c r="I23" s="566">
        <f t="shared" si="1"/>
        <v>1594182.5234354958</v>
      </c>
      <c r="J23" s="566">
        <f t="shared" si="1"/>
        <v>12276233.777217824</v>
      </c>
      <c r="K23" s="566">
        <f t="shared" si="1"/>
        <v>4140047.0500752162</v>
      </c>
      <c r="L23" s="566">
        <f t="shared" si="1"/>
        <v>3963693.2580804974</v>
      </c>
      <c r="M23" s="566">
        <f t="shared" si="1"/>
        <v>-3487690.2579588052</v>
      </c>
      <c r="N23" s="567">
        <f t="shared" si="1"/>
        <v>2098972.2799181528</v>
      </c>
      <c r="O23" s="263">
        <f>SUM(C23:N23)</f>
        <v>41738978.746000007</v>
      </c>
      <c r="S23" s="1869"/>
    </row>
    <row r="24" spans="2:19" x14ac:dyDescent="0.35">
      <c r="B24" s="318" t="s">
        <v>261</v>
      </c>
      <c r="C24" s="265">
        <v>6.7272982426619124E-2</v>
      </c>
      <c r="D24" s="265">
        <v>8.4930965174226339E-2</v>
      </c>
      <c r="E24" s="265">
        <v>9.3606376630705201E-2</v>
      </c>
      <c r="F24" s="265">
        <v>8.3944932435213393E-2</v>
      </c>
      <c r="G24" s="265">
        <v>7.4801744673457404E-2</v>
      </c>
      <c r="H24" s="265">
        <v>8.438313422938408E-2</v>
      </c>
      <c r="I24" s="265">
        <v>9.1953544476881643E-2</v>
      </c>
      <c r="J24" s="265">
        <v>0.10320084822939216</v>
      </c>
      <c r="K24" s="265">
        <v>8.4052579458194027E-2</v>
      </c>
      <c r="L24" s="265">
        <v>9.0002367126845978E-2</v>
      </c>
      <c r="M24" s="265">
        <v>6.8104106056796912E-2</v>
      </c>
      <c r="N24" s="265">
        <v>7.3746419082283743E-2</v>
      </c>
      <c r="O24" s="266"/>
    </row>
    <row r="25" spans="2:19" x14ac:dyDescent="0.35">
      <c r="B25" s="318" t="s">
        <v>262</v>
      </c>
      <c r="C25" s="265">
        <v>6.3928943207377339E-2</v>
      </c>
      <c r="D25" s="265">
        <v>6.1590821024178781E-2</v>
      </c>
      <c r="E25" s="265">
        <v>9.0199833312397545E-2</v>
      </c>
      <c r="F25" s="265">
        <v>9.3207991493050896E-2</v>
      </c>
      <c r="G25" s="265">
        <v>0.11981594174380839</v>
      </c>
      <c r="H25" s="265">
        <v>4.9477924360568977E-2</v>
      </c>
      <c r="I25" s="265">
        <v>0.12864797040236164</v>
      </c>
      <c r="J25" s="265">
        <v>3.3763920786720948E-2</v>
      </c>
      <c r="K25" s="265">
        <v>7.4172761038424795E-2</v>
      </c>
      <c r="L25" s="265">
        <v>9.7508556444701328E-2</v>
      </c>
      <c r="M25" s="265">
        <v>0.13179824688788896</v>
      </c>
      <c r="N25" s="265">
        <v>5.5887089298520383E-2</v>
      </c>
      <c r="O25" s="266"/>
    </row>
    <row r="26" spans="2:19" ht="15" thickBot="1" x14ac:dyDescent="0.4">
      <c r="B26" s="318" t="s">
        <v>293</v>
      </c>
      <c r="C26" s="265">
        <v>6.3928943207377339E-2</v>
      </c>
      <c r="D26" s="265">
        <v>6.1590821024178781E-2</v>
      </c>
      <c r="E26" s="265">
        <v>9.0199833312397545E-2</v>
      </c>
      <c r="F26" s="265">
        <v>9.3207991493050896E-2</v>
      </c>
      <c r="G26" s="265">
        <v>0.11981594174380839</v>
      </c>
      <c r="H26" s="265">
        <v>4.9477924360568977E-2</v>
      </c>
      <c r="I26" s="265">
        <v>0.12864797040236164</v>
      </c>
      <c r="J26" s="265">
        <v>3.3763920786720948E-2</v>
      </c>
      <c r="K26" s="265">
        <v>7.4172761038424795E-2</v>
      </c>
      <c r="L26" s="265">
        <v>9.7508556444701328E-2</v>
      </c>
      <c r="M26" s="265">
        <v>0.13179824688788896</v>
      </c>
      <c r="N26" s="265">
        <v>5.5887089298520383E-2</v>
      </c>
    </row>
    <row r="27" spans="2:19" ht="29" x14ac:dyDescent="0.35">
      <c r="B27" s="568" t="s">
        <v>263</v>
      </c>
      <c r="C27" s="569" t="s">
        <v>243</v>
      </c>
      <c r="D27" s="569" t="s">
        <v>244</v>
      </c>
      <c r="E27" s="569" t="s">
        <v>245</v>
      </c>
      <c r="F27" s="569" t="s">
        <v>246</v>
      </c>
      <c r="G27" s="569" t="s">
        <v>247</v>
      </c>
      <c r="H27" s="569" t="s">
        <v>248</v>
      </c>
      <c r="I27" s="569" t="s">
        <v>197</v>
      </c>
      <c r="J27" s="570" t="s">
        <v>249</v>
      </c>
      <c r="K27" s="569" t="s">
        <v>250</v>
      </c>
      <c r="L27" s="569" t="s">
        <v>251</v>
      </c>
      <c r="M27" s="569" t="s">
        <v>252</v>
      </c>
      <c r="N27" s="569" t="s">
        <v>253</v>
      </c>
      <c r="O27" s="571" t="s">
        <v>343</v>
      </c>
      <c r="P27" s="305"/>
      <c r="Q27" s="319" t="s">
        <v>344</v>
      </c>
    </row>
    <row r="28" spans="2:19" x14ac:dyDescent="0.35">
      <c r="B28" s="572" t="s">
        <v>255</v>
      </c>
      <c r="C28" s="559">
        <f>'A) Resumen Ingresos y Egresos'!$E$10*C35</f>
        <v>17001900.33809888</v>
      </c>
      <c r="D28" s="559">
        <f>'A) Resumen Ingresos y Egresos'!$E$10*D35</f>
        <v>30670248.196731754</v>
      </c>
      <c r="E28" s="559">
        <f>'A) Resumen Ingresos y Egresos'!$E$10*E35</f>
        <v>20850296.157996997</v>
      </c>
      <c r="F28" s="559">
        <f>'A) Resumen Ingresos y Egresos'!$E$10*F35</f>
        <v>12658559.776155746</v>
      </c>
      <c r="G28" s="559">
        <f>'A) Resumen Ingresos y Egresos'!$E$10*G35</f>
        <v>12000355.367195874</v>
      </c>
      <c r="H28" s="559">
        <f>'A) Resumen Ingresos y Egresos'!$E$10*H35</f>
        <v>7258384.9808259252</v>
      </c>
      <c r="I28" s="559">
        <f>'A) Resumen Ingresos y Egresos'!$E$10*I35</f>
        <v>12988316.704669515</v>
      </c>
      <c r="J28" s="559">
        <f>'A) Resumen Ingresos y Egresos'!$E$10*J35</f>
        <v>13378828.264341898</v>
      </c>
      <c r="K28" s="559">
        <f>'A) Resumen Ingresos y Egresos'!$E$10*K35</f>
        <v>12576871.205494326</v>
      </c>
      <c r="L28" s="559">
        <f>'A) Resumen Ingresos y Egresos'!$E$10*L35</f>
        <v>10899316.297247402</v>
      </c>
      <c r="M28" s="559">
        <f>'A) Resumen Ingresos y Egresos'!$E$10*M35</f>
        <v>10946194.851334907</v>
      </c>
      <c r="N28" s="559">
        <f>'A) Resumen Ingresos y Egresos'!$E$10*N35</f>
        <v>20941327.859906774</v>
      </c>
      <c r="O28" s="573">
        <f>SUM(C28:N28)</f>
        <v>182170599.99999997</v>
      </c>
      <c r="P28" s="305">
        <f>IF(Q28=12,C28+D28+E28+F28+G28+H28+I28+J28+K28+L28+M28+N28,IF(Q28=11,C28+D28+E28+F28+G28+H28+I28+J28+K28+L28+M28,IF(Q28=10,C28+D28+E28+F28+G28+H28+I28+J28+K28+L28,IF(Q28=9,C28+D28+E28+F28+G28+H28+I28+J28+K28,IF(Q28=8,C28+D28+E28+F28+G28+H28+I28+J28,IF(Q28=7,C28+D28+E28+F28+G28+H28+I28,IF(Q28=6,C28+D28+E28+F28+G28+H28,IF(Q28=5,C28+D28+E28+F28+G28,0))))))))</f>
        <v>182170599.99999997</v>
      </c>
      <c r="Q28" s="320">
        <f>COUNTA(#REF!,#REF!,#REF!,#REF!,#REF!,#REF!,#REF!,#REF!,#REF!,#REF!,#REF!,#REF!)</f>
        <v>12</v>
      </c>
    </row>
    <row r="29" spans="2:19" x14ac:dyDescent="0.35">
      <c r="B29" s="572" t="s">
        <v>256</v>
      </c>
      <c r="C29" s="559">
        <f>(SUM('F) Remuneraciones'!$L$36:$L$46)-SUM('F) Remuneraciones'!$I$36:$J$46))/12</f>
        <v>6790640.9450000003</v>
      </c>
      <c r="D29" s="559">
        <f>(SUM('F) Remuneraciones'!$L$36:$L$46)-SUM('F) Remuneraciones'!$I$36:$J$46))/12</f>
        <v>6790640.9450000003</v>
      </c>
      <c r="E29" s="559">
        <f>(SUM('F) Remuneraciones'!$L$36:$L$46)-SUM('F) Remuneraciones'!$I$36:$J$46))/12</f>
        <v>6790640.9450000003</v>
      </c>
      <c r="F29" s="559">
        <f>(SUM('F) Remuneraciones'!$L$36:$L$46)-SUM('F) Remuneraciones'!$I$36:$J$46))/12</f>
        <v>6790640.9450000003</v>
      </c>
      <c r="G29" s="559">
        <f>(SUM('F) Remuneraciones'!$L$36:$L$46)-SUM('F) Remuneraciones'!$I$36:$J$46))/12</f>
        <v>6790640.9450000003</v>
      </c>
      <c r="H29" s="559">
        <f>(SUM('F) Remuneraciones'!$L$36:$L$46)-SUM('F) Remuneraciones'!$I$36:$J$46))/12</f>
        <v>6790640.9450000003</v>
      </c>
      <c r="I29" s="559">
        <f>(SUM('F) Remuneraciones'!$L$36:$L$46)-SUM('F) Remuneraciones'!$I$36:$J$46))/12</f>
        <v>6790640.9450000003</v>
      </c>
      <c r="J29" s="559">
        <f>(SUM('F) Remuneraciones'!$L$36:$L$46)-SUM('F) Remuneraciones'!$I$36:$J$46))/12</f>
        <v>6790640.9450000003</v>
      </c>
      <c r="K29" s="559">
        <f>(SUM('F) Remuneraciones'!$L$36:$L$46)-SUM('F) Remuneraciones'!$I$36:$J$46))/12</f>
        <v>6790640.9450000003</v>
      </c>
      <c r="L29" s="559">
        <f>(SUM('F) Remuneraciones'!$L$36:$L$46)-SUM('F) Remuneraciones'!$I$36:$J$46))/12</f>
        <v>6790640.9450000003</v>
      </c>
      <c r="M29" s="559">
        <f>(SUM('F) Remuneraciones'!$L$36:$L$46)-SUM('F) Remuneraciones'!$I$36:$J$46))/12</f>
        <v>6790640.9450000003</v>
      </c>
      <c r="N29" s="559">
        <f>(SUM('F) Remuneraciones'!$L$36:$L$46)-SUM('F) Remuneraciones'!$I$36:$J$46))/12</f>
        <v>6790640.9450000003</v>
      </c>
      <c r="O29" s="573">
        <f t="shared" ref="O29:O34" si="2">SUM(C29:N29)</f>
        <v>81487691.340000004</v>
      </c>
      <c r="P29" s="554">
        <f>IF(Q29=12,C29+D29+E29+F29+G29+H29+I29+J29+K29+L29+M29+N29,IF(Q29=11,C29+D29+E29+F29+G29+H29+I29+J29+K29+L29+M29,IF(Q29=10,C29+D29+E29+F29+G29+H29+I29+J29+K29+L29,IF(Q29=9,C29+D29+E29+F29+G29+H29+I29+J29+K29,IF(Q29=8,C29+D29+E29+F29+G29+H29+I29+J29,IF(Q29=7,C29+D29+E29+F29+G29+H29+I29,IF(Q29=6,C29+D29+E29+F29+G29+H29,IF(Q29=5,C29+D29+E29+F29+G29,0))))))))</f>
        <v>81487691.340000004</v>
      </c>
      <c r="Q29" s="3209">
        <f>COUNTA(#REF!,#REF!,#REF!,#REF!,#REF!,#REF!,#REF!,#REF!,#REF!,#REF!,#REF!,#REF!)</f>
        <v>12</v>
      </c>
    </row>
    <row r="30" spans="2:19" x14ac:dyDescent="0.35">
      <c r="B30" s="572" t="s">
        <v>257</v>
      </c>
      <c r="C30" s="559">
        <f>SUM('F) Remuneraciones'!$L47:$L57)/4</f>
        <v>0</v>
      </c>
      <c r="D30" s="559">
        <f>SUM('F) Remuneraciones'!$L47:$L57)/4</f>
        <v>0</v>
      </c>
      <c r="E30" s="559">
        <f>SUM('F) Remuneraciones'!$L47:$L57)/4</f>
        <v>0</v>
      </c>
      <c r="F30" s="559">
        <v>0</v>
      </c>
      <c r="G30" s="559">
        <v>0</v>
      </c>
      <c r="H30" s="559">
        <v>0</v>
      </c>
      <c r="I30" s="559">
        <v>0</v>
      </c>
      <c r="J30" s="559">
        <v>0</v>
      </c>
      <c r="K30" s="559">
        <v>0</v>
      </c>
      <c r="L30" s="559">
        <v>0</v>
      </c>
      <c r="M30" s="559">
        <v>0</v>
      </c>
      <c r="N30" s="559">
        <f>SUM('F) Remuneraciones'!$L47:$L57)/4</f>
        <v>0</v>
      </c>
      <c r="O30" s="573">
        <f t="shared" si="2"/>
        <v>0</v>
      </c>
      <c r="P30" s="554">
        <f>IF(Q29=12,C30+D30+E30+F30+G30+H30+I30+J30+K30+L30+M30+N30,IF(Q29=11,C30+D30+E30+F30+G30+H30+I30+J30+K30+L30+M30,IF(Q29=10,C30+D30+E30+F30+G30+H30+I30+J30+K30+L30,IF(Q29=9,C30+D30+E30+F30+G30+H30+I30+J30+K30,IF(Q29=8,C30+D30+E30+F30+G30+H30+I30+J30,IF(Q29=7,C30+D30+E30+F30+G30+H30+I30,IF(Q29=6,C30+D30+E30+F30+G30+H30,IF(Q29=5,C30+D30+E30+F30+G30,0))))))))</f>
        <v>0</v>
      </c>
      <c r="Q30" s="3209"/>
    </row>
    <row r="31" spans="2:19" x14ac:dyDescent="0.35">
      <c r="B31" s="572" t="s">
        <v>258</v>
      </c>
      <c r="C31" s="559">
        <f>SUM('F) Remuneraciones'!J36:J46)/2</f>
        <v>1666000.5</v>
      </c>
      <c r="D31" s="559">
        <v>0</v>
      </c>
      <c r="E31" s="559">
        <v>0</v>
      </c>
      <c r="F31" s="559">
        <v>0</v>
      </c>
      <c r="G31" s="559">
        <v>0</v>
      </c>
      <c r="H31" s="559">
        <v>0</v>
      </c>
      <c r="I31" s="559">
        <v>0</v>
      </c>
      <c r="J31" s="559">
        <v>0</v>
      </c>
      <c r="K31" s="559">
        <f>SUM('F) Remuneraciones'!I36:I46)/2</f>
        <v>782952</v>
      </c>
      <c r="L31" s="559">
        <v>0</v>
      </c>
      <c r="M31" s="559">
        <v>0</v>
      </c>
      <c r="N31" s="559">
        <f>C31+K31</f>
        <v>2448952.5</v>
      </c>
      <c r="O31" s="573">
        <f>SUM(C31:N31)</f>
        <v>4897905</v>
      </c>
      <c r="P31" s="305">
        <f>IF(Q31=12,C31+D31+E31+F31+G31+H31+I31+J31+K31+L31+M31+N31,IF(Q31=11,C31+D31+E31+F31+G31+H31+I31+J31+K31+L31+M31,IF(Q31=10,C31+D31+E31+F31+G31+H31+I31+J31+K31+L31,IF(Q31=9,C31+D31+E31+F31+G31+H31+I31+J31+K31,IF(Q31=8,C31+D31+E31+F31+G31+H31+I31+J31,IF(Q31=7,C31+D31+E31+F31+G31+H31+I31,IF(Q31=6,C31+D31+E31+F31+G31+H31,IF(Q31=5,C31+D31+E31+F31+G31,0))))))))</f>
        <v>4897905</v>
      </c>
      <c r="Q31" s="320">
        <f>COUNTA(#REF!,#REF!,#REF!,#REF!,#REF!,#REF!,#REF!,#REF!,#REF!,#REF!,#REF!,#REF!)</f>
        <v>12</v>
      </c>
    </row>
    <row r="32" spans="2:19" x14ac:dyDescent="0.35">
      <c r="B32" s="572" t="s">
        <v>259</v>
      </c>
      <c r="C32" s="559">
        <f>('C) Costos Directos'!$H$83-'C) Costos Directos'!$H$84)*C36</f>
        <v>6085407.4434001194</v>
      </c>
      <c r="D32" s="559">
        <f>('C) Costos Directos'!$H$83-'C) Costos Directos'!$H$84)*D36</f>
        <v>4539735.9689755924</v>
      </c>
      <c r="E32" s="559">
        <f>('C) Costos Directos'!$H$83-'C) Costos Directos'!$H$84)*E36</f>
        <v>6834456.8276683353</v>
      </c>
      <c r="F32" s="559">
        <f>('C) Costos Directos'!$H$83-'C) Costos Directos'!$H$84)*F36</f>
        <v>6494368.6997835422</v>
      </c>
      <c r="G32" s="559">
        <f>('C) Costos Directos'!$H$83-'C) Costos Directos'!$H$84)*G36</f>
        <v>3634168.6963009131</v>
      </c>
      <c r="H32" s="559">
        <f>('C) Costos Directos'!$H$83-'C) Costos Directos'!$H$84)*H36</f>
        <v>3333145.3920421079</v>
      </c>
      <c r="I32" s="559">
        <f>('C) Costos Directos'!$H$83-'C) Costos Directos'!$H$84)*I36</f>
        <v>5206845.3748427071</v>
      </c>
      <c r="J32" s="559">
        <f>('C) Costos Directos'!$H$83-'C) Costos Directos'!$H$84)*J36</f>
        <v>1997017.8429943302</v>
      </c>
      <c r="K32" s="559">
        <f>('C) Costos Directos'!$H$83-'C) Costos Directos'!$H$84)*K36</f>
        <v>2944150.1565844496</v>
      </c>
      <c r="L32" s="559">
        <f>('C) Costos Directos'!$H$83-'C) Costos Directos'!$H$84)*L36</f>
        <v>4540304.5898219924</v>
      </c>
      <c r="M32" s="559">
        <f>('C) Costos Directos'!$H$83-'C) Costos Directos'!$H$84)*M36</f>
        <v>5676197.5939833457</v>
      </c>
      <c r="N32" s="559">
        <f>('C) Costos Directos'!$H$83-'C) Costos Directos'!$H$84)*N36</f>
        <v>1117591.4136025652</v>
      </c>
      <c r="O32" s="573">
        <f t="shared" si="2"/>
        <v>52403390.000000007</v>
      </c>
      <c r="P32" s="305">
        <f>IF(Q32=12,C32+D32+E32+F32+G32+H32+I32+J32+K32+L32+M32+N32,IF(Q32=11,C32+D32+E32+F32+G32+H32+I32+J32+K32+L32+M32,IF(Q32=10,C32+D32+E32+F32+G32+H32+I32+J32+K32+L32,IF(Q32=9,C32+D32+E32+F32+G32+H32+I32+J32+K32,IF(Q32=8,C32+D32+E32+F32+G32+H32+I32+J32,IF(Q32=7,C32+D32+E32+F32+G32+H32+I32,IF(Q32=6,C32+D32+E32+F32+G32+H32,IF(Q32=5,C32+D32+E32+F32+G32,0))))))))</f>
        <v>52403390.000000007</v>
      </c>
      <c r="Q32" s="320">
        <f>COUNTA(#REF!,#REF!,#REF!,#REF!,#REF!,#REF!,#REF!,#REF!,#REF!,#REF!,#REF!,#REF!)</f>
        <v>12</v>
      </c>
    </row>
    <row r="33" spans="2:19" ht="15" thickBot="1" x14ac:dyDescent="0.4">
      <c r="B33" s="572" t="s">
        <v>292</v>
      </c>
      <c r="C33" s="559">
        <f>'C) Costos Directos'!$H$111*C37</f>
        <v>1995291.694033687</v>
      </c>
      <c r="D33" s="559">
        <f>'C) Costos Directos'!$H$111*D37</f>
        <v>1488494.8224505261</v>
      </c>
      <c r="E33" s="559">
        <f>'C) Costos Directos'!$H$111*E37</f>
        <v>2240891.027973495</v>
      </c>
      <c r="F33" s="559">
        <f>'C) Costos Directos'!$H$111*F37</f>
        <v>2129382.4686667654</v>
      </c>
      <c r="G33" s="559">
        <f>'C) Costos Directos'!$H$111*G37</f>
        <v>1191576.1897439924</v>
      </c>
      <c r="H33" s="559">
        <f>'C) Costos Directos'!$H$111*H37</f>
        <v>1092876.2580985646</v>
      </c>
      <c r="I33" s="559">
        <f>'C) Costos Directos'!$H$111*I37</f>
        <v>1707227.5644926408</v>
      </c>
      <c r="J33" s="559">
        <f>'C) Costos Directos'!$H$111*J37</f>
        <v>654784.93462013942</v>
      </c>
      <c r="K33" s="559">
        <f>'C) Costos Directos'!$H$111*K37</f>
        <v>965331.9696435458</v>
      </c>
      <c r="L33" s="559">
        <f>'C) Costos Directos'!$H$111*L37</f>
        <v>1488681.2626293357</v>
      </c>
      <c r="M33" s="559">
        <f>'C) Costos Directos'!$H$111*M37</f>
        <v>1861119.4103777115</v>
      </c>
      <c r="N33" s="559">
        <f>'C) Costos Directos'!$H$111*N37</f>
        <v>366437.39726959582</v>
      </c>
      <c r="O33" s="578">
        <f t="shared" si="2"/>
        <v>17182095</v>
      </c>
      <c r="P33" s="305">
        <f>IF(Q33=12,C33+D33+E33+F33+G33+H33+I33+J33+K33+L33+M33+N33,IF(Q33=11,C33+D33+E33+F33+G33+H33+I33+J33+K33+L33+M33,IF(Q33=10,C33+D33+E33+F33+G33+H33+I33+J33+K33+L33,IF(Q33=9,C33+D33+E33+F33+G33+H33+I33+J33+K33,IF(Q33=8,C33+D33+E33+F33+G33+H33+I33+J33,IF(Q33=7,C33+D33+E33+F33+G33+H33+I33,IF(Q33=6,C33+D33+E33+F33+G33+H33,IF(Q33=5,C33+D33+E33+F33+G33,0))))))))</f>
        <v>17182095</v>
      </c>
      <c r="Q33" s="320">
        <f>COUNTA(#REF!,#REF!,#REF!,#REF!,#REF!,#REF!,#REF!,#REF!,#REF!,#REF!,#REF!,#REF!)</f>
        <v>12</v>
      </c>
    </row>
    <row r="34" spans="2:19" ht="15" thickBot="1" x14ac:dyDescent="0.4">
      <c r="B34" s="577" t="s">
        <v>260</v>
      </c>
      <c r="C34" s="566">
        <f>C28-(C29+C30+C31+C32+C33)</f>
        <v>464559.75566507503</v>
      </c>
      <c r="D34" s="566">
        <f t="shared" ref="D34:N34" si="3">D28-(D29+D30+D31+D32+D33)</f>
        <v>17851376.460305635</v>
      </c>
      <c r="E34" s="566">
        <f t="shared" si="3"/>
        <v>4984307.3573551662</v>
      </c>
      <c r="F34" s="566">
        <f t="shared" si="3"/>
        <v>-2755832.3372945618</v>
      </c>
      <c r="G34" s="566">
        <f t="shared" si="3"/>
        <v>383969.53615096956</v>
      </c>
      <c r="H34" s="566">
        <f t="shared" si="3"/>
        <v>-3958277.614314748</v>
      </c>
      <c r="I34" s="566">
        <f t="shared" si="3"/>
        <v>-716397.17966583371</v>
      </c>
      <c r="J34" s="566">
        <f t="shared" si="3"/>
        <v>3936384.5417274274</v>
      </c>
      <c r="K34" s="566">
        <f t="shared" si="3"/>
        <v>1093796.1342663299</v>
      </c>
      <c r="L34" s="566">
        <f t="shared" si="3"/>
        <v>-1920310.5002039261</v>
      </c>
      <c r="M34" s="566">
        <f t="shared" si="3"/>
        <v>-3381763.098026149</v>
      </c>
      <c r="N34" s="567">
        <f t="shared" si="3"/>
        <v>10217705.604034614</v>
      </c>
      <c r="O34" s="263">
        <f t="shared" si="2"/>
        <v>26199518.659999996</v>
      </c>
      <c r="S34" s="1869"/>
    </row>
    <row r="35" spans="2:19" x14ac:dyDescent="0.35">
      <c r="B35" s="318" t="s">
        <v>261</v>
      </c>
      <c r="C35" s="271">
        <v>9.3329551190471344E-2</v>
      </c>
      <c r="D35" s="271">
        <v>0.1683600328303895</v>
      </c>
      <c r="E35" s="271">
        <v>0.11445478116664817</v>
      </c>
      <c r="F35" s="271">
        <v>6.9487391358187031E-2</v>
      </c>
      <c r="G35" s="271">
        <v>6.5874270421219863E-2</v>
      </c>
      <c r="H35" s="271">
        <v>3.9843887986458437E-2</v>
      </c>
      <c r="I35" s="271">
        <v>7.1297545842575666E-2</v>
      </c>
      <c r="J35" s="271">
        <v>7.3441204367455007E-2</v>
      </c>
      <c r="K35" s="271">
        <v>6.9038973388100638E-2</v>
      </c>
      <c r="L35" s="271">
        <v>5.9830270621315414E-2</v>
      </c>
      <c r="M35" s="271">
        <v>6.0087603879741887E-2</v>
      </c>
      <c r="N35" s="271">
        <v>0.11495448694743704</v>
      </c>
      <c r="O35" s="266"/>
    </row>
    <row r="36" spans="2:19" x14ac:dyDescent="0.35">
      <c r="B36" s="318" t="s">
        <v>262</v>
      </c>
      <c r="C36" s="271">
        <v>0.11612621709015618</v>
      </c>
      <c r="D36" s="271">
        <v>8.6630578078547821E-2</v>
      </c>
      <c r="E36" s="271">
        <v>0.13042012792814234</v>
      </c>
      <c r="F36" s="271">
        <v>0.12393031633609089</v>
      </c>
      <c r="G36" s="271">
        <v>6.9349877866697426E-2</v>
      </c>
      <c r="H36" s="271">
        <v>6.3605529948388986E-2</v>
      </c>
      <c r="I36" s="271">
        <v>9.93608500297921E-2</v>
      </c>
      <c r="J36" s="271">
        <v>3.8108562117724259E-2</v>
      </c>
      <c r="K36" s="271">
        <v>5.6182436987081363E-2</v>
      </c>
      <c r="L36" s="271">
        <v>8.6641428919426638E-2</v>
      </c>
      <c r="M36" s="271">
        <v>0.10831737400926439</v>
      </c>
      <c r="N36" s="271">
        <v>2.1326700688687604E-2</v>
      </c>
      <c r="O36" s="266"/>
    </row>
    <row r="37" spans="2:19" ht="15" thickBot="1" x14ac:dyDescent="0.4">
      <c r="B37" s="318" t="s">
        <v>293</v>
      </c>
      <c r="C37" s="271">
        <v>0.11612621709015618</v>
      </c>
      <c r="D37" s="271">
        <v>8.6630578078547821E-2</v>
      </c>
      <c r="E37" s="271">
        <v>0.13042012792814234</v>
      </c>
      <c r="F37" s="271">
        <v>0.12393031633609089</v>
      </c>
      <c r="G37" s="271">
        <v>6.9349877866697426E-2</v>
      </c>
      <c r="H37" s="271">
        <v>6.3605529948388986E-2</v>
      </c>
      <c r="I37" s="271">
        <v>9.93608500297921E-2</v>
      </c>
      <c r="J37" s="271">
        <v>3.8108562117724259E-2</v>
      </c>
      <c r="K37" s="271">
        <v>5.6182436987081363E-2</v>
      </c>
      <c r="L37" s="271">
        <v>8.6641428919426638E-2</v>
      </c>
      <c r="M37" s="271">
        <v>0.10831737400926439</v>
      </c>
      <c r="N37" s="271">
        <v>2.1326700688687604E-2</v>
      </c>
    </row>
    <row r="38" spans="2:19" ht="29" x14ac:dyDescent="0.35">
      <c r="B38" s="568" t="s">
        <v>264</v>
      </c>
      <c r="C38" s="569" t="s">
        <v>243</v>
      </c>
      <c r="D38" s="569" t="s">
        <v>244</v>
      </c>
      <c r="E38" s="569" t="s">
        <v>245</v>
      </c>
      <c r="F38" s="569" t="s">
        <v>246</v>
      </c>
      <c r="G38" s="569" t="s">
        <v>247</v>
      </c>
      <c r="H38" s="569" t="s">
        <v>248</v>
      </c>
      <c r="I38" s="569" t="s">
        <v>197</v>
      </c>
      <c r="J38" s="570" t="s">
        <v>249</v>
      </c>
      <c r="K38" s="569" t="s">
        <v>250</v>
      </c>
      <c r="L38" s="569" t="s">
        <v>251</v>
      </c>
      <c r="M38" s="569" t="s">
        <v>252</v>
      </c>
      <c r="N38" s="569" t="s">
        <v>253</v>
      </c>
      <c r="O38" s="571" t="s">
        <v>343</v>
      </c>
      <c r="P38" s="305"/>
      <c r="Q38" s="319" t="s">
        <v>344</v>
      </c>
    </row>
    <row r="39" spans="2:19" x14ac:dyDescent="0.35">
      <c r="B39" s="572" t="s">
        <v>255</v>
      </c>
      <c r="C39" s="559">
        <f>'A) Resumen Ingresos y Egresos'!$E$11*C46</f>
        <v>20719974.295523632</v>
      </c>
      <c r="D39" s="559">
        <f>'A) Resumen Ingresos y Egresos'!$E$11*D46</f>
        <v>33860683.178333402</v>
      </c>
      <c r="E39" s="559">
        <f>'A) Resumen Ingresos y Egresos'!$E$11*E46</f>
        <v>11570725.554083863</v>
      </c>
      <c r="F39" s="559">
        <f>'A) Resumen Ingresos y Egresos'!$E$11*F46</f>
        <v>4488142.0880270889</v>
      </c>
      <c r="G39" s="559">
        <f>'A) Resumen Ingresos y Egresos'!$E$11*G46</f>
        <v>1521841.5403297932</v>
      </c>
      <c r="H39" s="559">
        <f>'A) Resumen Ingresos y Egresos'!$E$11*H46</f>
        <v>1262502.582061484</v>
      </c>
      <c r="I39" s="559">
        <f>'A) Resumen Ingresos y Egresos'!$E$11*I46</f>
        <v>2500225.9498674162</v>
      </c>
      <c r="J39" s="559">
        <f>'A) Resumen Ingresos y Egresos'!$E$11*J46</f>
        <v>3642327.6735323356</v>
      </c>
      <c r="K39" s="559">
        <f>'A) Resumen Ingresos y Egresos'!$E$11*K46</f>
        <v>5039922.8916067136</v>
      </c>
      <c r="L39" s="559">
        <f>'A) Resumen Ingresos y Egresos'!$E$11*L46</f>
        <v>4283205.6543805031</v>
      </c>
      <c r="M39" s="559">
        <f>'A) Resumen Ingresos y Egresos'!$E$11*M46</f>
        <v>4950198.181336537</v>
      </c>
      <c r="N39" s="559">
        <f>'A) Resumen Ingresos y Egresos'!$E$11*N46</f>
        <v>13469050.410917226</v>
      </c>
      <c r="O39" s="573">
        <f>SUM(C39:N39)</f>
        <v>107308799.99999999</v>
      </c>
      <c r="P39" s="305">
        <f>IF(Q39=12,C39+D39+E39+F39+G39+H39+I39+J39+K39+L39+M39+N39,IF(Q39=11,C39+D39+E39+F39+G39+H39+I39+J39+K39+L39+M39,IF(Q39=10,C39+D39+E39+F39+G39+H39+I39+J39+K39+L39,IF(Q39=9,C39+D39+E39+F39+G39+H39+I39+J39+K39,IF(Q39=8,C39+D39+E39+F39+G39+H39+I39+J39,IF(Q39=7,C39+D39+E39+F39+G39+H39+I39,IF(Q39=6,C39+D39+E39+F39+G39+H39,IF(Q39=5,C39+D39+E39+F39+G39,0))))))))</f>
        <v>107308799.99999999</v>
      </c>
      <c r="Q39" s="320">
        <f>COUNTA(#REF!,#REF!,#REF!,#REF!,#REF!,#REF!,#REF!,#REF!,#REF!,#REF!,#REF!,#REF!)</f>
        <v>12</v>
      </c>
    </row>
    <row r="40" spans="2:19" x14ac:dyDescent="0.35">
      <c r="B40" s="572" t="s">
        <v>256</v>
      </c>
      <c r="C40" s="559">
        <f>(SUM('F) Remuneraciones'!$L$58:$L$68)-SUM('F) Remuneraciones'!$I$58:$J$68))/12</f>
        <v>1729411.2549999999</v>
      </c>
      <c r="D40" s="559">
        <f>(SUM('F) Remuneraciones'!$L$58:$L$68)-SUM('F) Remuneraciones'!$I$58:$J$68))/12</f>
        <v>1729411.2549999999</v>
      </c>
      <c r="E40" s="559">
        <f>(SUM('F) Remuneraciones'!$L$58:$L$68)-SUM('F) Remuneraciones'!$I$58:$J$68))/12</f>
        <v>1729411.2549999999</v>
      </c>
      <c r="F40" s="559">
        <f>(SUM('F) Remuneraciones'!$L$58:$L$68)-SUM('F) Remuneraciones'!$I$58:$J$68))/12</f>
        <v>1729411.2549999999</v>
      </c>
      <c r="G40" s="559">
        <f>(SUM('F) Remuneraciones'!$L$58:$L$68)-SUM('F) Remuneraciones'!$I$58:$J$68))/12</f>
        <v>1729411.2549999999</v>
      </c>
      <c r="H40" s="559">
        <f>(SUM('F) Remuneraciones'!$L$58:$L$68)-SUM('F) Remuneraciones'!$I$58:$J$68))/12</f>
        <v>1729411.2549999999</v>
      </c>
      <c r="I40" s="559">
        <f>(SUM('F) Remuneraciones'!$L$58:$L$68)-SUM('F) Remuneraciones'!$I$58:$J$68))/12</f>
        <v>1729411.2549999999</v>
      </c>
      <c r="J40" s="559">
        <f>(SUM('F) Remuneraciones'!$L$58:$L$68)-SUM('F) Remuneraciones'!$I$58:$J$68))/12</f>
        <v>1729411.2549999999</v>
      </c>
      <c r="K40" s="559">
        <f>(SUM('F) Remuneraciones'!$L$58:$L$68)-SUM('F) Remuneraciones'!$I$58:$J$68))/12</f>
        <v>1729411.2549999999</v>
      </c>
      <c r="L40" s="559">
        <f>(SUM('F) Remuneraciones'!$L$58:$L$68)-SUM('F) Remuneraciones'!$I$58:$J$68))/12</f>
        <v>1729411.2549999999</v>
      </c>
      <c r="M40" s="559">
        <f>(SUM('F) Remuneraciones'!$L$58:$L$68)-SUM('F) Remuneraciones'!$I$58:$J$68))/12</f>
        <v>1729411.2549999999</v>
      </c>
      <c r="N40" s="559">
        <f>(SUM('F) Remuneraciones'!$L$58:$L$68)-SUM('F) Remuneraciones'!$I$58:$J$68))/12</f>
        <v>1729411.2549999999</v>
      </c>
      <c r="O40" s="573">
        <f>SUM(C40:N40)</f>
        <v>20752935.059999991</v>
      </c>
      <c r="P40" s="554">
        <f>IF(Q40=12,C40+D40+E40+F40+G40+H40+I40+J40+K40+L40+M40+N40,IF(Q40=11,C40+D40+E40+F40+G40+H40+I40+J40+K40+L40+M40,IF(Q40=10,C40+D40+E40+F40+G40+H40+I40+J40+K40+L40,IF(Q40=9,C40+D40+E40+F40+G40+H40+I40+J40+K40,IF(Q40=8,C40+D40+E40+F40+G40+H40+I40+J40,IF(Q40=7,C40+D40+E40+F40+G40+H40+I40,IF(Q40=6,C40+D40+E40+F40+G40+H40,IF(Q40=5,C40+D40+E40+F40+G40,0))))))))</f>
        <v>20752935.059999991</v>
      </c>
      <c r="Q40" s="3209">
        <f>COUNTA(#REF!,#REF!,#REF!,#REF!,#REF!,#REF!,#REF!,#REF!,#REF!,#REF!,#REF!,#REF!)</f>
        <v>12</v>
      </c>
    </row>
    <row r="41" spans="2:19" x14ac:dyDescent="0.35">
      <c r="B41" s="572" t="s">
        <v>257</v>
      </c>
      <c r="C41" s="559">
        <f>SUM('F) Remuneraciones'!$L$69:$L$79)/4</f>
        <v>4860099.595548491</v>
      </c>
      <c r="D41" s="559">
        <f>SUM('F) Remuneraciones'!$L$69:$L$79)/4</f>
        <v>4860099.595548491</v>
      </c>
      <c r="E41" s="559">
        <f>SUM('F) Remuneraciones'!$L$69:$L$79)/4</f>
        <v>4860099.595548491</v>
      </c>
      <c r="F41" s="559">
        <v>0</v>
      </c>
      <c r="G41" s="559">
        <v>0</v>
      </c>
      <c r="H41" s="559">
        <v>0</v>
      </c>
      <c r="I41" s="559">
        <v>0</v>
      </c>
      <c r="J41" s="559">
        <v>0</v>
      </c>
      <c r="K41" s="559">
        <v>0</v>
      </c>
      <c r="L41" s="559">
        <v>0</v>
      </c>
      <c r="M41" s="559">
        <v>0</v>
      </c>
      <c r="N41" s="559">
        <f>SUM('F) Remuneraciones'!$L$69:$L$79)/4</f>
        <v>4860099.595548491</v>
      </c>
      <c r="O41" s="573">
        <f t="shared" ref="O41:O45" si="4">SUM(C41:N41)</f>
        <v>19440398.382193964</v>
      </c>
      <c r="P41" s="554">
        <f>IF(Q40=12,C41+D41+E41+F41+G41+H41+I41+J41+K41+L41+M41+N41,IF(Q40=11,C41+D41+E41+F41+G41+H41+I41+J41+K41+L41+M41,IF(Q40=10,C41+D41+E41+F41+G41+H41+I41+J41+K41+L41,IF(Q40=9,C41+D41+E41+F41+G41+H41+I41+J41+K41,IF(Q40=8,C41+D41+E41+F41+G41+H41+I41+J41,IF(Q40=7,C41+D41+E41+F41+G41+H41+I41,IF(Q40=6,C41+D41+E41+F41+G41+H41,IF(Q40=5,C41+D41+E41+F41+G41,0))))))))</f>
        <v>19440398.382193964</v>
      </c>
      <c r="Q41" s="3209"/>
    </row>
    <row r="42" spans="2:19" x14ac:dyDescent="0.35">
      <c r="B42" s="572" t="s">
        <v>258</v>
      </c>
      <c r="C42" s="559">
        <f>SUM('F) Remuneraciones'!I58:I68)/2</f>
        <v>174472</v>
      </c>
      <c r="D42" s="559">
        <v>0</v>
      </c>
      <c r="E42" s="559">
        <v>0</v>
      </c>
      <c r="F42" s="559">
        <v>0</v>
      </c>
      <c r="G42" s="559">
        <v>0</v>
      </c>
      <c r="H42" s="559">
        <v>0</v>
      </c>
      <c r="I42" s="559">
        <v>0</v>
      </c>
      <c r="J42" s="559">
        <v>0</v>
      </c>
      <c r="K42" s="559">
        <f>SUM('F) Remuneraciones'!J58:J68)/2</f>
        <v>389357</v>
      </c>
      <c r="L42" s="559">
        <v>0</v>
      </c>
      <c r="M42" s="559">
        <v>0</v>
      </c>
      <c r="N42" s="559">
        <f>C42+K42</f>
        <v>563829</v>
      </c>
      <c r="O42" s="573">
        <f t="shared" si="4"/>
        <v>1127658</v>
      </c>
      <c r="P42" s="305">
        <f>IF(Q42=12,C42+D42+E42+F42+G42+H42+I42+J42+K42+L42+M42+N42,IF(Q42=11,C42+D42+E42+F42+G42+H42+I42+J42+K42+L42+M42,IF(Q42=10,C42+D42+E42+F42+G42+H42+I42+J42+K42+L42,IF(Q42=9,C42+D42+E42+F42+G42+H42+I42+J42+K42,IF(Q42=8,C42+D42+E42+F42+G42+H42+I42+J42,IF(Q42=7,C42+D42+E42+F42+G42+H42+I42,IF(Q42=6,C42+D42+E42+F42+G42+H42,IF(Q42=5,C42+D42+E42+F42+G42,0))))))))</f>
        <v>1127658</v>
      </c>
      <c r="Q42" s="320">
        <f>COUNTA(#REF!,#REF!,#REF!,#REF!,#REF!,#REF!,#REF!,#REF!,#REF!,#REF!,#REF!,#REF!)</f>
        <v>12</v>
      </c>
    </row>
    <row r="43" spans="2:19" x14ac:dyDescent="0.35">
      <c r="B43" s="572" t="s">
        <v>259</v>
      </c>
      <c r="C43" s="559">
        <f>('C) Costos Directos'!$H$155-'C) Costos Directos'!$H$156)*C47</f>
        <v>5069075.0037048543</v>
      </c>
      <c r="D43" s="559">
        <f>('C) Costos Directos'!$H$155-'C) Costos Directos'!$H$156)*D47</f>
        <v>3066651.5092426236</v>
      </c>
      <c r="E43" s="559">
        <f>('C) Costos Directos'!$H$155-'C) Costos Directos'!$H$156)*E47</f>
        <v>7114528.3365853541</v>
      </c>
      <c r="F43" s="559">
        <f>('C) Costos Directos'!$H$155-'C) Costos Directos'!$H$156)*F47</f>
        <v>882613.97957989818</v>
      </c>
      <c r="G43" s="559">
        <f>('C) Costos Directos'!$H$155-'C) Costos Directos'!$H$156)*G47</f>
        <v>1507864.6245541566</v>
      </c>
      <c r="H43" s="559">
        <f>('C) Costos Directos'!$H$155-'C) Costos Directos'!$H$156)*H47</f>
        <v>726839.08559560659</v>
      </c>
      <c r="I43" s="559">
        <f>('C) Costos Directos'!$H$155-'C) Costos Directos'!$H$156)*I47</f>
        <v>1622803.9772812147</v>
      </c>
      <c r="J43" s="559">
        <f>('C) Costos Directos'!$H$155-'C) Costos Directos'!$H$156)*J47</f>
        <v>2115187.3448647503</v>
      </c>
      <c r="K43" s="559">
        <f>('C) Costos Directos'!$H$155-'C) Costos Directos'!$H$156)*K47</f>
        <v>1897816.6030994493</v>
      </c>
      <c r="L43" s="559">
        <f>('C) Costos Directos'!$H$155-'C) Costos Directos'!$H$156)*L47</f>
        <v>4864456.5585028306</v>
      </c>
      <c r="M43" s="559">
        <f>('C) Costos Directos'!$H$155-'C) Costos Directos'!$H$156)*M47</f>
        <v>2011272.103485062</v>
      </c>
      <c r="N43" s="559">
        <f>('C) Costos Directos'!$H$155-'C) Costos Directos'!$H$156)*N47</f>
        <v>1156177.5235042071</v>
      </c>
      <c r="O43" s="573">
        <f t="shared" si="4"/>
        <v>32035286.65000001</v>
      </c>
      <c r="P43" s="305">
        <f>IF(Q43=12,C43+D43+E43+F43+G43+H43+I43+J43+K43+L43+M43+N43,IF(Q43=11,C43+D43+E43+F43+G43+H43+I43+J43+K43+L43+M43,IF(Q43=10,C43+D43+E43+F43+G43+H43+I43+J43+K43+L43,IF(Q43=9,C43+D43+E43+F43+G43+H43+I43+J43+K43,IF(Q43=8,C43+D43+E43+F43+G43+H43+I43+J43,IF(Q43=7,C43+D43+E43+F43+G43+H43+I43,IF(Q43=6,C43+D43+E43+F43+G43+H43,IF(Q43=5,C43+D43+E43+F43+G43,0))))))))</f>
        <v>32035286.65000001</v>
      </c>
      <c r="Q43" s="320">
        <f>COUNTA(#REF!,#REF!,#REF!,#REF!,#REF!,#REF!,#REF!,#REF!,#REF!,#REF!,#REF!,#REF!)</f>
        <v>12</v>
      </c>
    </row>
    <row r="44" spans="2:19" ht="15" thickBot="1" x14ac:dyDescent="0.4">
      <c r="B44" s="579" t="s">
        <v>292</v>
      </c>
      <c r="C44" s="562">
        <f>'C) Costos Directos'!$H$183*C48</f>
        <v>2200131.3414972462</v>
      </c>
      <c r="D44" s="562">
        <f>'C) Costos Directos'!$H$183*D48</f>
        <v>1331019.188708649</v>
      </c>
      <c r="E44" s="562">
        <f>'C) Costos Directos'!$H$183*E48</f>
        <v>3087919.7411463456</v>
      </c>
      <c r="F44" s="562">
        <f>'C) Costos Directos'!$H$183*F48</f>
        <v>383081.0705105142</v>
      </c>
      <c r="G44" s="562">
        <f>'C) Costos Directos'!$H$183*G48</f>
        <v>654458.69646669331</v>
      </c>
      <c r="H44" s="562">
        <f>'C) Costos Directos'!$H$183*H48</f>
        <v>315470.07122114446</v>
      </c>
      <c r="I44" s="562">
        <f>'C) Costos Directos'!$H$183*I48</f>
        <v>704345.84000301559</v>
      </c>
      <c r="J44" s="562">
        <f>'C) Costos Directos'!$H$183*J48</f>
        <v>918055.06274300953</v>
      </c>
      <c r="K44" s="562">
        <f>'C) Costos Directos'!$H$183*K48</f>
        <v>823709.60892099922</v>
      </c>
      <c r="L44" s="562">
        <f>'C) Costos Directos'!$H$183*L48</f>
        <v>2111320.7687579636</v>
      </c>
      <c r="M44" s="562">
        <f>'C) Costos Directos'!$H$183*M48</f>
        <v>872952.71581549197</v>
      </c>
      <c r="N44" s="562">
        <f>'C) Costos Directos'!$H$183*N48</f>
        <v>501815.8942089277</v>
      </c>
      <c r="O44" s="578">
        <f t="shared" si="4"/>
        <v>13904280.000000002</v>
      </c>
      <c r="P44" s="305">
        <f>IF(Q44=12,C44+D44+E44+F44+G44+H44+I44+J44+K44+L44+M44+N44,IF(Q44=11,C44+D44+E44+F44+G44+H44+I44+J44+K44+L44+M44,IF(Q44=10,C44+D44+E44+F44+G44+H44+I44+J44+K44+L44,IF(Q44=9,C44+D44+E44+F44+G44+H44+I44+J44+K44,IF(Q44=8,C44+D44+E44+F44+G44+H44+I44+J44,IF(Q44=7,C44+D44+E44+F44+G44+H44+I44,IF(Q44=6,C44+D44+E44+F44+G44+H44,IF(Q44=5,C44+D44+E44+F44+G44,0))))))))</f>
        <v>13904280.000000002</v>
      </c>
      <c r="Q44" s="320">
        <f>COUNTA(#REF!,#REF!,#REF!,#REF!,#REF!,#REF!,#REF!,#REF!,#REF!,#REF!,#REF!,#REF!)</f>
        <v>12</v>
      </c>
    </row>
    <row r="45" spans="2:19" ht="15" thickBot="1" x14ac:dyDescent="0.4">
      <c r="B45" s="564" t="s">
        <v>260</v>
      </c>
      <c r="C45" s="566">
        <f>C39-(C40+C41+C42+C43+C44)</f>
        <v>6686785.0997730419</v>
      </c>
      <c r="D45" s="566">
        <f t="shared" ref="D45:N45" si="5">D39-(D40+D41+D42+D43+D44)</f>
        <v>22873501.629833639</v>
      </c>
      <c r="E45" s="566">
        <f t="shared" si="5"/>
        <v>-5221233.3741963264</v>
      </c>
      <c r="F45" s="566">
        <f t="shared" si="5"/>
        <v>1493035.7829366769</v>
      </c>
      <c r="G45" s="566">
        <f t="shared" si="5"/>
        <v>-2369893.0356910564</v>
      </c>
      <c r="H45" s="566">
        <f t="shared" si="5"/>
        <v>-1509217.8297552671</v>
      </c>
      <c r="I45" s="566">
        <f t="shared" si="5"/>
        <v>-1556335.1224168139</v>
      </c>
      <c r="J45" s="566">
        <f t="shared" si="5"/>
        <v>-1120325.9890754237</v>
      </c>
      <c r="K45" s="566">
        <f t="shared" si="5"/>
        <v>199628.42458626535</v>
      </c>
      <c r="L45" s="566">
        <f t="shared" si="5"/>
        <v>-4421982.9278802918</v>
      </c>
      <c r="M45" s="566">
        <f t="shared" si="5"/>
        <v>336562.10703598335</v>
      </c>
      <c r="N45" s="567">
        <f t="shared" si="5"/>
        <v>4657717.1426555999</v>
      </c>
      <c r="O45" s="263">
        <f t="shared" si="4"/>
        <v>20048241.907806031</v>
      </c>
      <c r="S45" s="1869"/>
    </row>
    <row r="46" spans="2:19" x14ac:dyDescent="0.35">
      <c r="B46" s="318" t="s">
        <v>261</v>
      </c>
      <c r="C46" s="271">
        <v>0.19308737303486417</v>
      </c>
      <c r="D46" s="271">
        <v>0.31554432794266085</v>
      </c>
      <c r="E46" s="271">
        <v>0.10782643691928213</v>
      </c>
      <c r="F46" s="271">
        <v>4.1824548294520938E-2</v>
      </c>
      <c r="G46" s="271">
        <v>1.4181889466006454E-2</v>
      </c>
      <c r="H46" s="271">
        <v>1.1765135590571175E-2</v>
      </c>
      <c r="I46" s="271">
        <v>2.329935615594822E-2</v>
      </c>
      <c r="J46" s="271">
        <v>3.3942488160638599E-2</v>
      </c>
      <c r="K46" s="271">
        <v>4.6966538546761437E-2</v>
      </c>
      <c r="L46" s="271">
        <v>3.9914766117788131E-2</v>
      </c>
      <c r="M46" s="271">
        <v>4.6130402924424996E-2</v>
      </c>
      <c r="N46" s="271">
        <v>0.12551673684653286</v>
      </c>
      <c r="O46" s="266"/>
    </row>
    <row r="47" spans="2:19" x14ac:dyDescent="0.35">
      <c r="B47" s="318" t="s">
        <v>262</v>
      </c>
      <c r="C47" s="271">
        <v>0.15823410787881473</v>
      </c>
      <c r="D47" s="271">
        <v>9.5727300421787329E-2</v>
      </c>
      <c r="E47" s="271">
        <v>0.22208411662785457</v>
      </c>
      <c r="F47" s="271">
        <v>2.7551305821697649E-2</v>
      </c>
      <c r="G47" s="271">
        <v>4.7068866310711041E-2</v>
      </c>
      <c r="H47" s="271">
        <v>2.2688702415453694E-2</v>
      </c>
      <c r="I47" s="271">
        <v>5.065676467986948E-2</v>
      </c>
      <c r="J47" s="271">
        <v>6.6026796262949938E-2</v>
      </c>
      <c r="K47" s="271">
        <v>5.9241442845008818E-2</v>
      </c>
      <c r="L47" s="271">
        <v>0.15184682477323266</v>
      </c>
      <c r="M47" s="271">
        <v>6.2783021905160996E-2</v>
      </c>
      <c r="N47" s="271">
        <v>3.6090750057459119E-2</v>
      </c>
      <c r="O47" s="266"/>
    </row>
    <row r="48" spans="2:19" ht="15" thickBot="1" x14ac:dyDescent="0.4">
      <c r="B48" s="318" t="s">
        <v>293</v>
      </c>
      <c r="C48" s="271">
        <v>0.15823410787881473</v>
      </c>
      <c r="D48" s="271">
        <v>9.5727300421787329E-2</v>
      </c>
      <c r="E48" s="271">
        <v>0.22208411662785457</v>
      </c>
      <c r="F48" s="271">
        <v>2.7551305821697649E-2</v>
      </c>
      <c r="G48" s="271">
        <v>4.7068866310711041E-2</v>
      </c>
      <c r="H48" s="271">
        <v>2.2688702415453694E-2</v>
      </c>
      <c r="I48" s="271">
        <v>5.065676467986948E-2</v>
      </c>
      <c r="J48" s="271">
        <v>6.6026796262949938E-2</v>
      </c>
      <c r="K48" s="271">
        <v>5.9241442845008818E-2</v>
      </c>
      <c r="L48" s="271">
        <v>0.15184682477323266</v>
      </c>
      <c r="M48" s="271">
        <v>6.2783021905160996E-2</v>
      </c>
      <c r="N48" s="271">
        <v>3.6090750057459119E-2</v>
      </c>
    </row>
    <row r="49" spans="2:19" ht="29" x14ac:dyDescent="0.35">
      <c r="B49" s="568" t="s">
        <v>265</v>
      </c>
      <c r="C49" s="569" t="s">
        <v>243</v>
      </c>
      <c r="D49" s="569" t="s">
        <v>244</v>
      </c>
      <c r="E49" s="569" t="s">
        <v>245</v>
      </c>
      <c r="F49" s="569" t="s">
        <v>246</v>
      </c>
      <c r="G49" s="569" t="s">
        <v>247</v>
      </c>
      <c r="H49" s="569" t="s">
        <v>248</v>
      </c>
      <c r="I49" s="569" t="s">
        <v>197</v>
      </c>
      <c r="J49" s="570" t="s">
        <v>249</v>
      </c>
      <c r="K49" s="569" t="s">
        <v>250</v>
      </c>
      <c r="L49" s="569" t="s">
        <v>251</v>
      </c>
      <c r="M49" s="569" t="s">
        <v>252</v>
      </c>
      <c r="N49" s="569" t="s">
        <v>253</v>
      </c>
      <c r="O49" s="571" t="s">
        <v>343</v>
      </c>
      <c r="P49" s="305"/>
      <c r="Q49" s="319" t="s">
        <v>344</v>
      </c>
    </row>
    <row r="50" spans="2:19" x14ac:dyDescent="0.35">
      <c r="B50" s="572" t="s">
        <v>255</v>
      </c>
      <c r="C50" s="559">
        <f>'A) Resumen Ingresos y Egresos'!$E$12*C57</f>
        <v>0</v>
      </c>
      <c r="D50" s="559">
        <f>'A) Resumen Ingresos y Egresos'!$E$12*D57</f>
        <v>0</v>
      </c>
      <c r="E50" s="559">
        <f>'A) Resumen Ingresos y Egresos'!$E$12*E57</f>
        <v>0</v>
      </c>
      <c r="F50" s="559">
        <f>'A) Resumen Ingresos y Egresos'!$E$12*F57</f>
        <v>0</v>
      </c>
      <c r="G50" s="559">
        <f>'A) Resumen Ingresos y Egresos'!$E$12*G57</f>
        <v>0</v>
      </c>
      <c r="H50" s="559">
        <f>'A) Resumen Ingresos y Egresos'!$E$12*H57</f>
        <v>0</v>
      </c>
      <c r="I50" s="559">
        <f>'A) Resumen Ingresos y Egresos'!$E$12*I57</f>
        <v>0</v>
      </c>
      <c r="J50" s="559">
        <f>'A) Resumen Ingresos y Egresos'!$E$12*J57</f>
        <v>0</v>
      </c>
      <c r="K50" s="559">
        <f>'A) Resumen Ingresos y Egresos'!$E$12*K57</f>
        <v>0</v>
      </c>
      <c r="L50" s="559">
        <f>'A) Resumen Ingresos y Egresos'!$E$12*L57</f>
        <v>0</v>
      </c>
      <c r="M50" s="559">
        <f>'A) Resumen Ingresos y Egresos'!$E$12*M57</f>
        <v>0</v>
      </c>
      <c r="N50" s="559">
        <f>'A) Resumen Ingresos y Egresos'!$E$12*N57</f>
        <v>0</v>
      </c>
      <c r="O50" s="573">
        <f>SUM(C50:N50)</f>
        <v>0</v>
      </c>
      <c r="P50" s="305">
        <f>IF(Q50=12,C50+D50+E50+F50+G50+H50+I50+J50+K50+L50+M50+N50,IF(Q50=11,C50+D50+E50+F50+G50+H50+I50+J50+K50+L50+M50,IF(Q50=10,C50+D50+E50+F50+G50+H50+I50+J50+K50+L50,IF(Q50=9,C50+D50+E50+F50+G50+H50+I50+J50+K50,IF(Q50=8,C50+D50+E50+F50+G50+H50+I50+J50,IF(Q50=7,C50+D50+E50+F50+G50+H50+I50,IF(Q50=6,C50+D50+E50+F50+G50+H50,IF(Q50=5,C50+D50+E50+F50+G50,0))))))))</f>
        <v>0</v>
      </c>
      <c r="Q50" s="320">
        <f>COUNTA(#REF!,#REF!,#REF!,#REF!,#REF!,#REF!,#REF!,#REF!,#REF!,#REF!,#REF!,#REF!)</f>
        <v>12</v>
      </c>
    </row>
    <row r="51" spans="2:19" x14ac:dyDescent="0.35">
      <c r="B51" s="572" t="s">
        <v>256</v>
      </c>
      <c r="C51" s="559">
        <f>(SUM('F) Remuneraciones'!$H$80:$H$90)*(1+'F) Remuneraciones'!$M$7))*(1+'F) Remuneraciones'!$M$8)/12</f>
        <v>0</v>
      </c>
      <c r="D51" s="559">
        <f t="shared" ref="D51:N51" si="6">C51</f>
        <v>0</v>
      </c>
      <c r="E51" s="559">
        <f t="shared" si="6"/>
        <v>0</v>
      </c>
      <c r="F51" s="559">
        <f t="shared" si="6"/>
        <v>0</v>
      </c>
      <c r="G51" s="559">
        <f t="shared" si="6"/>
        <v>0</v>
      </c>
      <c r="H51" s="559">
        <f t="shared" si="6"/>
        <v>0</v>
      </c>
      <c r="I51" s="559">
        <f t="shared" si="6"/>
        <v>0</v>
      </c>
      <c r="J51" s="559">
        <f t="shared" si="6"/>
        <v>0</v>
      </c>
      <c r="K51" s="559">
        <f t="shared" si="6"/>
        <v>0</v>
      </c>
      <c r="L51" s="559">
        <f t="shared" si="6"/>
        <v>0</v>
      </c>
      <c r="M51" s="559">
        <f t="shared" si="6"/>
        <v>0</v>
      </c>
      <c r="N51" s="559">
        <f t="shared" si="6"/>
        <v>0</v>
      </c>
      <c r="O51" s="573">
        <f t="shared" ref="O51:O56" si="7">SUM(C51:N51)</f>
        <v>0</v>
      </c>
      <c r="P51" s="554">
        <f>IF(Q51=12,C51+D51+E51+F51+G51+H51+I51+J51+K51+L51+M51+N51,IF(Q51=11,C51+D51+E51+F51+G51+H51+I51+J51+K51+L51+M51,IF(Q51=10,C51+D51+E51+F51+G51+H51+I51+J51+K51+L51,IF(Q51=9,C51+D51+E51+F51+G51+H51+I51+J51+K51,IF(Q51=8,C51+D51+E51+F51+G51+H51+I51+J51,IF(Q51=7,C51+D51+E51+F51+G51+H51+I51,IF(Q51=6,C51+D51+E51+F51+G51+H51,IF(Q51=5,C51+D51+E51+F51+G51,0))))))))</f>
        <v>0</v>
      </c>
      <c r="Q51" s="3209">
        <f>COUNTA(#REF!,#REF!,#REF!,#REF!,#REF!,#REF!,#REF!,#REF!,#REF!,#REF!,#REF!,#REF!)</f>
        <v>12</v>
      </c>
    </row>
    <row r="52" spans="2:19" x14ac:dyDescent="0.35">
      <c r="B52" s="572" t="s">
        <v>257</v>
      </c>
      <c r="C52" s="559">
        <f>SUM('F) Remuneraciones'!$L$91:$L$101)/4</f>
        <v>2398016.9753054166</v>
      </c>
      <c r="D52" s="559">
        <f>SUM('F) Remuneraciones'!$L$91:$L$101)/4</f>
        <v>2398016.9753054166</v>
      </c>
      <c r="E52" s="559">
        <f>SUM('F) Remuneraciones'!$L$91:$L$101)/4</f>
        <v>2398016.9753054166</v>
      </c>
      <c r="F52" s="559">
        <v>0</v>
      </c>
      <c r="G52" s="559">
        <v>0</v>
      </c>
      <c r="H52" s="559">
        <v>0</v>
      </c>
      <c r="I52" s="559">
        <v>0</v>
      </c>
      <c r="J52" s="559">
        <v>0</v>
      </c>
      <c r="K52" s="559">
        <v>0</v>
      </c>
      <c r="L52" s="559">
        <v>0</v>
      </c>
      <c r="M52" s="559">
        <v>0</v>
      </c>
      <c r="N52" s="559">
        <f>SUM('F) Remuneraciones'!$L$91:$L$101)/4</f>
        <v>2398016.9753054166</v>
      </c>
      <c r="O52" s="573">
        <f t="shared" si="7"/>
        <v>9592067.9012216665</v>
      </c>
      <c r="P52" s="554">
        <f>IF(Q51=12,C52+D52+E52+F52+G52+H52+I52+J52+K52+L52+M52+N52,IF(Q51=11,C52+D52+E52+F52+G52+H52+I52+J52+K52+L52+M52,IF(Q51=10,C52+D52+E52+F52+G52+H52+I52+J52+K52+L52,IF(Q51=9,C52+D52+E52+F52+G52+H52+I52+J52+K52,IF(Q51=8,C52+D52+E52+F52+G52+H52+I52+J52,IF(Q51=7,C52+D52+E52+F52+G52+H52+I52,IF(Q51=6,C52+D52+E52+F52+G52+H52,IF(Q51=5,C52+D52+E52+F52+G52,0))))))))</f>
        <v>9592067.9012216665</v>
      </c>
      <c r="Q52" s="3209"/>
    </row>
    <row r="53" spans="2:19" x14ac:dyDescent="0.35">
      <c r="B53" s="572" t="s">
        <v>258</v>
      </c>
      <c r="C53" s="559">
        <f>SUM('F) Remuneraciones'!$I$80:$I$101)*(1+'F) Remuneraciones'!$M$7)/2</f>
        <v>0</v>
      </c>
      <c r="D53" s="559">
        <v>0</v>
      </c>
      <c r="E53" s="559">
        <v>0</v>
      </c>
      <c r="F53" s="559">
        <v>0</v>
      </c>
      <c r="G53" s="559">
        <v>0</v>
      </c>
      <c r="H53" s="559">
        <v>0</v>
      </c>
      <c r="I53" s="559">
        <v>0</v>
      </c>
      <c r="J53" s="559">
        <v>0</v>
      </c>
      <c r="K53" s="559">
        <f>SUM('F) Remuneraciones'!$I$80:$I$101)*(1+'F) Remuneraciones'!$M$7)/2</f>
        <v>0</v>
      </c>
      <c r="L53" s="559">
        <v>0</v>
      </c>
      <c r="M53" s="559">
        <v>0</v>
      </c>
      <c r="N53" s="559">
        <f>C53+K53</f>
        <v>0</v>
      </c>
      <c r="O53" s="573">
        <f t="shared" si="7"/>
        <v>0</v>
      </c>
      <c r="P53" s="305">
        <f>IF(Q53=12,C53+D53+E53+F53+G53+H53+I53+J53+K53+L53+M53+N53,IF(Q53=11,C53+D53+E53+F53+G53+H53+I53+J53+K53+L53+M53,IF(Q53=10,C53+D53+E53+F53+G53+H53+I53+J53+K53+L53,IF(Q53=9,C53+D53+E53+F53+G53+H53+I53+J53+K53,IF(Q53=8,C53+D53+E53+F53+G53+H53+I53+J53,IF(Q53=7,C53+D53+E53+F53+G53+H53+I53,IF(Q53=6,C53+D53+E53+F53+G53+H53,IF(Q53=5,C53+D53+E53+F53+G53,0))))))))</f>
        <v>0</v>
      </c>
      <c r="Q53" s="320">
        <f>COUNTA(#REF!,#REF!,#REF!,#REF!,#REF!,#REF!,#REF!,#REF!,#REF!,#REF!,#REF!,#REF!)</f>
        <v>12</v>
      </c>
    </row>
    <row r="54" spans="2:19" x14ac:dyDescent="0.35">
      <c r="B54" s="572" t="s">
        <v>259</v>
      </c>
      <c r="C54" s="559">
        <f>('C) Costos Directos'!$H$227-'C) Costos Directos'!$H$228)*C58</f>
        <v>1675317.75</v>
      </c>
      <c r="D54" s="559">
        <f>('C) Costos Directos'!$H$227-'C) Costos Directos'!$H$228)*D58</f>
        <v>3909074.7499999995</v>
      </c>
      <c r="E54" s="559">
        <f>('C) Costos Directos'!$H$227-'C) Costos Directos'!$H$228)*E58</f>
        <v>3909074.7499999995</v>
      </c>
      <c r="F54" s="559">
        <f>('C) Costos Directos'!$H$227-'C) Costos Directos'!$H$228)*F58</f>
        <v>0</v>
      </c>
      <c r="G54" s="559">
        <f>('C) Costos Directos'!$H$227-'C) Costos Directos'!$H$228)*G58</f>
        <v>0</v>
      </c>
      <c r="H54" s="559">
        <f>('C) Costos Directos'!$H$227-'C) Costos Directos'!$H$228)*H58</f>
        <v>0</v>
      </c>
      <c r="I54" s="559">
        <f>('C) Costos Directos'!$H$227-'C) Costos Directos'!$H$228)*I58</f>
        <v>0</v>
      </c>
      <c r="J54" s="559">
        <f>('C) Costos Directos'!$H$227-'C) Costos Directos'!$H$228)*J58</f>
        <v>0</v>
      </c>
      <c r="K54" s="559">
        <f>('C) Costos Directos'!$H$227-'C) Costos Directos'!$H$228)*K58</f>
        <v>0</v>
      </c>
      <c r="L54" s="559">
        <f>('C) Costos Directos'!$H$227-'C) Costos Directos'!$H$228)*L58</f>
        <v>0</v>
      </c>
      <c r="M54" s="559">
        <f>('C) Costos Directos'!$H$227-'C) Costos Directos'!$H$228)*M58</f>
        <v>0</v>
      </c>
      <c r="N54" s="559">
        <f>('C) Costos Directos'!$H$227-'C) Costos Directos'!$H$228)*N58</f>
        <v>1675317.75</v>
      </c>
      <c r="O54" s="573">
        <f t="shared" si="7"/>
        <v>11168785</v>
      </c>
      <c r="P54" s="305">
        <f>IF(Q54=12,C54+D54+E54+F54+G54+H54+I54+J54+K54+L54+M54+N54,IF(Q54=11,C54+D54+E54+F54+G54+H54+I54+J54+K54+L54+M54,IF(Q54=10,C54+D54+E54+F54+G54+H54+I54+J54+K54+L54,IF(Q54=9,C54+D54+E54+F54+G54+H54+I54+J54+K54,IF(Q54=8,C54+D54+E54+F54+G54+H54+I54+J54,IF(Q54=7,C54+D54+E54+F54+G54+H54+I54,IF(Q54=6,C54+D54+E54+F54+G54+H54,IF(Q54=5,C54+D54+E54+F54+G54,0))))))))</f>
        <v>11168785</v>
      </c>
      <c r="Q54" s="320">
        <f>COUNTA(#REF!,#REF!,#REF!,#REF!,#REF!,#REF!,#REF!,#REF!,#REF!,#REF!,#REF!,#REF!)</f>
        <v>12</v>
      </c>
    </row>
    <row r="55" spans="2:19" ht="15" thickBot="1" x14ac:dyDescent="0.4">
      <c r="B55" s="579" t="s">
        <v>292</v>
      </c>
      <c r="C55" s="562">
        <f>'C) Costos Directos'!$H$255*C59</f>
        <v>31619.699999999997</v>
      </c>
      <c r="D55" s="562">
        <f>'C) Costos Directos'!$H$255*D59</f>
        <v>73779.299999999988</v>
      </c>
      <c r="E55" s="562">
        <f>'C) Costos Directos'!$H$255*E59</f>
        <v>73779.299999999988</v>
      </c>
      <c r="F55" s="562">
        <f>'C) Costos Directos'!$H$255*F59</f>
        <v>0</v>
      </c>
      <c r="G55" s="562">
        <f>'C) Costos Directos'!$H$255*G59</f>
        <v>0</v>
      </c>
      <c r="H55" s="562">
        <f>'C) Costos Directos'!$H$255*H59</f>
        <v>0</v>
      </c>
      <c r="I55" s="562">
        <f>'C) Costos Directos'!$H$255*I59</f>
        <v>0</v>
      </c>
      <c r="J55" s="562">
        <f>'C) Costos Directos'!$H$255*J59</f>
        <v>0</v>
      </c>
      <c r="K55" s="562">
        <f>'C) Costos Directos'!$H$255*K59</f>
        <v>0</v>
      </c>
      <c r="L55" s="562">
        <f>'C) Costos Directos'!$H$255*L59</f>
        <v>0</v>
      </c>
      <c r="M55" s="562">
        <f>'C) Costos Directos'!$H$255*M59</f>
        <v>0</v>
      </c>
      <c r="N55" s="562">
        <f>'C) Costos Directos'!$H$255*N59</f>
        <v>31619.699999999997</v>
      </c>
      <c r="O55" s="578">
        <f t="shared" si="7"/>
        <v>210798</v>
      </c>
      <c r="P55" s="305">
        <f>IF(Q55=12,C55+D55+E55+F55+G55+H55+I55+J55+K55+L55+M55+N55,IF(Q55=11,C55+D55+E55+F55+G55+H55+I55+J55+K55+L55+M55,IF(Q55=10,C55+D55+E55+F55+G55+H55+I55+J55+K55+L55,IF(Q55=9,C55+D55+E55+F55+G55+H55+I55+J55+K55,IF(Q55=8,C55+D55+E55+F55+G55+H55+I55+J55,IF(Q55=7,C55+D55+E55+F55+G55+H55+I55,IF(Q55=6,C55+D55+E55+F55+G55+H55,IF(Q55=5,C55+D55+E55+F55+G55,0))))))))</f>
        <v>210798</v>
      </c>
      <c r="Q55" s="320">
        <f>COUNTA(#REF!,#REF!,#REF!,#REF!,#REF!,#REF!,#REF!,#REF!,#REF!,#REF!,#REF!,#REF!)</f>
        <v>12</v>
      </c>
    </row>
    <row r="56" spans="2:19" ht="15" thickBot="1" x14ac:dyDescent="0.4">
      <c r="B56" s="564" t="s">
        <v>260</v>
      </c>
      <c r="C56" s="566">
        <f>C50-(C51+C52+C53+C54+C55)</f>
        <v>-4104954.4253054168</v>
      </c>
      <c r="D56" s="566">
        <f t="shared" ref="D56:N56" si="8">D50-(D51+D52+D53+D54+D55)</f>
        <v>-6380871.0253054155</v>
      </c>
      <c r="E56" s="566">
        <f t="shared" si="8"/>
        <v>-6380871.0253054155</v>
      </c>
      <c r="F56" s="566">
        <f t="shared" si="8"/>
        <v>0</v>
      </c>
      <c r="G56" s="566">
        <f t="shared" si="8"/>
        <v>0</v>
      </c>
      <c r="H56" s="566">
        <f t="shared" si="8"/>
        <v>0</v>
      </c>
      <c r="I56" s="566">
        <f t="shared" si="8"/>
        <v>0</v>
      </c>
      <c r="J56" s="566">
        <f t="shared" si="8"/>
        <v>0</v>
      </c>
      <c r="K56" s="566">
        <f t="shared" si="8"/>
        <v>0</v>
      </c>
      <c r="L56" s="566">
        <f t="shared" si="8"/>
        <v>0</v>
      </c>
      <c r="M56" s="566">
        <f t="shared" si="8"/>
        <v>0</v>
      </c>
      <c r="N56" s="567">
        <f t="shared" si="8"/>
        <v>-4104954.4253054168</v>
      </c>
      <c r="O56" s="263">
        <f t="shared" si="7"/>
        <v>-20971650.901221663</v>
      </c>
      <c r="S56" s="1869"/>
    </row>
    <row r="57" spans="2:19" x14ac:dyDescent="0.35">
      <c r="B57" s="318" t="s">
        <v>261</v>
      </c>
      <c r="C57" s="271">
        <v>0.35</v>
      </c>
      <c r="D57" s="271">
        <v>0.35</v>
      </c>
      <c r="E57" s="271">
        <v>0.15</v>
      </c>
      <c r="F57" s="271">
        <v>0</v>
      </c>
      <c r="G57" s="271">
        <v>0</v>
      </c>
      <c r="H57" s="271">
        <v>0</v>
      </c>
      <c r="I57" s="271">
        <v>0</v>
      </c>
      <c r="J57" s="271">
        <v>0</v>
      </c>
      <c r="K57" s="271">
        <v>0</v>
      </c>
      <c r="L57" s="271">
        <v>0</v>
      </c>
      <c r="M57" s="271">
        <v>0</v>
      </c>
      <c r="N57" s="271">
        <v>0.15</v>
      </c>
      <c r="O57" s="266"/>
    </row>
    <row r="58" spans="2:19" x14ac:dyDescent="0.35">
      <c r="B58" s="318" t="s">
        <v>262</v>
      </c>
      <c r="C58" s="271">
        <v>0.15</v>
      </c>
      <c r="D58" s="271">
        <v>0.35</v>
      </c>
      <c r="E58" s="271">
        <v>0.35</v>
      </c>
      <c r="F58" s="271">
        <v>0</v>
      </c>
      <c r="G58" s="271">
        <v>0</v>
      </c>
      <c r="H58" s="271">
        <v>0</v>
      </c>
      <c r="I58" s="271">
        <v>0</v>
      </c>
      <c r="J58" s="271">
        <v>0</v>
      </c>
      <c r="K58" s="271">
        <v>0</v>
      </c>
      <c r="L58" s="271">
        <v>0</v>
      </c>
      <c r="M58" s="271">
        <v>0</v>
      </c>
      <c r="N58" s="271">
        <v>0.15</v>
      </c>
      <c r="O58" s="266"/>
    </row>
    <row r="59" spans="2:19" ht="15" thickBot="1" x14ac:dyDescent="0.4">
      <c r="B59" s="318" t="s">
        <v>293</v>
      </c>
      <c r="C59" s="271">
        <v>0.15</v>
      </c>
      <c r="D59" s="271">
        <v>0.35</v>
      </c>
      <c r="E59" s="271">
        <v>0.35</v>
      </c>
      <c r="F59" s="271">
        <v>0</v>
      </c>
      <c r="G59" s="271">
        <v>0</v>
      </c>
      <c r="H59" s="271">
        <v>0</v>
      </c>
      <c r="I59" s="271">
        <v>0</v>
      </c>
      <c r="J59" s="271">
        <v>0</v>
      </c>
      <c r="K59" s="271">
        <v>0</v>
      </c>
      <c r="L59" s="271">
        <v>0</v>
      </c>
      <c r="M59" s="271">
        <v>0</v>
      </c>
      <c r="N59" s="271">
        <v>0.15</v>
      </c>
    </row>
    <row r="60" spans="2:19" ht="29" x14ac:dyDescent="0.35">
      <c r="B60" s="568" t="s">
        <v>266</v>
      </c>
      <c r="C60" s="569" t="s">
        <v>243</v>
      </c>
      <c r="D60" s="569" t="s">
        <v>244</v>
      </c>
      <c r="E60" s="569" t="s">
        <v>245</v>
      </c>
      <c r="F60" s="569" t="s">
        <v>246</v>
      </c>
      <c r="G60" s="569" t="s">
        <v>247</v>
      </c>
      <c r="H60" s="569" t="s">
        <v>248</v>
      </c>
      <c r="I60" s="569" t="s">
        <v>197</v>
      </c>
      <c r="J60" s="570" t="s">
        <v>249</v>
      </c>
      <c r="K60" s="569" t="s">
        <v>250</v>
      </c>
      <c r="L60" s="569" t="s">
        <v>251</v>
      </c>
      <c r="M60" s="569" t="s">
        <v>252</v>
      </c>
      <c r="N60" s="569" t="s">
        <v>253</v>
      </c>
      <c r="O60" s="571" t="s">
        <v>343</v>
      </c>
      <c r="P60" s="305"/>
      <c r="Q60" s="319" t="s">
        <v>344</v>
      </c>
    </row>
    <row r="61" spans="2:19" x14ac:dyDescent="0.35">
      <c r="B61" s="572" t="s">
        <v>255</v>
      </c>
      <c r="C61" s="559">
        <f>'A) Resumen Ingresos y Egresos'!$E$13*C68</f>
        <v>0</v>
      </c>
      <c r="D61" s="559">
        <f>'A) Resumen Ingresos y Egresos'!$E$13*D68</f>
        <v>0</v>
      </c>
      <c r="E61" s="559">
        <f>'A) Resumen Ingresos y Egresos'!$E$13*E68</f>
        <v>0</v>
      </c>
      <c r="F61" s="559">
        <v>0</v>
      </c>
      <c r="G61" s="559">
        <v>0</v>
      </c>
      <c r="H61" s="559">
        <f t="shared" ref="H61:M61" si="9">G61</f>
        <v>0</v>
      </c>
      <c r="I61" s="559">
        <f t="shared" si="9"/>
        <v>0</v>
      </c>
      <c r="J61" s="559">
        <f t="shared" si="9"/>
        <v>0</v>
      </c>
      <c r="K61" s="559">
        <f t="shared" si="9"/>
        <v>0</v>
      </c>
      <c r="L61" s="559">
        <f t="shared" si="9"/>
        <v>0</v>
      </c>
      <c r="M61" s="559">
        <f t="shared" si="9"/>
        <v>0</v>
      </c>
      <c r="N61" s="559">
        <f>'A) Resumen Ingresos y Egresos'!$E$13*N68</f>
        <v>0</v>
      </c>
      <c r="O61" s="573">
        <f>SUM(C61:N61)</f>
        <v>0</v>
      </c>
      <c r="P61" s="305">
        <f>IF(Q61=12,C61+D61+E61+F61+G61+H61+I61+J61+K61+L61+M61+N61,IF(Q61=11,C61+D61+E61+F61+G61+H61+I61+J61+K61+L61+M61,IF(Q61=10,C61+D61+E61+F61+G61+H61+I61+J61+K61+L61,IF(Q61=9,C61+D61+E61+F61+G61+H61+I61+J61+K61,IF(Q61=8,C61+D61+E61+F61+G61+H61+I61+J61,IF(Q61=7,C61+D61+E61+F61+G61+H61+I61,IF(Q61=6,C61+D61+E61+F61+G61+H61,IF(Q61=5,C61+D61+E61+F61+G61,0))))))))</f>
        <v>0</v>
      </c>
      <c r="Q61" s="320">
        <f>COUNTA(#REF!,#REF!,#REF!,#REF!,#REF!,#REF!,#REF!,#REF!,#REF!,#REF!,#REF!,#REF!)</f>
        <v>12</v>
      </c>
    </row>
    <row r="62" spans="2:19" x14ac:dyDescent="0.35">
      <c r="B62" s="572" t="s">
        <v>256</v>
      </c>
      <c r="C62" s="559">
        <f>(SUM('F) Remuneraciones'!$H$102:$H$112)*(1+'F) Remuneraciones'!$M$7))*(1+'F) Remuneraciones'!$M$8)/12</f>
        <v>0</v>
      </c>
      <c r="D62" s="559">
        <f>(SUM('F) Remuneraciones'!$H$102:$H$112)*(1+'F) Remuneraciones'!$M$7))*(1+'F) Remuneraciones'!$M$8)/12</f>
        <v>0</v>
      </c>
      <c r="E62" s="559">
        <f>(SUM('F) Remuneraciones'!$H$102:$H$112)*(1+'F) Remuneraciones'!$M$7))*(1+'F) Remuneraciones'!$M$8)/12</f>
        <v>0</v>
      </c>
      <c r="F62" s="559">
        <f>(SUM('F) Remuneraciones'!$H$102:$H$112)*(1+'F) Remuneraciones'!$M$7))*(1+'F) Remuneraciones'!$M$8)/12</f>
        <v>0</v>
      </c>
      <c r="G62" s="559">
        <f>(SUM('F) Remuneraciones'!$H$102:$H$112)*(1+'F) Remuneraciones'!$M$7))*(1+'F) Remuneraciones'!$M$8)/12</f>
        <v>0</v>
      </c>
      <c r="H62" s="559">
        <f>(SUM('F) Remuneraciones'!$H$102:$H$112)*(1+'F) Remuneraciones'!$M$7))*(1+'F) Remuneraciones'!$M$8)/12</f>
        <v>0</v>
      </c>
      <c r="I62" s="559">
        <f>(SUM('F) Remuneraciones'!$H$102:$H$112)*(1+'F) Remuneraciones'!$M$7))*(1+'F) Remuneraciones'!$M$8)/12</f>
        <v>0</v>
      </c>
      <c r="J62" s="559">
        <f>(SUM('F) Remuneraciones'!$H$102:$H$112)*(1+'F) Remuneraciones'!$M$7))*(1+'F) Remuneraciones'!$M$8)/12</f>
        <v>0</v>
      </c>
      <c r="K62" s="559">
        <f>(SUM('F) Remuneraciones'!$H$102:$H$112)*(1+'F) Remuneraciones'!$M$7))*(1+'F) Remuneraciones'!$M$8)/12</f>
        <v>0</v>
      </c>
      <c r="L62" s="559">
        <f>(SUM('F) Remuneraciones'!$H$102:$H$112)*(1+'F) Remuneraciones'!$M$7))*(1+'F) Remuneraciones'!$M$8)/12</f>
        <v>0</v>
      </c>
      <c r="M62" s="559">
        <f>(SUM('F) Remuneraciones'!$H$102:$H$112)*(1+'F) Remuneraciones'!$M$7))*(1+'F) Remuneraciones'!$M$8)/12</f>
        <v>0</v>
      </c>
      <c r="N62" s="559">
        <f>(SUM('F) Remuneraciones'!$H$102:$H$112)*(1+'F) Remuneraciones'!$M$7))*(1+'F) Remuneraciones'!$M$8)/12</f>
        <v>0</v>
      </c>
      <c r="O62" s="573">
        <f t="shared" ref="O62:O67" si="10">SUM(C62:N62)</f>
        <v>0</v>
      </c>
      <c r="P62" s="554">
        <f>IF(Q62=12,C62+D62+E62+F62+G62+H62+I62+J62+K62+L62+M62+N62,IF(Q62=11,C62+D62+E62+F62+G62+H62+I62+J62+K62+L62+M62,IF(Q62=10,C62+D62+E62+F62+G62+H62+I62+J62+K62+L62,IF(Q62=9,C62+D62+E62+F62+G62+H62+I62+J62+K62,IF(Q62=8,C62+D62+E62+F62+G62+H62+I62+J62,IF(Q62=7,C62+D62+E62+F62+G62+H62+I62,IF(Q62=6,C62+D62+E62+F62+G62+H62,IF(Q62=5,C62+D62+E62+F62+G62,0))))))))</f>
        <v>0</v>
      </c>
      <c r="Q62" s="3209">
        <f>COUNTA(#REF!,#REF!,#REF!,#REF!,#REF!,#REF!,#REF!,#REF!,#REF!,#REF!,#REF!,#REF!)</f>
        <v>12</v>
      </c>
    </row>
    <row r="63" spans="2:19" x14ac:dyDescent="0.35">
      <c r="B63" s="572" t="s">
        <v>257</v>
      </c>
      <c r="C63" s="559">
        <f>(SUM('F) Remuneraciones'!$H$113:$H$123)*(1+'F) Remuneraciones'!$M$7))*(1+'F) Remuneraciones'!$M$8)/4</f>
        <v>2398016.9753054166</v>
      </c>
      <c r="D63" s="559">
        <f>(SUM('F) Remuneraciones'!$H$113:$H$123)*(1+'F) Remuneraciones'!$M$7))*(1+'F) Remuneraciones'!$M$8)/4</f>
        <v>2398016.9753054166</v>
      </c>
      <c r="E63" s="559">
        <f>(SUM('F) Remuneraciones'!$H$113:$H$123)*(1+'F) Remuneraciones'!$M$7))*(1+'F) Remuneraciones'!$M$8)/4</f>
        <v>2398016.9753054166</v>
      </c>
      <c r="F63" s="559">
        <v>0</v>
      </c>
      <c r="G63" s="559">
        <v>0</v>
      </c>
      <c r="H63" s="559">
        <v>0</v>
      </c>
      <c r="I63" s="559">
        <v>0</v>
      </c>
      <c r="J63" s="559">
        <v>0</v>
      </c>
      <c r="K63" s="559">
        <v>0</v>
      </c>
      <c r="L63" s="559">
        <v>0</v>
      </c>
      <c r="M63" s="559">
        <v>0</v>
      </c>
      <c r="N63" s="559">
        <f>(SUM('F) Remuneraciones'!$H$113:$H$123)*(1+'F) Remuneraciones'!$M$7))*(1+'F) Remuneraciones'!$M$8)/4</f>
        <v>2398016.9753054166</v>
      </c>
      <c r="O63" s="573">
        <f t="shared" si="10"/>
        <v>9592067.9012216665</v>
      </c>
      <c r="P63" s="554">
        <f>IF(Q62=12,C63+D63+E63+F63+G63+H63+I63+J63+K63+L63+M63+N63,IF(Q62=11,C63+D63+E63+F63+G63+H63+I63+J63+K63+L63+M63,IF(Q62=10,C63+D63+E63+F63+G63+H63+I63+J63+K63+L63,IF(Q62=9,C63+D63+E63+F63+G63+H63+I63+J63+K63,IF(Q62=8,C63+D63+E63+F63+G63+H63+I63+J63,IF(Q62=7,C63+D63+E63+F63+G63+H63+I63,IF(Q62=6,C63+D63+E63+F63+G63+H63,IF(Q62=5,C63+D63+E63+F63+G63,0))))))))</f>
        <v>9592067.9012216665</v>
      </c>
      <c r="Q63" s="3209"/>
    </row>
    <row r="64" spans="2:19" x14ac:dyDescent="0.35">
      <c r="B64" s="572" t="s">
        <v>258</v>
      </c>
      <c r="C64" s="559">
        <f>SUM('F) Remuneraciones'!I102:I123)*(1+'F) Remuneraciones'!$M$7)/2</f>
        <v>0</v>
      </c>
      <c r="D64" s="559">
        <v>0</v>
      </c>
      <c r="E64" s="559">
        <v>0</v>
      </c>
      <c r="F64" s="559">
        <v>0</v>
      </c>
      <c r="G64" s="559">
        <v>0</v>
      </c>
      <c r="H64" s="559">
        <v>0</v>
      </c>
      <c r="I64" s="559">
        <v>0</v>
      </c>
      <c r="J64" s="559">
        <v>0</v>
      </c>
      <c r="K64" s="559">
        <f>SUM('F) Remuneraciones'!Q102:Q123)*(1+'F) Remuneraciones'!$M$7)/2</f>
        <v>0</v>
      </c>
      <c r="L64" s="559">
        <v>0</v>
      </c>
      <c r="M64" s="559">
        <v>0</v>
      </c>
      <c r="N64" s="559">
        <f>C64+K64</f>
        <v>0</v>
      </c>
      <c r="O64" s="573">
        <f t="shared" si="10"/>
        <v>0</v>
      </c>
      <c r="P64" s="305">
        <f>IF(Q64=12,C64+D64+E64+F64+G64+H64+I64+J64+K64+L64+M64+N64,IF(Q64=11,C64+D64+E64+F64+G64+H64+I64+J64+K64+L64+M64,IF(Q64=10,C64+D64+E64+F64+G64+H64+I64+J64+K64+L64,IF(Q64=9,C64+D64+E64+F64+G64+H64+I64+J64+K64,IF(Q64=8,C64+D64+E64+F64+G64+H64+I64+J64,IF(Q64=7,C64+D64+E64+F64+G64+H64+I64,IF(Q64=6,C64+D64+E64+F64+G64+H64,IF(Q64=5,C64+D64+E64+F64+G64,0))))))))</f>
        <v>0</v>
      </c>
      <c r="Q64" s="320">
        <f>COUNTA(#REF!,#REF!,#REF!,#REF!,#REF!,#REF!,#REF!,#REF!,#REF!,#REF!,#REF!,#REF!)</f>
        <v>12</v>
      </c>
    </row>
    <row r="65" spans="2:19" x14ac:dyDescent="0.35">
      <c r="B65" s="572" t="s">
        <v>259</v>
      </c>
      <c r="C65" s="559">
        <f>('C) Costos Directos'!$H$299-'C) Costos Directos'!$H$300)*C69</f>
        <v>2254197.9</v>
      </c>
      <c r="D65" s="559">
        <f>('C) Costos Directos'!$H$299-'C) Costos Directos'!$H$300)*D69</f>
        <v>5259795.0999999996</v>
      </c>
      <c r="E65" s="559">
        <f>('C) Costos Directos'!$H$299-'C) Costos Directos'!$H$300)*E69</f>
        <v>5259795.0999999996</v>
      </c>
      <c r="F65" s="559">
        <f>('C) Costos Directos'!$H$299-'C) Costos Directos'!$H$300)*F69</f>
        <v>0</v>
      </c>
      <c r="G65" s="559">
        <f>('C) Costos Directos'!$H$299-'C) Costos Directos'!$H$300)*G69</f>
        <v>0</v>
      </c>
      <c r="H65" s="559">
        <f>('C) Costos Directos'!$H$299-'C) Costos Directos'!$H$300)*H69</f>
        <v>0</v>
      </c>
      <c r="I65" s="559">
        <f>('C) Costos Directos'!$H$299-'C) Costos Directos'!$H$300)*I69</f>
        <v>0</v>
      </c>
      <c r="J65" s="559">
        <f>('C) Costos Directos'!$H$299-'C) Costos Directos'!$H$300)*J69</f>
        <v>0</v>
      </c>
      <c r="K65" s="559">
        <f>('C) Costos Directos'!$H$299-'C) Costos Directos'!$H$300)*K69</f>
        <v>0</v>
      </c>
      <c r="L65" s="559">
        <f>('C) Costos Directos'!$H$299-'C) Costos Directos'!$H$300)*L69</f>
        <v>0</v>
      </c>
      <c r="M65" s="559">
        <f>('C) Costos Directos'!$H$299-'C) Costos Directos'!$H$300)*M69</f>
        <v>0</v>
      </c>
      <c r="N65" s="559">
        <f>('C) Costos Directos'!$H$299-'C) Costos Directos'!$H$300)*N69</f>
        <v>2254197.9</v>
      </c>
      <c r="O65" s="573">
        <f t="shared" si="10"/>
        <v>15027986</v>
      </c>
      <c r="P65" s="305">
        <f>IF(Q65=12,C65+D65+E65+F65+G65+H65+I65+J65+K65+L65+M65+N65,IF(Q65=11,C65+D65+E65+F65+G65+H65+I65+J65+K65+L65+M65,IF(Q65=10,C65+D65+E65+F65+G65+H65+I65+J65+K65+L65,IF(Q65=9,C65+D65+E65+F65+G65+H65+I65+J65+K65,IF(Q65=8,C65+D65+E65+F65+G65+H65+I65+J65,IF(Q65=7,C65+D65+E65+F65+G65+H65+I65,IF(Q65=6,C65+D65+E65+F65+G65+H65,IF(Q65=5,C65+D65+E65+F65+G65,0))))))))</f>
        <v>15027986</v>
      </c>
      <c r="Q65" s="320">
        <f>COUNTA(#REF!,#REF!,#REF!,#REF!,#REF!,#REF!,#REF!,#REF!,#REF!,#REF!,#REF!,#REF!)</f>
        <v>12</v>
      </c>
    </row>
    <row r="66" spans="2:19" ht="15" thickBot="1" x14ac:dyDescent="0.4">
      <c r="B66" s="579" t="s">
        <v>292</v>
      </c>
      <c r="C66" s="562">
        <f>'C) Costos Directos'!$H$327*C70</f>
        <v>31619.699999999997</v>
      </c>
      <c r="D66" s="562">
        <f>'C) Costos Directos'!$H$327*D70</f>
        <v>73779.299999999988</v>
      </c>
      <c r="E66" s="562">
        <f>'C) Costos Directos'!$H$327*E70</f>
        <v>73779.299999999988</v>
      </c>
      <c r="F66" s="562">
        <f>'C) Costos Directos'!$H$327*F70</f>
        <v>0</v>
      </c>
      <c r="G66" s="562">
        <f>'C) Costos Directos'!$H$327*G70</f>
        <v>0</v>
      </c>
      <c r="H66" s="562">
        <f>'C) Costos Directos'!$H$327*H70</f>
        <v>0</v>
      </c>
      <c r="I66" s="562">
        <f>'C) Costos Directos'!$H$327*I70</f>
        <v>0</v>
      </c>
      <c r="J66" s="562">
        <f>'C) Costos Directos'!$H$327*J70</f>
        <v>0</v>
      </c>
      <c r="K66" s="562">
        <f>'C) Costos Directos'!$H$327*K70</f>
        <v>0</v>
      </c>
      <c r="L66" s="562">
        <f>'C) Costos Directos'!$H$327*L70</f>
        <v>0</v>
      </c>
      <c r="M66" s="562">
        <f>'C) Costos Directos'!$H$327*M70</f>
        <v>0</v>
      </c>
      <c r="N66" s="562">
        <f>'C) Costos Directos'!$H$327*N70</f>
        <v>31619.699999999997</v>
      </c>
      <c r="O66" s="578">
        <f t="shared" si="10"/>
        <v>210798</v>
      </c>
      <c r="P66" s="305">
        <f>IF(Q66=12,C66+D66+E66+F66+G66+H66+I66+J66+K66+L66+M66+N66,IF(Q66=11,C66+D66+E66+F66+G66+H66+I66+J66+K66+L66+M66,IF(Q66=10,C66+D66+E66+F66+G66+H66+I66+J66+K66+L66,IF(Q66=9,C66+D66+E66+F66+G66+H66+I66+J66+K66,IF(Q66=8,C66+D66+E66+F66+G66+H66+I66+J66,IF(Q66=7,C66+D66+E66+F66+G66+H66+I66,IF(Q66=6,C66+D66+E66+F66+G66+H66,IF(Q66=5,C66+D66+E66+F66+G66,0))))))))</f>
        <v>210798</v>
      </c>
      <c r="Q66" s="320">
        <f>COUNTA(#REF!,#REF!,#REF!,#REF!,#REF!,#REF!,#REF!,#REF!,#REF!,#REF!,#REF!,#REF!)</f>
        <v>12</v>
      </c>
    </row>
    <row r="67" spans="2:19" ht="15" thickBot="1" x14ac:dyDescent="0.4">
      <c r="B67" s="564" t="s">
        <v>260</v>
      </c>
      <c r="C67" s="566">
        <f>C61-(C62+C63+C64+C65+C66)</f>
        <v>-4683834.5753054162</v>
      </c>
      <c r="D67" s="566">
        <f t="shared" ref="D67:N67" si="11">D61-(D62+D63+D64+D65+D66)</f>
        <v>-7731591.3753054161</v>
      </c>
      <c r="E67" s="566">
        <f t="shared" si="11"/>
        <v>-7731591.3753054161</v>
      </c>
      <c r="F67" s="566">
        <f t="shared" si="11"/>
        <v>0</v>
      </c>
      <c r="G67" s="566">
        <f t="shared" si="11"/>
        <v>0</v>
      </c>
      <c r="H67" s="566">
        <f t="shared" si="11"/>
        <v>0</v>
      </c>
      <c r="I67" s="566">
        <f t="shared" si="11"/>
        <v>0</v>
      </c>
      <c r="J67" s="566">
        <f t="shared" si="11"/>
        <v>0</v>
      </c>
      <c r="K67" s="566">
        <f t="shared" si="11"/>
        <v>0</v>
      </c>
      <c r="L67" s="566">
        <f t="shared" si="11"/>
        <v>0</v>
      </c>
      <c r="M67" s="566">
        <f t="shared" si="11"/>
        <v>0</v>
      </c>
      <c r="N67" s="566">
        <f t="shared" si="11"/>
        <v>-4683834.5753054162</v>
      </c>
      <c r="O67" s="580">
        <f t="shared" si="10"/>
        <v>-24830851.901221663</v>
      </c>
      <c r="S67" s="1869"/>
    </row>
    <row r="68" spans="2:19" x14ac:dyDescent="0.35">
      <c r="B68" s="318" t="s">
        <v>261</v>
      </c>
      <c r="C68" s="271">
        <v>0.35</v>
      </c>
      <c r="D68" s="271">
        <v>0.35</v>
      </c>
      <c r="E68" s="271">
        <v>0.15</v>
      </c>
      <c r="F68" s="271">
        <v>0</v>
      </c>
      <c r="G68" s="271">
        <v>0</v>
      </c>
      <c r="H68" s="271">
        <v>0</v>
      </c>
      <c r="I68" s="271">
        <v>0</v>
      </c>
      <c r="J68" s="271">
        <v>0</v>
      </c>
      <c r="K68" s="271">
        <v>0</v>
      </c>
      <c r="L68" s="271">
        <v>0</v>
      </c>
      <c r="M68" s="271">
        <v>0</v>
      </c>
      <c r="N68" s="271">
        <v>0.15</v>
      </c>
      <c r="O68" s="266"/>
    </row>
    <row r="69" spans="2:19" x14ac:dyDescent="0.35">
      <c r="B69" s="318" t="s">
        <v>262</v>
      </c>
      <c r="C69" s="271">
        <v>0.15</v>
      </c>
      <c r="D69" s="271">
        <v>0.35</v>
      </c>
      <c r="E69" s="271">
        <v>0.35</v>
      </c>
      <c r="F69" s="271">
        <v>0</v>
      </c>
      <c r="G69" s="271">
        <v>0</v>
      </c>
      <c r="H69" s="271">
        <v>0</v>
      </c>
      <c r="I69" s="271">
        <v>0</v>
      </c>
      <c r="J69" s="271">
        <v>0</v>
      </c>
      <c r="K69" s="271">
        <v>0</v>
      </c>
      <c r="L69" s="271">
        <v>0</v>
      </c>
      <c r="M69" s="271">
        <v>0</v>
      </c>
      <c r="N69" s="271">
        <v>0.15</v>
      </c>
      <c r="O69" s="266"/>
    </row>
    <row r="70" spans="2:19" ht="15" thickBot="1" x14ac:dyDescent="0.4">
      <c r="B70" s="318" t="s">
        <v>293</v>
      </c>
      <c r="C70" s="271">
        <v>0.15</v>
      </c>
      <c r="D70" s="271">
        <v>0.35</v>
      </c>
      <c r="E70" s="271">
        <v>0.35</v>
      </c>
      <c r="F70" s="271">
        <v>0</v>
      </c>
      <c r="G70" s="271">
        <v>0</v>
      </c>
      <c r="H70" s="271">
        <v>0</v>
      </c>
      <c r="I70" s="271">
        <v>0</v>
      </c>
      <c r="J70" s="271">
        <v>0</v>
      </c>
      <c r="K70" s="271">
        <v>0</v>
      </c>
      <c r="L70" s="271">
        <v>0</v>
      </c>
      <c r="M70" s="271">
        <v>0</v>
      </c>
      <c r="N70" s="271">
        <v>0.15</v>
      </c>
    </row>
    <row r="71" spans="2:19" ht="29" x14ac:dyDescent="0.35">
      <c r="B71" s="568" t="s">
        <v>267</v>
      </c>
      <c r="C71" s="569" t="s">
        <v>243</v>
      </c>
      <c r="D71" s="569" t="s">
        <v>244</v>
      </c>
      <c r="E71" s="569" t="s">
        <v>245</v>
      </c>
      <c r="F71" s="569" t="s">
        <v>246</v>
      </c>
      <c r="G71" s="569" t="s">
        <v>247</v>
      </c>
      <c r="H71" s="569" t="s">
        <v>248</v>
      </c>
      <c r="I71" s="569" t="s">
        <v>197</v>
      </c>
      <c r="J71" s="570" t="s">
        <v>249</v>
      </c>
      <c r="K71" s="569" t="s">
        <v>250</v>
      </c>
      <c r="L71" s="569" t="s">
        <v>251</v>
      </c>
      <c r="M71" s="569" t="s">
        <v>252</v>
      </c>
      <c r="N71" s="569" t="s">
        <v>253</v>
      </c>
      <c r="O71" s="571" t="s">
        <v>343</v>
      </c>
      <c r="P71" s="305"/>
      <c r="Q71" s="319" t="s">
        <v>344</v>
      </c>
    </row>
    <row r="72" spans="2:19" x14ac:dyDescent="0.35">
      <c r="B72" s="572" t="s">
        <v>255</v>
      </c>
      <c r="C72" s="559">
        <f>'A) Resumen Ingresos y Egresos'!$E$14*C79</f>
        <v>10474841.813836789</v>
      </c>
      <c r="D72" s="559">
        <f>'A) Resumen Ingresos y Egresos'!$E$14*D79</f>
        <v>11530290.728353109</v>
      </c>
      <c r="E72" s="559">
        <f>'A) Resumen Ingresos y Egresos'!$E$14*E79</f>
        <v>10266551.767163277</v>
      </c>
      <c r="F72" s="559">
        <f>'A) Resumen Ingresos y Egresos'!$E$14*F79</f>
        <v>6099215.2041930743</v>
      </c>
      <c r="G72" s="559">
        <f>'A) Resumen Ingresos y Egresos'!$E$14*G79</f>
        <v>3942733.6317103948</v>
      </c>
      <c r="H72" s="559">
        <f>'A) Resumen Ingresos y Egresos'!$E$14*H79</f>
        <v>4835669.9083796712</v>
      </c>
      <c r="I72" s="559">
        <f>'A) Resumen Ingresos y Egresos'!$E$14*I79</f>
        <v>4470240.949001044</v>
      </c>
      <c r="J72" s="559">
        <f>'A) Resumen Ingresos y Egresos'!$E$14*J79</f>
        <v>9146379.4926011246</v>
      </c>
      <c r="K72" s="559">
        <f>'A) Resumen Ingresos y Egresos'!$E$14*K79</f>
        <v>5988964.8309589894</v>
      </c>
      <c r="L72" s="559">
        <f>'A) Resumen Ingresos y Egresos'!$E$14*L79</f>
        <v>7766382.6190760545</v>
      </c>
      <c r="M72" s="559">
        <f>'A) Resumen Ingresos y Egresos'!$E$14*M79</f>
        <v>6596751.3373193583</v>
      </c>
      <c r="N72" s="559">
        <f>'A) Resumen Ingresos y Egresos'!$E$14*N79</f>
        <v>10082477.717407111</v>
      </c>
      <c r="O72" s="573">
        <f t="shared" ref="O72:O78" si="12">SUM(C72:N72)</f>
        <v>91200500</v>
      </c>
      <c r="P72" s="305">
        <f>IF(Q72=12,C72+D72+E72+F72+G72+H72+I72+J72+K72+L72+M72+N72,IF(Q72=11,C72+D72+E72+F72+G72+H72+I72+J72+K72+L72+M72,IF(Q72=10,C72+D72+E72+F72+G72+H72+I72+J72+K72+L72,IF(Q72=9,C72+D72+E72+F72+G72+H72+I72+J72+K72,IF(Q72=8,C72+D72+E72+F72+G72+H72+I72+J72,IF(Q72=7,C72+D72+E72+F72+G72+H72+I72,IF(Q72=6,C72+D72+E72+F72+G72+H72,IF(Q72=5,C72+D72+E72+F72+G72,0))))))))</f>
        <v>91200500</v>
      </c>
      <c r="Q72" s="320">
        <f>COUNTA(#REF!,#REF!,#REF!,#REF!,#REF!,#REF!,#REF!,#REF!,#REF!,#REF!,#REF!,#REF!)</f>
        <v>12</v>
      </c>
    </row>
    <row r="73" spans="2:19" x14ac:dyDescent="0.35">
      <c r="B73" s="572" t="s">
        <v>256</v>
      </c>
      <c r="C73" s="559">
        <f>(SUM('F) Remuneraciones'!$L$124:$L$134)-SUM('F) Remuneraciones'!$I$124:$J$134))/12</f>
        <v>1418672.1449999998</v>
      </c>
      <c r="D73" s="559">
        <f>(SUM('F) Remuneraciones'!$L$124:$L$134)-SUM('F) Remuneraciones'!$I$124:$J$134))/12</f>
        <v>1418672.1449999998</v>
      </c>
      <c r="E73" s="559">
        <f>(SUM('F) Remuneraciones'!$L$124:$L$134)-SUM('F) Remuneraciones'!$I$124:$J$134))/12</f>
        <v>1418672.1449999998</v>
      </c>
      <c r="F73" s="559">
        <f>(SUM('F) Remuneraciones'!$L$124:$L$134)-SUM('F) Remuneraciones'!$I$124:$J$134))/12</f>
        <v>1418672.1449999998</v>
      </c>
      <c r="G73" s="559">
        <f>(SUM('F) Remuneraciones'!$L$124:$L$134)-SUM('F) Remuneraciones'!$I$124:$J$134))/12</f>
        <v>1418672.1449999998</v>
      </c>
      <c r="H73" s="559">
        <f>(SUM('F) Remuneraciones'!$L$124:$L$134)-SUM('F) Remuneraciones'!$I$124:$J$134))/12</f>
        <v>1418672.1449999998</v>
      </c>
      <c r="I73" s="559">
        <f>(SUM('F) Remuneraciones'!$L$124:$L$134)-SUM('F) Remuneraciones'!$I$124:$J$134))/12</f>
        <v>1418672.1449999998</v>
      </c>
      <c r="J73" s="559">
        <f>(SUM('F) Remuneraciones'!$L$124:$L$134)-SUM('F) Remuneraciones'!$I$124:$J$134))/12</f>
        <v>1418672.1449999998</v>
      </c>
      <c r="K73" s="559">
        <f>(SUM('F) Remuneraciones'!$L$124:$L$134)-SUM('F) Remuneraciones'!$I$124:$J$134))/12</f>
        <v>1418672.1449999998</v>
      </c>
      <c r="L73" s="559">
        <f>(SUM('F) Remuneraciones'!$L$124:$L$134)-SUM('F) Remuneraciones'!$I$124:$J$134))/12</f>
        <v>1418672.1449999998</v>
      </c>
      <c r="M73" s="559">
        <f>(SUM('F) Remuneraciones'!$L$124:$L$134)-SUM('F) Remuneraciones'!$I$124:$J$134))/12</f>
        <v>1418672.1449999998</v>
      </c>
      <c r="N73" s="559">
        <f>(SUM('F) Remuneraciones'!$L$124:$L$134)-SUM('F) Remuneraciones'!$I$124:$J$134))/12</f>
        <v>1418672.1449999998</v>
      </c>
      <c r="O73" s="573">
        <f t="shared" si="12"/>
        <v>17024065.739999998</v>
      </c>
      <c r="P73" s="554">
        <f>IF(Q73=12,C73+D73+E73+F73+G73+H73+I73+J73+K73+L73+M73+N73,IF(Q73=11,C73+D73+E73+F73+G73+H73+I73+J73+K73+L73+M73,IF(Q73=10,C73+D73+E73+F73+G73+H73+I73+J73+K73+L73,IF(Q73=9,C73+D73+E73+F73+G73+H73+I73+J73+K73,IF(Q73=8,C73+D73+E73+F73+G73+H73+I73+J73,IF(Q73=7,C73+D73+E73+F73+G73+H73+I73,IF(Q73=6,C73+D73+E73+F73+G73+H73,IF(Q73=5,C73+D73+E73+F73+G73,0))))))))</f>
        <v>17024065.739999998</v>
      </c>
      <c r="Q73" s="3209">
        <f>COUNTA(#REF!,#REF!,#REF!,#REF!,#REF!,#REF!,#REF!,#REF!,#REF!,#REF!,#REF!,#REF!)</f>
        <v>12</v>
      </c>
    </row>
    <row r="74" spans="2:19" x14ac:dyDescent="0.35">
      <c r="B74" s="572" t="s">
        <v>257</v>
      </c>
      <c r="C74" s="559">
        <f>SUM('F) Remuneraciones'!$L$135:$L$145)/4</f>
        <v>2548432.5625604307</v>
      </c>
      <c r="D74" s="559">
        <f>SUM('F) Remuneraciones'!$L$135:$L$145)/4</f>
        <v>2548432.5625604307</v>
      </c>
      <c r="E74" s="559">
        <f>SUM('F) Remuneraciones'!$L$135:$L$145)/4</f>
        <v>2548432.5625604307</v>
      </c>
      <c r="F74" s="559">
        <v>0</v>
      </c>
      <c r="G74" s="559">
        <v>0</v>
      </c>
      <c r="H74" s="559">
        <v>0</v>
      </c>
      <c r="I74" s="559">
        <v>0</v>
      </c>
      <c r="J74" s="559">
        <v>0</v>
      </c>
      <c r="K74" s="559">
        <v>0</v>
      </c>
      <c r="L74" s="559">
        <v>0</v>
      </c>
      <c r="M74" s="559">
        <v>0</v>
      </c>
      <c r="N74" s="559">
        <f>SUM('F) Remuneraciones'!$L$135:$L$145)/4</f>
        <v>2548432.5625604307</v>
      </c>
      <c r="O74" s="573">
        <f t="shared" si="12"/>
        <v>10193730.250241723</v>
      </c>
      <c r="P74" s="554">
        <f>IF(Q73=12,C74+D74+E74+F74+G74+H74+I74+J74+K74+L74+M74+N74,IF(Q73=11,C74+D74+E74+F74+G74+H74+I74+J74+K74+L74+M74,IF(Q73=10,C74+D74+E74+F74+G74+H74+I74+J74+K74+L74,IF(Q73=9,C74+D74+E74+F74+G74+H74+I74+J74+K74,IF(Q73=8,C74+D74+E74+F74+G74+H74+I74+J74,IF(Q73=7,C74+D74+E74+F74+G74+H74+I74,IF(Q73=6,C74+D74+E74+F74+G74+H74,IF(Q73=5,C74+D74+E74+F74+G74,0))))))))</f>
        <v>10193730.250241723</v>
      </c>
      <c r="Q74" s="3209"/>
    </row>
    <row r="75" spans="2:19" x14ac:dyDescent="0.35">
      <c r="B75" s="572" t="s">
        <v>258</v>
      </c>
      <c r="C75" s="559">
        <f>SUM('F) Remuneraciones'!J124:J134)/2</f>
        <v>389357</v>
      </c>
      <c r="D75" s="559">
        <v>0</v>
      </c>
      <c r="E75" s="559">
        <v>0</v>
      </c>
      <c r="F75" s="559">
        <v>0</v>
      </c>
      <c r="G75" s="559">
        <v>0</v>
      </c>
      <c r="H75" s="559">
        <v>0</v>
      </c>
      <c r="I75" s="559">
        <v>0</v>
      </c>
      <c r="J75" s="559">
        <v>0</v>
      </c>
      <c r="K75" s="559">
        <f>SUM('F) Remuneraciones'!I124:I134)/2</f>
        <v>174472</v>
      </c>
      <c r="L75" s="559">
        <v>0</v>
      </c>
      <c r="M75" s="559">
        <v>0</v>
      </c>
      <c r="N75" s="559">
        <f>C75+K75</f>
        <v>563829</v>
      </c>
      <c r="O75" s="573">
        <f>SUM(C75:N75)</f>
        <v>1127658</v>
      </c>
      <c r="P75" s="305">
        <f>IF(Q75=12,C75+D75+E75+F75+G75+H75+I75+J75+K75+L75+M75+N75,IF(Q75=11,C75+D75+E75+F75+G75+H75+I75+J75+K75+L75+M75,IF(Q75=10,C75+D75+E75+F75+G75+H75+I75+J75+K75+L75,IF(Q75=9,C75+D75+E75+F75+G75+H75+I75+J75+K75,IF(Q75=8,C75+D75+E75+F75+G75+H75+I75+J75,IF(Q75=7,C75+D75+E75+F75+G75+H75+I75,IF(Q75=6,C75+D75+E75+F75+G75+H75,IF(Q75=5,C75+D75+E75+F75+G75,0))))))))</f>
        <v>1127658</v>
      </c>
      <c r="Q75" s="320">
        <f>COUNTA(#REF!,#REF!,#REF!,#REF!,#REF!,#REF!,#REF!,#REF!,#REF!,#REF!,#REF!,#REF!)</f>
        <v>12</v>
      </c>
    </row>
    <row r="76" spans="2:19" x14ac:dyDescent="0.35">
      <c r="B76" s="572" t="s">
        <v>259</v>
      </c>
      <c r="C76" s="559">
        <f>('C) Costos Directos'!$H$371-'C) Costos Directos'!$H$372)*C91</f>
        <v>5917074.044999999</v>
      </c>
      <c r="D76" s="559">
        <f>('C) Costos Directos'!$H$371-'C) Costos Directos'!$H$372)*D91</f>
        <v>13806506.104999999</v>
      </c>
      <c r="E76" s="559">
        <f>('C) Costos Directos'!$H$371-'C) Costos Directos'!$H$372)*E91</f>
        <v>13806506.104999999</v>
      </c>
      <c r="F76" s="559">
        <f>('C) Costos Directos'!$H$371-'C) Costos Directos'!$H$372)*F91</f>
        <v>0</v>
      </c>
      <c r="G76" s="559">
        <f>('C) Costos Directos'!$H$371-'C) Costos Directos'!$H$372)*G91</f>
        <v>0</v>
      </c>
      <c r="H76" s="559">
        <f>('C) Costos Directos'!$H$371-'C) Costos Directos'!$H$372)*H91</f>
        <v>0</v>
      </c>
      <c r="I76" s="559">
        <f>('C) Costos Directos'!$H$371-'C) Costos Directos'!$H$372)*I91</f>
        <v>0</v>
      </c>
      <c r="J76" s="559">
        <f>('C) Costos Directos'!$H$371-'C) Costos Directos'!$H$372)*J91</f>
        <v>0</v>
      </c>
      <c r="K76" s="559">
        <f>('C) Costos Directos'!$H$371-'C) Costos Directos'!$H$372)*K91</f>
        <v>0</v>
      </c>
      <c r="L76" s="559">
        <f>('C) Costos Directos'!$H$371-'C) Costos Directos'!$H$372)*L91</f>
        <v>0</v>
      </c>
      <c r="M76" s="559">
        <f>('C) Costos Directos'!$H$371-'C) Costos Directos'!$H$372)*M91</f>
        <v>0</v>
      </c>
      <c r="N76" s="559">
        <f>('C) Costos Directos'!$H$371-'C) Costos Directos'!$H$372)*N91</f>
        <v>5917074.044999999</v>
      </c>
      <c r="O76" s="573">
        <f t="shared" si="12"/>
        <v>39447160.299999997</v>
      </c>
      <c r="P76" s="305">
        <f>IF(Q76=12,C76+D76+E76+F76+G76+H76+I76+J76+K76+L76+M76+N76,IF(Q76=11,C76+D76+E76+F76+G76+H76+I76+J76+K76+L76+M76,IF(Q76=10,C76+D76+E76+F76+G76+H76+I76+J76+K76+L76,IF(Q76=9,C76+D76+E76+F76+G76+H76+I76+J76+K76,IF(Q76=8,C76+D76+E76+F76+G76+H76+I76+J76,IF(Q76=7,C76+D76+E76+F76+G76+H76+I76,IF(Q76=6,C76+D76+E76+F76+G76+H76,IF(Q76=5,C76+D76+E76+F76+G76,0))))))))</f>
        <v>39447160.299999997</v>
      </c>
      <c r="Q76" s="320">
        <f>COUNTA(#REF!,#REF!,#REF!,#REF!,#REF!,#REF!,#REF!,#REF!,#REF!,#REF!,#REF!,#REF!)</f>
        <v>12</v>
      </c>
    </row>
    <row r="77" spans="2:19" ht="15" thickBot="1" x14ac:dyDescent="0.4">
      <c r="B77" s="579" t="s">
        <v>292</v>
      </c>
      <c r="C77" s="562">
        <f>'C) Costos Directos'!$H$399*C81</f>
        <v>0</v>
      </c>
      <c r="D77" s="562">
        <f>'C) Costos Directos'!$H$399*D81</f>
        <v>0</v>
      </c>
      <c r="E77" s="562">
        <f>'C) Costos Directos'!$H$399*E81</f>
        <v>0</v>
      </c>
      <c r="F77" s="562">
        <f>'C) Costos Directos'!$H$399*F81</f>
        <v>0</v>
      </c>
      <c r="G77" s="562">
        <f>'C) Costos Directos'!$H$399*G81</f>
        <v>0</v>
      </c>
      <c r="H77" s="562">
        <f>'C) Costos Directos'!$H$399*H81</f>
        <v>0</v>
      </c>
      <c r="I77" s="562">
        <f>'C) Costos Directos'!$H$399*I81</f>
        <v>0</v>
      </c>
      <c r="J77" s="562">
        <f>'C) Costos Directos'!$H$399*J81</f>
        <v>0</v>
      </c>
      <c r="K77" s="562">
        <f>'C) Costos Directos'!$H$399*K81</f>
        <v>0</v>
      </c>
      <c r="L77" s="562">
        <f>'C) Costos Directos'!$H$399*L81</f>
        <v>0</v>
      </c>
      <c r="M77" s="562">
        <f>'C) Costos Directos'!$H$399*M81</f>
        <v>0</v>
      </c>
      <c r="N77" s="562">
        <f>'C) Costos Directos'!$H$399*N81</f>
        <v>0</v>
      </c>
      <c r="O77" s="578">
        <f t="shared" si="12"/>
        <v>0</v>
      </c>
      <c r="P77" s="305">
        <f>IF(Q77=12,C77+D77+E77+F77+G77+H77+I77+J77+K77+L77+M77+N77,IF(Q77=11,C77+D77+E77+F77+G77+H77+I77+J77+K77+L77+M77,IF(Q77=10,C77+D77+E77+F77+G77+H77+I77+J77+K77+L77,IF(Q77=9,C77+D77+E77+F77+G77+H77+I77+J77+K77,IF(Q77=8,C77+D77+E77+F77+G77+H77+I77+J77,IF(Q77=7,C77+D77+E77+F77+G77+H77+I77,IF(Q77=6,C77+D77+E77+F77+G77+H77,IF(Q77=5,C77+D77+E77+F77+G77,0))))))))</f>
        <v>0</v>
      </c>
      <c r="Q77" s="320">
        <f>COUNTA(#REF!,#REF!,#REF!,#REF!,#REF!,#REF!,#REF!,#REF!,#REF!,#REF!,#REF!,#REF!)</f>
        <v>12</v>
      </c>
    </row>
    <row r="78" spans="2:19" ht="15" thickBot="1" x14ac:dyDescent="0.4">
      <c r="B78" s="564" t="s">
        <v>260</v>
      </c>
      <c r="C78" s="566">
        <f>C72-(C73+C74+C75+C76+C77)</f>
        <v>201306.06127635948</v>
      </c>
      <c r="D78" s="566">
        <f t="shared" ref="D78:N78" si="13">D72-(D73+D74+D75+D76+D77)</f>
        <v>-6243320.0842073187</v>
      </c>
      <c r="E78" s="566">
        <f t="shared" si="13"/>
        <v>-7507059.0453971513</v>
      </c>
      <c r="F78" s="566">
        <f t="shared" si="13"/>
        <v>4680543.0591930747</v>
      </c>
      <c r="G78" s="566">
        <f t="shared" si="13"/>
        <v>2524061.4867103947</v>
      </c>
      <c r="H78" s="566">
        <f t="shared" si="13"/>
        <v>3416997.7633796716</v>
      </c>
      <c r="I78" s="566">
        <f t="shared" si="13"/>
        <v>3051568.8040010445</v>
      </c>
      <c r="J78" s="566">
        <f t="shared" si="13"/>
        <v>7727707.347601125</v>
      </c>
      <c r="K78" s="566">
        <f t="shared" si="13"/>
        <v>4395820.6859589899</v>
      </c>
      <c r="L78" s="566">
        <f t="shared" si="13"/>
        <v>6347710.474076055</v>
      </c>
      <c r="M78" s="566">
        <f t="shared" si="13"/>
        <v>5178079.1923193587</v>
      </c>
      <c r="N78" s="566">
        <f t="shared" si="13"/>
        <v>-365530.0351533182</v>
      </c>
      <c r="O78" s="580">
        <f t="shared" si="12"/>
        <v>23407885.709758285</v>
      </c>
      <c r="S78" s="1869"/>
    </row>
    <row r="79" spans="2:19" x14ac:dyDescent="0.35">
      <c r="B79" s="318" t="s">
        <v>261</v>
      </c>
      <c r="C79" s="271">
        <v>0.1148550919549431</v>
      </c>
      <c r="D79" s="271">
        <v>0.12642793327178151</v>
      </c>
      <c r="E79" s="271">
        <v>0.11257122238543951</v>
      </c>
      <c r="F79" s="271">
        <v>6.6876993044918329E-2</v>
      </c>
      <c r="G79" s="271">
        <v>4.3231491403121637E-2</v>
      </c>
      <c r="H79" s="271">
        <v>5.3022405670798634E-2</v>
      </c>
      <c r="I79" s="271">
        <v>4.9015531153897667E-2</v>
      </c>
      <c r="J79" s="271">
        <v>0.10028869899398715</v>
      </c>
      <c r="K79" s="271">
        <v>6.56681140011183E-2</v>
      </c>
      <c r="L79" s="271">
        <v>8.5157237285717238E-2</v>
      </c>
      <c r="M79" s="271">
        <v>7.233240319208073E-2</v>
      </c>
      <c r="N79" s="271">
        <v>0.11055287764219617</v>
      </c>
      <c r="O79" s="266"/>
    </row>
    <row r="80" spans="2:19" x14ac:dyDescent="0.35">
      <c r="B80" s="318" t="s">
        <v>262</v>
      </c>
      <c r="C80" s="271">
        <v>8.0663081503483981E-3</v>
      </c>
      <c r="D80" s="271">
        <v>0.47075116979188342</v>
      </c>
      <c r="E80" s="271">
        <v>0.23749748662436629</v>
      </c>
      <c r="F80" s="271">
        <v>2.4309891250618422E-2</v>
      </c>
      <c r="G80" s="271">
        <v>5.0479366131726565E-2</v>
      </c>
      <c r="H80" s="271">
        <v>1.4556512671728687E-2</v>
      </c>
      <c r="I80" s="271">
        <v>2.2621499535045487E-2</v>
      </c>
      <c r="J80" s="271">
        <v>3.1090139586516009E-2</v>
      </c>
      <c r="K80" s="271">
        <v>3.7332773278120582E-2</v>
      </c>
      <c r="L80" s="271">
        <v>5.1646616668739168E-2</v>
      </c>
      <c r="M80" s="271">
        <v>3.1115627639577193E-2</v>
      </c>
      <c r="N80" s="271">
        <v>2.0532608671329743E-2</v>
      </c>
      <c r="O80" s="266"/>
    </row>
    <row r="81" spans="2:19" ht="15" thickBot="1" x14ac:dyDescent="0.4">
      <c r="B81" s="318" t="s">
        <v>293</v>
      </c>
      <c r="C81" s="271">
        <v>8.0663081503483981E-3</v>
      </c>
      <c r="D81" s="271">
        <v>0.47075116979188342</v>
      </c>
      <c r="E81" s="271">
        <v>0.23749748662436629</v>
      </c>
      <c r="F81" s="271">
        <v>2.4309891250618422E-2</v>
      </c>
      <c r="G81" s="271">
        <v>5.0479366131726565E-2</v>
      </c>
      <c r="H81" s="271">
        <v>1.4556512671728687E-2</v>
      </c>
      <c r="I81" s="271">
        <v>2.2621499535045487E-2</v>
      </c>
      <c r="J81" s="271">
        <v>3.1090139586516009E-2</v>
      </c>
      <c r="K81" s="271">
        <v>3.7332773278120582E-2</v>
      </c>
      <c r="L81" s="271">
        <v>5.1646616668739168E-2</v>
      </c>
      <c r="M81" s="271">
        <v>3.1115627639577193E-2</v>
      </c>
      <c r="N81" s="271">
        <v>2.0532608671329743E-2</v>
      </c>
    </row>
    <row r="82" spans="2:19" ht="29" x14ac:dyDescent="0.35">
      <c r="B82" s="568" t="s">
        <v>268</v>
      </c>
      <c r="C82" s="569" t="s">
        <v>243</v>
      </c>
      <c r="D82" s="569" t="s">
        <v>244</v>
      </c>
      <c r="E82" s="569" t="s">
        <v>245</v>
      </c>
      <c r="F82" s="569" t="s">
        <v>246</v>
      </c>
      <c r="G82" s="569" t="s">
        <v>247</v>
      </c>
      <c r="H82" s="569" t="s">
        <v>248</v>
      </c>
      <c r="I82" s="569" t="s">
        <v>197</v>
      </c>
      <c r="J82" s="570" t="s">
        <v>249</v>
      </c>
      <c r="K82" s="569" t="s">
        <v>250</v>
      </c>
      <c r="L82" s="569" t="s">
        <v>251</v>
      </c>
      <c r="M82" s="569" t="s">
        <v>252</v>
      </c>
      <c r="N82" s="569" t="s">
        <v>253</v>
      </c>
      <c r="O82" s="571" t="s">
        <v>343</v>
      </c>
      <c r="P82" s="305"/>
      <c r="Q82" s="319" t="s">
        <v>344</v>
      </c>
    </row>
    <row r="83" spans="2:19" x14ac:dyDescent="0.35">
      <c r="B83" s="572" t="s">
        <v>255</v>
      </c>
      <c r="C83" s="559">
        <f>'A) Resumen Ingresos y Egresos'!$E$15*C90</f>
        <v>0</v>
      </c>
      <c r="D83" s="559">
        <f>'A) Resumen Ingresos y Egresos'!$E$15*D90</f>
        <v>0</v>
      </c>
      <c r="E83" s="559">
        <f>'A) Resumen Ingresos y Egresos'!$E$15*E90</f>
        <v>0</v>
      </c>
      <c r="F83" s="559">
        <f>'A) Resumen Ingresos y Egresos'!$E$15*F90</f>
        <v>0</v>
      </c>
      <c r="G83" s="559">
        <f>'A) Resumen Ingresos y Egresos'!$E$15*G90</f>
        <v>0</v>
      </c>
      <c r="H83" s="559">
        <f>'A) Resumen Ingresos y Egresos'!$E$15*H90</f>
        <v>0</v>
      </c>
      <c r="I83" s="559">
        <f>'A) Resumen Ingresos y Egresos'!$E$15*I90</f>
        <v>0</v>
      </c>
      <c r="J83" s="559">
        <f>'A) Resumen Ingresos y Egresos'!$E$15*J90</f>
        <v>0</v>
      </c>
      <c r="K83" s="559">
        <f>'A) Resumen Ingresos y Egresos'!$E$15*K90</f>
        <v>0</v>
      </c>
      <c r="L83" s="559">
        <f>'A) Resumen Ingresos y Egresos'!$E$15*L90</f>
        <v>0</v>
      </c>
      <c r="M83" s="559">
        <f>'A) Resumen Ingresos y Egresos'!$E$15*M90</f>
        <v>0</v>
      </c>
      <c r="N83" s="559">
        <f>'A) Resumen Ingresos y Egresos'!$E$15*N90</f>
        <v>0</v>
      </c>
      <c r="O83" s="573">
        <f t="shared" ref="O83:O89" si="14">SUM(C83:N83)</f>
        <v>0</v>
      </c>
      <c r="P83" s="305">
        <f>IF(Q83=12,C83+D83+E83+F83+G83+H83+I83+J83+K83+L83+M83+N83,IF(Q83=11,C83+D83+E83+F83+G83+H83+I83+J83+K83+L83+M83,IF(Q83=10,C83+D83+E83+F83+G83+H83+I83+J83+K83+L83,IF(Q83=9,C83+D83+E83+F83+G83+H83+I83+J83+K83,IF(Q83=8,C83+D83+E83+F83+G83+H83+I83+J83,IF(Q83=7,C83+D83+E83+F83+G83+H83+I83,IF(Q83=6,C83+D83+E83+F83+G83+H83,IF(Q83=5,C83+D83+E83+F83+G83,0))))))))</f>
        <v>0</v>
      </c>
      <c r="Q83" s="320">
        <f>COUNTA(#REF!,#REF!,#REF!,#REF!,#REF!,#REF!,#REF!,#REF!,#REF!,#REF!,#REF!,#REF!)</f>
        <v>12</v>
      </c>
    </row>
    <row r="84" spans="2:19" x14ac:dyDescent="0.35">
      <c r="B84" s="572" t="s">
        <v>256</v>
      </c>
      <c r="C84" s="559">
        <f>SUM('F) Remuneraciones'!H146:H156)*(1+'F) Remuneraciones'!$M$7)*(1+'F) Remuneraciones'!M8)/12</f>
        <v>0</v>
      </c>
      <c r="D84" s="559">
        <f t="shared" ref="D84:N84" si="15">C84</f>
        <v>0</v>
      </c>
      <c r="E84" s="559">
        <f t="shared" si="15"/>
        <v>0</v>
      </c>
      <c r="F84" s="559">
        <f t="shared" si="15"/>
        <v>0</v>
      </c>
      <c r="G84" s="559">
        <f t="shared" si="15"/>
        <v>0</v>
      </c>
      <c r="H84" s="559">
        <f t="shared" si="15"/>
        <v>0</v>
      </c>
      <c r="I84" s="559">
        <f t="shared" si="15"/>
        <v>0</v>
      </c>
      <c r="J84" s="559">
        <f t="shared" si="15"/>
        <v>0</v>
      </c>
      <c r="K84" s="559">
        <f t="shared" si="15"/>
        <v>0</v>
      </c>
      <c r="L84" s="559">
        <f t="shared" si="15"/>
        <v>0</v>
      </c>
      <c r="M84" s="559">
        <f t="shared" si="15"/>
        <v>0</v>
      </c>
      <c r="N84" s="559">
        <f t="shared" si="15"/>
        <v>0</v>
      </c>
      <c r="O84" s="573">
        <f t="shared" si="14"/>
        <v>0</v>
      </c>
      <c r="P84" s="554">
        <f>IF(Q84=12,C84+D84+E84+F84+G84+H84+I84+J84+K84+L84+M84+N84,IF(Q84=11,C84+D84+E84+F84+G84+H84+I84+J84+K84+L84+M84,IF(Q84=10,C84+D84+E84+F84+G84+H84+I84+J84+K84+L84,IF(Q84=9,C84+D84+E84+F84+G84+H84+I84+J84+K84,IF(Q84=8,C84+D84+E84+F84+G84+H84+I84+J84,IF(Q84=7,C84+D84+E84+F84+G84+H84+I84,IF(Q84=6,C84+D84+E84+F84+G84+H84,IF(Q84=5,C84+D84+E84+F84+G84,0))))))))</f>
        <v>0</v>
      </c>
      <c r="Q84" s="3209">
        <f>COUNTA(#REF!,#REF!,#REF!,#REF!,#REF!,#REF!,#REF!,#REF!,#REF!,#REF!,#REF!,#REF!)</f>
        <v>12</v>
      </c>
    </row>
    <row r="85" spans="2:19" x14ac:dyDescent="0.35">
      <c r="B85" s="572" t="s">
        <v>257</v>
      </c>
      <c r="C85" s="559">
        <f>SUM('F) Remuneraciones'!$L$157:$L$167)/4</f>
        <v>2732486.3843473624</v>
      </c>
      <c r="D85" s="559">
        <f>SUM('F) Remuneraciones'!$L$157:$L$167)/4</f>
        <v>2732486.3843473624</v>
      </c>
      <c r="E85" s="559">
        <f>SUM('F) Remuneraciones'!$L$157:$L$167)/4</f>
        <v>2732486.3843473624</v>
      </c>
      <c r="F85" s="559">
        <v>0</v>
      </c>
      <c r="G85" s="559">
        <v>0</v>
      </c>
      <c r="H85" s="559">
        <v>0</v>
      </c>
      <c r="I85" s="559">
        <v>0</v>
      </c>
      <c r="J85" s="559">
        <v>0</v>
      </c>
      <c r="K85" s="559">
        <v>0</v>
      </c>
      <c r="L85" s="559">
        <v>0</v>
      </c>
      <c r="M85" s="559">
        <v>0</v>
      </c>
      <c r="N85" s="559">
        <f>SUM('F) Remuneraciones'!$L$157:$L$167)/4</f>
        <v>2732486.3843473624</v>
      </c>
      <c r="O85" s="573">
        <f t="shared" si="14"/>
        <v>10929945.53738945</v>
      </c>
      <c r="P85" s="554">
        <f>IF(Q84=12,C85+D85+E85+F85+G85+H85+I85+J85+K85+L85+M85+N85,IF(Q84=11,C85+D85+E85+F85+G85+H85+I85+J85+K85+L85+M85,IF(Q84=10,C85+D85+E85+F85+G85+H85+I85+J85+K85+L85,IF(Q84=9,C85+D85+E85+F85+G85+H85+I85+J85+K85,IF(Q84=8,C85+D85+E85+F85+G85+H85+I85+J85,IF(Q84=7,C85+D85+E85+F85+G85+H85+I85,IF(Q84=6,C85+D85+E85+F85+G85+H85,IF(Q84=5,C85+D85+E85+F85+G85,0))))))))</f>
        <v>10929945.53738945</v>
      </c>
      <c r="Q85" s="3209"/>
    </row>
    <row r="86" spans="2:19" x14ac:dyDescent="0.35">
      <c r="B86" s="572" t="s">
        <v>258</v>
      </c>
      <c r="C86" s="559">
        <f>(SUM('F) Remuneraciones'!$I$146:$I$167))*(1+'F) Remuneraciones'!$M$7)/2</f>
        <v>0</v>
      </c>
      <c r="D86" s="559">
        <v>0</v>
      </c>
      <c r="E86" s="559">
        <v>0</v>
      </c>
      <c r="F86" s="559">
        <v>0</v>
      </c>
      <c r="G86" s="559">
        <v>0</v>
      </c>
      <c r="H86" s="559">
        <v>0</v>
      </c>
      <c r="I86" s="559">
        <v>0</v>
      </c>
      <c r="J86" s="559">
        <v>0</v>
      </c>
      <c r="K86" s="559">
        <f>(SUM('F) Remuneraciones'!$I$146:$I$167))*(1+'F) Remuneraciones'!$M$7)/2</f>
        <v>0</v>
      </c>
      <c r="L86" s="559">
        <v>0</v>
      </c>
      <c r="M86" s="559">
        <v>0</v>
      </c>
      <c r="N86" s="559">
        <f>C86+K86</f>
        <v>0</v>
      </c>
      <c r="O86" s="573">
        <f t="shared" si="14"/>
        <v>0</v>
      </c>
      <c r="P86" s="305">
        <f>IF(Q86=12,C86+D86+E86+F86+G86+H86+I86+J86+K86+L86+M86+N86,IF(Q86=11,C86+D86+E86+F86+G86+H86+I86+J86+K86+L86+M86,IF(Q86=10,C86+D86+E86+F86+G86+H86+I86+J86+K86+L86,IF(Q86=9,C86+D86+E86+F86+G86+H86+I86+J86+K86,IF(Q86=8,C86+D86+E86+F86+G86+H86+I86+J86,IF(Q86=7,C86+D86+E86+F86+G86+H86+I86,IF(Q86=6,C86+D86+E86+F86+G86+H86,IF(Q86=5,C86+D86+E86+F86+G86,0))))))))</f>
        <v>0</v>
      </c>
      <c r="Q86" s="320">
        <f>COUNTA(#REF!,#REF!,#REF!,#REF!,#REF!,#REF!,#REF!,#REF!,#REF!,#REF!,#REF!,#REF!)</f>
        <v>12</v>
      </c>
    </row>
    <row r="87" spans="2:19" x14ac:dyDescent="0.35">
      <c r="B87" s="572" t="s">
        <v>259</v>
      </c>
      <c r="C87" s="559">
        <f>'C) Costos Directos'!$H$451*C91</f>
        <v>3022987.5</v>
      </c>
      <c r="D87" s="559">
        <f>'C) Costos Directos'!$H$451*D91</f>
        <v>7053637.5</v>
      </c>
      <c r="E87" s="559">
        <f>'C) Costos Directos'!$H$451*E91</f>
        <v>7053637.5</v>
      </c>
      <c r="F87" s="559">
        <f>'C) Costos Directos'!$H$451*F91</f>
        <v>0</v>
      </c>
      <c r="G87" s="559">
        <f>'C) Costos Directos'!$H$451*G91</f>
        <v>0</v>
      </c>
      <c r="H87" s="559">
        <f>'C) Costos Directos'!$H$451*H91</f>
        <v>0</v>
      </c>
      <c r="I87" s="559">
        <f>'C) Costos Directos'!$H$451*I91</f>
        <v>0</v>
      </c>
      <c r="J87" s="559">
        <f>'C) Costos Directos'!$H$451*J91</f>
        <v>0</v>
      </c>
      <c r="K87" s="559">
        <f>'C) Costos Directos'!$H$451*K91</f>
        <v>0</v>
      </c>
      <c r="L87" s="559">
        <f>'C) Costos Directos'!$H$451*L91</f>
        <v>0</v>
      </c>
      <c r="M87" s="559">
        <f>'C) Costos Directos'!$H$451*M91</f>
        <v>0</v>
      </c>
      <c r="N87" s="559">
        <f>'C) Costos Directos'!$H$451*N91</f>
        <v>3022987.5</v>
      </c>
      <c r="O87" s="573">
        <f>SUM(C87:N87)</f>
        <v>20153250</v>
      </c>
      <c r="P87" s="305">
        <f>IF(Q87=12,C87+D87+E87+F87+G87+H87+I87+J87+K87+L87+M87+N87,IF(Q87=11,C87+D87+E87+F87+G87+H87+I87+J87+K87+L87+M87,IF(Q87=10,C87+D87+E87+F87+G87+H87+I87+J87+K87+L87,IF(Q87=9,C87+D87+E87+F87+G87+H87+I87+J87+K87,IF(Q87=8,C87+D87+E87+F87+G87+H87+I87+J87,IF(Q87=7,C87+D87+E87+F87+G87+H87+I87,IF(Q87=6,C87+D87+E87+F87+G87+H87,IF(Q87=5,C87+D87+E87+F87+G87,0))))))))</f>
        <v>20153250</v>
      </c>
      <c r="Q87" s="320">
        <f>COUNTA(#REF!,#REF!,#REF!,#REF!,#REF!,#REF!,#REF!,#REF!,#REF!,#REF!,#REF!,#REF!)</f>
        <v>12</v>
      </c>
    </row>
    <row r="88" spans="2:19" ht="15" thickBot="1" x14ac:dyDescent="0.4">
      <c r="B88" s="579" t="s">
        <v>292</v>
      </c>
      <c r="C88" s="562">
        <f>SUM('C) Costos Directos'!$H$471)*C92</f>
        <v>44311.049999999996</v>
      </c>
      <c r="D88" s="562">
        <f>SUM('C) Costos Directos'!$H$471)*D92</f>
        <v>103392.45</v>
      </c>
      <c r="E88" s="562">
        <f>SUM('C) Costos Directos'!$H$471)*E92</f>
        <v>103392.45</v>
      </c>
      <c r="F88" s="562">
        <f>SUM('C) Costos Directos'!$H$471)*F92</f>
        <v>0</v>
      </c>
      <c r="G88" s="562">
        <f>SUM('C) Costos Directos'!$H$471)*G92</f>
        <v>0</v>
      </c>
      <c r="H88" s="562">
        <f>SUM('C) Costos Directos'!$H$471)*H92</f>
        <v>0</v>
      </c>
      <c r="I88" s="562">
        <f>SUM('C) Costos Directos'!$H$471)*I92</f>
        <v>0</v>
      </c>
      <c r="J88" s="562">
        <f>SUM('C) Costos Directos'!$H$471)*J92</f>
        <v>0</v>
      </c>
      <c r="K88" s="562">
        <f>SUM('C) Costos Directos'!$H$471)*K92</f>
        <v>0</v>
      </c>
      <c r="L88" s="562">
        <f>SUM('C) Costos Directos'!$H$471)*L92</f>
        <v>0</v>
      </c>
      <c r="M88" s="562">
        <f>SUM('C) Costos Directos'!$H$471)*M92</f>
        <v>0</v>
      </c>
      <c r="N88" s="562">
        <f>SUM('C) Costos Directos'!$H$471)*N92</f>
        <v>44311.049999999996</v>
      </c>
      <c r="O88" s="578">
        <f t="shared" si="14"/>
        <v>295407</v>
      </c>
      <c r="P88" s="305">
        <f>IF(Q88=12,C88+D88+E88+F88+G88+H88+I88+J88+K88+L88+M88+N88,IF(Q88=11,C88+D88+E88+F88+G88+H88+I88+J88+K88+L88+M88,IF(Q88=10,C88+D88+E88+F88+G88+H88+I88+J88+K88+L88,IF(Q88=9,C88+D88+E88+F88+G88+H88+I88+J88+K88,IF(Q88=8,C88+D88+E88+F88+G88+H88+I88+J88,IF(Q88=7,C88+D88+E88+F88+G88+H88+I88,IF(Q88=6,C88+D88+E88+F88+G88+H88,IF(Q88=5,C88+D88+E88+F88+G88,0))))))))</f>
        <v>295407</v>
      </c>
      <c r="Q88" s="320">
        <f>COUNTA(#REF!,#REF!,#REF!,#REF!,#REF!,#REF!,#REF!,#REF!,#REF!,#REF!,#REF!,#REF!)</f>
        <v>12</v>
      </c>
    </row>
    <row r="89" spans="2:19" ht="15" thickBot="1" x14ac:dyDescent="0.4">
      <c r="B89" s="564" t="s">
        <v>260</v>
      </c>
      <c r="C89" s="566">
        <f>C83-(C84+C85+C86+C87+C88)</f>
        <v>-5799784.9343473623</v>
      </c>
      <c r="D89" s="566">
        <f t="shared" ref="D89:N89" si="16">D83-(D84+D85+D86+D87+D88)</f>
        <v>-9889516.3343473617</v>
      </c>
      <c r="E89" s="566">
        <f t="shared" si="16"/>
        <v>-9889516.3343473617</v>
      </c>
      <c r="F89" s="566">
        <f t="shared" si="16"/>
        <v>0</v>
      </c>
      <c r="G89" s="566">
        <f t="shared" si="16"/>
        <v>0</v>
      </c>
      <c r="H89" s="566">
        <f t="shared" si="16"/>
        <v>0</v>
      </c>
      <c r="I89" s="566">
        <f t="shared" si="16"/>
        <v>0</v>
      </c>
      <c r="J89" s="566">
        <f t="shared" si="16"/>
        <v>0</v>
      </c>
      <c r="K89" s="566">
        <f t="shared" si="16"/>
        <v>0</v>
      </c>
      <c r="L89" s="566">
        <f t="shared" si="16"/>
        <v>0</v>
      </c>
      <c r="M89" s="566">
        <f t="shared" si="16"/>
        <v>0</v>
      </c>
      <c r="N89" s="566">
        <f t="shared" si="16"/>
        <v>-5799784.9343473623</v>
      </c>
      <c r="O89" s="580">
        <f t="shared" si="14"/>
        <v>-31378602.53738945</v>
      </c>
      <c r="S89" s="1869"/>
    </row>
    <row r="90" spans="2:19" x14ac:dyDescent="0.35">
      <c r="B90" s="318" t="s">
        <v>261</v>
      </c>
      <c r="C90" s="271">
        <v>0.35</v>
      </c>
      <c r="D90" s="271">
        <v>0.35</v>
      </c>
      <c r="E90" s="271">
        <v>0.15</v>
      </c>
      <c r="F90" s="271">
        <v>0</v>
      </c>
      <c r="G90" s="271">
        <v>0</v>
      </c>
      <c r="H90" s="271">
        <v>0</v>
      </c>
      <c r="I90" s="271">
        <v>0</v>
      </c>
      <c r="J90" s="271">
        <v>0</v>
      </c>
      <c r="K90" s="271">
        <v>0</v>
      </c>
      <c r="L90" s="271">
        <v>0</v>
      </c>
      <c r="M90" s="271">
        <v>0</v>
      </c>
      <c r="N90" s="271">
        <v>0.15</v>
      </c>
      <c r="O90" s="266"/>
    </row>
    <row r="91" spans="2:19" x14ac:dyDescent="0.35">
      <c r="B91" s="318" t="s">
        <v>262</v>
      </c>
      <c r="C91" s="271">
        <v>0.15</v>
      </c>
      <c r="D91" s="271">
        <v>0.35</v>
      </c>
      <c r="E91" s="271">
        <v>0.35</v>
      </c>
      <c r="F91" s="271">
        <v>0</v>
      </c>
      <c r="G91" s="271">
        <v>0</v>
      </c>
      <c r="H91" s="271">
        <v>0</v>
      </c>
      <c r="I91" s="271">
        <v>0</v>
      </c>
      <c r="J91" s="271">
        <v>0</v>
      </c>
      <c r="K91" s="271">
        <v>0</v>
      </c>
      <c r="L91" s="271">
        <v>0</v>
      </c>
      <c r="M91" s="271">
        <v>0</v>
      </c>
      <c r="N91" s="271">
        <v>0.15</v>
      </c>
      <c r="O91" s="266"/>
    </row>
    <row r="92" spans="2:19" ht="15" thickBot="1" x14ac:dyDescent="0.4">
      <c r="B92" s="318" t="s">
        <v>293</v>
      </c>
      <c r="C92" s="271">
        <v>0.15</v>
      </c>
      <c r="D92" s="271">
        <v>0.35</v>
      </c>
      <c r="E92" s="271">
        <v>0.35</v>
      </c>
      <c r="F92" s="271">
        <v>0</v>
      </c>
      <c r="G92" s="271">
        <v>0</v>
      </c>
      <c r="H92" s="271">
        <v>0</v>
      </c>
      <c r="I92" s="271">
        <v>0</v>
      </c>
      <c r="J92" s="271">
        <v>0</v>
      </c>
      <c r="K92" s="271">
        <v>0</v>
      </c>
      <c r="L92" s="271">
        <v>0</v>
      </c>
      <c r="M92" s="271">
        <v>0</v>
      </c>
      <c r="N92" s="271">
        <v>0.15</v>
      </c>
    </row>
    <row r="93" spans="2:19" ht="29" x14ac:dyDescent="0.35">
      <c r="B93" s="568" t="s">
        <v>269</v>
      </c>
      <c r="C93" s="569" t="s">
        <v>243</v>
      </c>
      <c r="D93" s="569" t="s">
        <v>244</v>
      </c>
      <c r="E93" s="569" t="s">
        <v>245</v>
      </c>
      <c r="F93" s="569" t="s">
        <v>246</v>
      </c>
      <c r="G93" s="569" t="s">
        <v>247</v>
      </c>
      <c r="H93" s="569" t="s">
        <v>248</v>
      </c>
      <c r="I93" s="569" t="s">
        <v>197</v>
      </c>
      <c r="J93" s="570" t="s">
        <v>249</v>
      </c>
      <c r="K93" s="569" t="s">
        <v>250</v>
      </c>
      <c r="L93" s="569" t="s">
        <v>251</v>
      </c>
      <c r="M93" s="569" t="s">
        <v>252</v>
      </c>
      <c r="N93" s="569" t="s">
        <v>253</v>
      </c>
      <c r="O93" s="571" t="s">
        <v>343</v>
      </c>
      <c r="P93" s="305"/>
      <c r="Q93" s="319" t="s">
        <v>344</v>
      </c>
    </row>
    <row r="94" spans="2:19" x14ac:dyDescent="0.35">
      <c r="B94" s="572" t="s">
        <v>255</v>
      </c>
      <c r="C94" s="559">
        <f>+'A) Resumen Ingresos y Egresos'!$E$16*'J)Estructura Economica Mensu.'!C101</f>
        <v>31426668</v>
      </c>
      <c r="D94" s="559">
        <f>+'A) Resumen Ingresos y Egresos'!$E$16*'J)Estructura Economica Mensu.'!D101</f>
        <v>41902224.000000007</v>
      </c>
      <c r="E94" s="559">
        <f>+'A) Resumen Ingresos y Egresos'!$E$16*'J)Estructura Economica Mensu.'!E101</f>
        <v>14965080</v>
      </c>
      <c r="F94" s="559">
        <f>+'A) Resumen Ingresos y Egresos'!$E$16*'J)Estructura Economica Mensu.'!F101</f>
        <v>8979048</v>
      </c>
      <c r="G94" s="559">
        <f>+'A) Resumen Ingresos y Egresos'!$E$16*'J)Estructura Economica Mensu.'!G101</f>
        <v>1496508</v>
      </c>
      <c r="H94" s="559">
        <f>+'A) Resumen Ingresos y Egresos'!$E$16*'J)Estructura Economica Mensu.'!H101</f>
        <v>0</v>
      </c>
      <c r="I94" s="559">
        <f>+'A) Resumen Ingresos y Egresos'!$E$16*'J)Estructura Economica Mensu.'!I101</f>
        <v>2993016</v>
      </c>
      <c r="J94" s="559">
        <f>+'A) Resumen Ingresos y Egresos'!$E$16*'J)Estructura Economica Mensu.'!J101</f>
        <v>2993016</v>
      </c>
      <c r="K94" s="559">
        <f>+'A) Resumen Ingresos y Egresos'!$E$16*'J)Estructura Economica Mensu.'!K101</f>
        <v>8979048</v>
      </c>
      <c r="L94" s="559">
        <f>+'A) Resumen Ingresos y Egresos'!$E$16*'J)Estructura Economica Mensu.'!L101</f>
        <v>8979048</v>
      </c>
      <c r="M94" s="559">
        <f>+'A) Resumen Ingresos y Egresos'!$E$16*'J)Estructura Economica Mensu.'!M101</f>
        <v>10475556.000000002</v>
      </c>
      <c r="N94" s="559">
        <f>+'A) Resumen Ingresos y Egresos'!$E$16*'J)Estructura Economica Mensu.'!N101</f>
        <v>16461588</v>
      </c>
      <c r="O94" s="573">
        <f>SUM(C94:N94)</f>
        <v>149650800</v>
      </c>
      <c r="P94" s="305">
        <f>IF(Q94=12,C94+D94+E94+F94+G94+H94+I94+J94+K94+L94+M94+N94,IF(Q94=11,C94+D94+E94+F94+G94+H94+I94+J94+K94+L94+M94,IF(Q94=10,C94+D94+E94+F94+G94+H94+I94+J94+K94+L94,IF(Q94=9,C94+D94+E94+F94+G94+H94+I94+J94+K94,IF(Q94=8,C94+D94+E94+F94+G94+H94+I94+J94,IF(Q94=7,C94+D94+E94+F94+G94+H94+I94,IF(Q94=6,C94+D94+E94+F94+G94+H94,IF(Q94=5,C94+D94+E94+F94+G94,0))))))))</f>
        <v>149650800</v>
      </c>
      <c r="Q94" s="320">
        <f>COUNTA(#REF!,#REF!,#REF!,#REF!,#REF!,#REF!,#REF!,#REF!,#REF!,#REF!,#REF!,#REF!)</f>
        <v>12</v>
      </c>
      <c r="R94" s="1869"/>
      <c r="S94" s="1870"/>
    </row>
    <row r="95" spans="2:19" x14ac:dyDescent="0.35">
      <c r="B95" s="572" t="s">
        <v>256</v>
      </c>
      <c r="C95" s="559">
        <f>(SUM('F) Remuneraciones'!$H$168:$H$178)*(1+'F) Remuneraciones'!$M$7))*(1+'F) Remuneraciones'!$M$8)/12</f>
        <v>1674026.2549999999</v>
      </c>
      <c r="D95" s="559">
        <f>(SUM('F) Remuneraciones'!$H$168:$H$178)*(1+'F) Remuneraciones'!$M$7))*(1+'F) Remuneraciones'!$M$8)/12</f>
        <v>1674026.2549999999</v>
      </c>
      <c r="E95" s="559">
        <f>(SUM('F) Remuneraciones'!$H$168:$H$178)*(1+'F) Remuneraciones'!$M$7))*(1+'F) Remuneraciones'!$M$8)/12</f>
        <v>1674026.2549999999</v>
      </c>
      <c r="F95" s="559">
        <f>(SUM('F) Remuneraciones'!$H$168:$H$178)*(1+'F) Remuneraciones'!$M$7))*(1+'F) Remuneraciones'!$M$8)/12</f>
        <v>1674026.2549999999</v>
      </c>
      <c r="G95" s="559">
        <f>(SUM('F) Remuneraciones'!$H$168:$H$178)*(1+'F) Remuneraciones'!$M$7))*(1+'F) Remuneraciones'!$M$8)/12</f>
        <v>1674026.2549999999</v>
      </c>
      <c r="H95" s="559">
        <f>(SUM('F) Remuneraciones'!$H$168:$H$178)*(1+'F) Remuneraciones'!$M$7))*(1+'F) Remuneraciones'!$M$8)/12</f>
        <v>1674026.2549999999</v>
      </c>
      <c r="I95" s="559">
        <f>(SUM('F) Remuneraciones'!$H$168:$H$178)*(1+'F) Remuneraciones'!$M$7))*(1+'F) Remuneraciones'!$M$8)/12</f>
        <v>1674026.2549999999</v>
      </c>
      <c r="J95" s="559">
        <f>(SUM('F) Remuneraciones'!$H$168:$H$178)*(1+'F) Remuneraciones'!$M$7))*(1+'F) Remuneraciones'!$M$8)/12</f>
        <v>1674026.2549999999</v>
      </c>
      <c r="K95" s="559">
        <f>(SUM('F) Remuneraciones'!$H$168:$H$178)*(1+'F) Remuneraciones'!$M$7))*(1+'F) Remuneraciones'!$M$8)/12</f>
        <v>1674026.2549999999</v>
      </c>
      <c r="L95" s="559">
        <f>(SUM('F) Remuneraciones'!$H$168:$H$178)*(1+'F) Remuneraciones'!$M$7))*(1+'F) Remuneraciones'!$M$8)/12</f>
        <v>1674026.2549999999</v>
      </c>
      <c r="M95" s="559">
        <f>(SUM('F) Remuneraciones'!$H$168:$H$178)*(1+'F) Remuneraciones'!$M$7))*(1+'F) Remuneraciones'!$M$8)/12</f>
        <v>1674026.2549999999</v>
      </c>
      <c r="N95" s="559">
        <f>(SUM('F) Remuneraciones'!$H$168:$H$178)*(1+'F) Remuneraciones'!$M$7))*(1+'F) Remuneraciones'!$M$8)/12</f>
        <v>1674026.2549999999</v>
      </c>
      <c r="O95" s="573">
        <f>SUM(C95:N95)</f>
        <v>20088315.059999995</v>
      </c>
      <c r="P95" s="554">
        <f>IF(Q95=12,C95+D95+E95+F95+G95+H95+I95+J95+K95+L95+M95+N95,IF(Q95=11,C95+D95+E95+F95+G95+H95+I95+J95+K95+L95+M95,IF(Q95=10,C95+D95+E95+F95+G95+H95+I95+J95+K95+L95,IF(Q95=9,C95+D95+E95+F95+G95+H95+I95+J95+K95,IF(Q95=8,C95+D95+E95+F95+G95+H95+I95+J95,IF(Q95=7,C95+D95+E95+F95+G95+H95+I95,IF(Q95=6,C95+D95+E95+F95+G95+H95,IF(Q95=5,C95+D95+E95+F95+G95,0))))))))</f>
        <v>20088315.059999995</v>
      </c>
      <c r="Q95" s="3209">
        <f>COUNTA(#REF!,#REF!,#REF!,#REF!,#REF!,#REF!,#REF!,#REF!,#REF!,#REF!,#REF!,#REF!)</f>
        <v>12</v>
      </c>
    </row>
    <row r="96" spans="2:19" x14ac:dyDescent="0.35">
      <c r="B96" s="572" t="s">
        <v>257</v>
      </c>
      <c r="C96" s="559">
        <f>SUM('F) Remuneraciones'!$L$179:$L$189)/4</f>
        <v>4088630.5304297013</v>
      </c>
      <c r="D96" s="559">
        <f>SUM('F) Remuneraciones'!$L$179:$L$189)/4</f>
        <v>4088630.5304297013</v>
      </c>
      <c r="E96" s="559">
        <f>SUM('F) Remuneraciones'!$L$179:$L$189)/4</f>
        <v>4088630.5304297013</v>
      </c>
      <c r="F96" s="559">
        <v>0</v>
      </c>
      <c r="G96" s="559">
        <v>0</v>
      </c>
      <c r="H96" s="559">
        <v>0</v>
      </c>
      <c r="I96" s="559">
        <v>0</v>
      </c>
      <c r="J96" s="559">
        <v>0</v>
      </c>
      <c r="K96" s="559">
        <v>0</v>
      </c>
      <c r="L96" s="559">
        <v>0</v>
      </c>
      <c r="M96" s="559">
        <v>0</v>
      </c>
      <c r="N96" s="559">
        <f>SUM('F) Remuneraciones'!$L$179:$L$189)/4</f>
        <v>4088630.5304297013</v>
      </c>
      <c r="O96" s="573">
        <f>SUM(C96:N96)</f>
        <v>16354522.121718805</v>
      </c>
      <c r="P96" s="554">
        <f>IF(Q95=12,C96+D96+E96+F96+G96+H96+I96+J96+K96+L96+M96+N96,IF(Q95=11,C96+D96+E96+F96+G96+H96+I96+J96+K96+L96+M96,IF(Q95=10,C96+D96+E96+F96+G96+H96+I96+J96+K96+L96,IF(Q95=9,C96+D96+E96+F96+G96+H96+I96+J96+K96,IF(Q95=8,C96+D96+E96+F96+G96+H96+I96+J96,IF(Q95=7,C96+D96+E96+F96+G96+H96+I96,IF(Q95=6,C96+D96+E96+F96+G96+H96,IF(Q95=5,C96+D96+E96+F96+G96,0))))))))</f>
        <v>16354522.121718805</v>
      </c>
      <c r="Q96" s="3209"/>
    </row>
    <row r="97" spans="2:20" x14ac:dyDescent="0.35">
      <c r="B97" s="572" t="s">
        <v>258</v>
      </c>
      <c r="C97" s="559">
        <f>SUM('F) Remuneraciones'!J168:J178)/2</f>
        <v>108572.5</v>
      </c>
      <c r="D97" s="559">
        <v>0</v>
      </c>
      <c r="E97" s="559">
        <v>0</v>
      </c>
      <c r="F97" s="559">
        <v>0</v>
      </c>
      <c r="G97" s="559">
        <v>0</v>
      </c>
      <c r="H97" s="559">
        <v>0</v>
      </c>
      <c r="I97" s="559">
        <v>0</v>
      </c>
      <c r="J97" s="559">
        <v>0</v>
      </c>
      <c r="K97" s="559">
        <f>SUM('F) Remuneraciones'!I168:I178)/2</f>
        <v>85064</v>
      </c>
      <c r="L97" s="559">
        <v>0</v>
      </c>
      <c r="M97" s="559">
        <v>0</v>
      </c>
      <c r="N97" s="559">
        <f>C97+K97</f>
        <v>193636.5</v>
      </c>
      <c r="O97" s="573">
        <f t="shared" ref="O97" si="17">SUM(C97:N97)</f>
        <v>387273</v>
      </c>
      <c r="P97" s="305">
        <f>IF(Q97=12,C97+D97+E97+F97+G97+H97+I97+J97+K97+L97+M97+N97,IF(Q97=11,C97+D97+E97+F97+G97+H97+I97+J97+K97+L97+M97,IF(Q97=10,C97+D97+E97+F97+G97+H97+I97+J97+K97+L97,IF(Q97=9,C97+D97+E97+F97+G97+H97+I97+J97+K97,IF(Q97=8,C97+D97+E97+F97+G97+H97+I97+J97,IF(Q97=7,C97+D97+E97+F97+G97+H97+I97,IF(Q97=6,C97+D97+E97+F97+G97+H97,IF(Q97=5,C97+D97+E97+F97+G97,0))))))))</f>
        <v>387273</v>
      </c>
      <c r="Q97" s="320">
        <f>COUNTA(#REF!,#REF!,#REF!,#REF!,#REF!,#REF!,#REF!,#REF!,#REF!,#REF!,#REF!,#REF!)</f>
        <v>12</v>
      </c>
    </row>
    <row r="98" spans="2:20" x14ac:dyDescent="0.35">
      <c r="B98" s="572" t="s">
        <v>259</v>
      </c>
      <c r="C98" s="559">
        <f>'C) Costos Directos'!$H$523*C102</f>
        <v>2731682.2667503208</v>
      </c>
      <c r="D98" s="559">
        <f>'C) Costos Directos'!$H$523*D102</f>
        <v>7604700.2467938699</v>
      </c>
      <c r="E98" s="559">
        <f>'C) Costos Directos'!$H$523*E102</f>
        <v>3171167.4175951513</v>
      </c>
      <c r="F98" s="559">
        <f>'C) Costos Directos'!$H$523*F102</f>
        <v>1436059.6545828402</v>
      </c>
      <c r="G98" s="559">
        <f>'C) Costos Directos'!$H$523*G102</f>
        <v>3877581.1243161522</v>
      </c>
      <c r="H98" s="559">
        <f>'C) Costos Directos'!$H$523*H102</f>
        <v>1508057.4418184427</v>
      </c>
      <c r="I98" s="559">
        <f>'C) Costos Directos'!$H$523*I102</f>
        <v>1750795.1946965868</v>
      </c>
      <c r="J98" s="559">
        <f>'C) Costos Directos'!$H$523*J102</f>
        <v>1648527.9823632205</v>
      </c>
      <c r="K98" s="559">
        <f>'C) Costos Directos'!$H$523*K102</f>
        <v>1109414.2410714717</v>
      </c>
      <c r="L98" s="559">
        <f>'C) Costos Directos'!$H$523*L102</f>
        <v>4279802.1829628618</v>
      </c>
      <c r="M98" s="559">
        <f>'C) Costos Directos'!$H$523*M102</f>
        <v>2264303.4812172037</v>
      </c>
      <c r="N98" s="559">
        <f>'C) Costos Directos'!$H$523*N102</f>
        <v>1901393.7658318779</v>
      </c>
      <c r="O98" s="573">
        <f>SUM(C98:N98)</f>
        <v>33283484.999999996</v>
      </c>
      <c r="P98" s="305">
        <f>IF(Q98=12,C98+D98+E98+F98+G98+H98+I98+J98+K98+L98+M98+N98,IF(Q98=11,C98+D98+E98+F98+G98+H98+I98+J98+K98+L98+M98,IF(Q98=10,C98+D98+E98+F98+G98+H98+I98+J98+K98+L98,IF(Q98=9,C98+D98+E98+F98+G98+H98+I98+J98+K98,IF(Q98=8,C98+D98+E98+F98+G98+H98+I98+J98,IF(Q98=7,C98+D98+E98+F98+G98+H98+I98,IF(Q98=6,C98+D98+E98+F98+G98+H98,IF(Q98=5,C98+D98+E98+F98+G98,0))))))))</f>
        <v>33283484.999999996</v>
      </c>
      <c r="Q98" s="320">
        <f>COUNTA(#REF!,#REF!,#REF!,#REF!,#REF!,#REF!,#REF!,#REF!,#REF!,#REF!,#REF!,#REF!)</f>
        <v>12</v>
      </c>
    </row>
    <row r="99" spans="2:20" ht="15" thickBot="1" x14ac:dyDescent="0.4">
      <c r="B99" s="579" t="s">
        <v>292</v>
      </c>
      <c r="C99" s="562">
        <f>'C) Costos Directos'!$H$543*C103</f>
        <v>1549514.4399488864</v>
      </c>
      <c r="D99" s="562">
        <f>'C) Costos Directos'!$H$543*D103</f>
        <v>4313676.2233727956</v>
      </c>
      <c r="E99" s="562">
        <f>'C) Costos Directos'!$H$543*E103</f>
        <v>1798807.1910371385</v>
      </c>
      <c r="F99" s="562">
        <f>'C) Costos Directos'!$H$543*F103</f>
        <v>814587.8451856958</v>
      </c>
      <c r="G99" s="562">
        <f>'C) Costos Directos'!$H$543*G103</f>
        <v>2199512.0066979178</v>
      </c>
      <c r="H99" s="562">
        <f>'C) Costos Directos'!$H$543*H103</f>
        <v>855427.73799601523</v>
      </c>
      <c r="I99" s="562">
        <f>'C) Costos Directos'!$H$543*I103</f>
        <v>993117.85583423579</v>
      </c>
      <c r="J99" s="562">
        <f>'C) Costos Directos'!$H$543*J103</f>
        <v>935107.98983602668</v>
      </c>
      <c r="K99" s="562">
        <f>'C) Costos Directos'!$H$543*K103</f>
        <v>629302.0997900354</v>
      </c>
      <c r="L99" s="562">
        <f>'C) Costos Directos'!$H$543*L103</f>
        <v>2427667.1424582847</v>
      </c>
      <c r="M99" s="562">
        <f>'C) Costos Directos'!$H$543*M103</f>
        <v>1284399.3546681677</v>
      </c>
      <c r="N99" s="562">
        <f>'C) Costos Directos'!$H$543*N103</f>
        <v>1078543.1131748003</v>
      </c>
      <c r="O99" s="578">
        <f>SUM(C99:N99)</f>
        <v>18879662.999999996</v>
      </c>
      <c r="P99" s="305">
        <f>IF(Q99=12,C99+D99+E99+F99+G99+H99+I99+J99+K99+L99+M99+N99,IF(Q99=11,C99+D99+E99+F99+G99+H99+I99+J99+K99+L99+M99,IF(Q99=10,C99+D99+E99+F99+G99+H99+I99+J99+K99+L99,IF(Q99=9,C99+D99+E99+F99+G99+H99+I99+J99+K99,IF(Q99=8,C99+D99+E99+F99+G99+H99+I99+J99,IF(Q99=7,C99+D99+E99+F99+G99+H99+I99,IF(Q99=6,C99+D99+E99+F99+G99+H99,IF(Q99=5,C99+D99+E99+F99+G99,0))))))))</f>
        <v>18879662.999999996</v>
      </c>
      <c r="Q99" s="320">
        <f>COUNTA(#REF!,#REF!,#REF!,#REF!,#REF!,#REF!,#REF!,#REF!,#REF!,#REF!,#REF!,#REF!)</f>
        <v>12</v>
      </c>
    </row>
    <row r="100" spans="2:20" ht="15" thickBot="1" x14ac:dyDescent="0.4">
      <c r="B100" s="564" t="s">
        <v>260</v>
      </c>
      <c r="C100" s="566">
        <f>C94-(C95+C96+C97+C98+C99)</f>
        <v>21274242.007871091</v>
      </c>
      <c r="D100" s="566">
        <f t="shared" ref="D100:N100" si="18">D94-(D95+D96+D97+D98+D99)</f>
        <v>24221190.744403642</v>
      </c>
      <c r="E100" s="566">
        <f t="shared" si="18"/>
        <v>4232448.6059380081</v>
      </c>
      <c r="F100" s="566">
        <f t="shared" si="18"/>
        <v>5054374.2452314645</v>
      </c>
      <c r="G100" s="566">
        <f t="shared" si="18"/>
        <v>-6254611.3860140704</v>
      </c>
      <c r="H100" s="566">
        <f t="shared" si="18"/>
        <v>-4037511.4348144578</v>
      </c>
      <c r="I100" s="566">
        <f t="shared" si="18"/>
        <v>-1424923.3055308219</v>
      </c>
      <c r="J100" s="566">
        <f t="shared" si="18"/>
        <v>-1264646.2271992471</v>
      </c>
      <c r="K100" s="566">
        <f t="shared" si="18"/>
        <v>5481241.4041384924</v>
      </c>
      <c r="L100" s="566">
        <f t="shared" si="18"/>
        <v>597552.41957885399</v>
      </c>
      <c r="M100" s="566">
        <f t="shared" si="18"/>
        <v>5252826.9091146309</v>
      </c>
      <c r="N100" s="566">
        <f t="shared" si="18"/>
        <v>7525357.8355636206</v>
      </c>
      <c r="O100" s="580">
        <f>SUM(C100:N100)</f>
        <v>60657541.818281211</v>
      </c>
      <c r="R100" s="1892"/>
      <c r="S100" s="1870"/>
      <c r="T100" s="1870"/>
    </row>
    <row r="101" spans="2:20" x14ac:dyDescent="0.35">
      <c r="B101" s="318" t="s">
        <v>261</v>
      </c>
      <c r="C101" s="271">
        <v>0.21</v>
      </c>
      <c r="D101" s="271">
        <v>0.28000000000000003</v>
      </c>
      <c r="E101" s="271">
        <v>0.1</v>
      </c>
      <c r="F101" s="271">
        <v>0.06</v>
      </c>
      <c r="G101" s="271">
        <v>0.01</v>
      </c>
      <c r="H101" s="271">
        <v>0</v>
      </c>
      <c r="I101" s="271">
        <v>0.02</v>
      </c>
      <c r="J101" s="271">
        <v>0.02</v>
      </c>
      <c r="K101" s="271">
        <v>0.06</v>
      </c>
      <c r="L101" s="271">
        <v>0.06</v>
      </c>
      <c r="M101" s="271">
        <v>7.0000000000000007E-2</v>
      </c>
      <c r="N101" s="271">
        <v>0.11</v>
      </c>
      <c r="O101" s="266">
        <f>SUM(C101:N101)</f>
        <v>1.0000000000000002</v>
      </c>
    </row>
    <row r="102" spans="2:20" x14ac:dyDescent="0.35">
      <c r="B102" s="318" t="s">
        <v>262</v>
      </c>
      <c r="C102" s="271">
        <v>8.2073204375993705E-2</v>
      </c>
      <c r="D102" s="271">
        <v>0.22848269184533621</v>
      </c>
      <c r="E102" s="271">
        <v>9.5277505273115223E-2</v>
      </c>
      <c r="F102" s="271">
        <v>4.3146312790948431E-2</v>
      </c>
      <c r="G102" s="271">
        <v>0.11650165613114588</v>
      </c>
      <c r="H102" s="271">
        <v>4.5309481318390868E-2</v>
      </c>
      <c r="I102" s="271">
        <v>5.2602520279850108E-2</v>
      </c>
      <c r="J102" s="271">
        <v>4.9529908973270691E-2</v>
      </c>
      <c r="K102" s="271">
        <v>3.3332273981269443E-2</v>
      </c>
      <c r="L102" s="271">
        <v>0.12858635996088938</v>
      </c>
      <c r="M102" s="271">
        <v>6.8030841157925737E-2</v>
      </c>
      <c r="N102" s="271">
        <v>5.7127243911864335E-2</v>
      </c>
      <c r="O102" s="266"/>
    </row>
    <row r="103" spans="2:20" ht="15" thickBot="1" x14ac:dyDescent="0.4">
      <c r="B103" s="318" t="s">
        <v>293</v>
      </c>
      <c r="C103" s="271">
        <v>8.2073204375993705E-2</v>
      </c>
      <c r="D103" s="271">
        <v>0.22848269184533621</v>
      </c>
      <c r="E103" s="271">
        <v>9.5277505273115223E-2</v>
      </c>
      <c r="F103" s="271">
        <v>4.3146312790948431E-2</v>
      </c>
      <c r="G103" s="271">
        <v>0.11650165613114588</v>
      </c>
      <c r="H103" s="271">
        <v>4.5309481318390868E-2</v>
      </c>
      <c r="I103" s="271">
        <v>5.2602520279850108E-2</v>
      </c>
      <c r="J103" s="271">
        <v>4.9529908973270691E-2</v>
      </c>
      <c r="K103" s="271">
        <v>3.3332273981269443E-2</v>
      </c>
      <c r="L103" s="271">
        <v>0.12858635996088938</v>
      </c>
      <c r="M103" s="271">
        <v>6.8030841157925737E-2</v>
      </c>
      <c r="N103" s="271">
        <v>5.7127243911864335E-2</v>
      </c>
    </row>
    <row r="104" spans="2:20" ht="29" x14ac:dyDescent="0.35">
      <c r="B104" s="568" t="s">
        <v>270</v>
      </c>
      <c r="C104" s="569" t="s">
        <v>243</v>
      </c>
      <c r="D104" s="569" t="s">
        <v>244</v>
      </c>
      <c r="E104" s="569" t="s">
        <v>245</v>
      </c>
      <c r="F104" s="569" t="s">
        <v>246</v>
      </c>
      <c r="G104" s="569" t="s">
        <v>247</v>
      </c>
      <c r="H104" s="569" t="s">
        <v>248</v>
      </c>
      <c r="I104" s="569" t="s">
        <v>197</v>
      </c>
      <c r="J104" s="570" t="s">
        <v>249</v>
      </c>
      <c r="K104" s="569" t="s">
        <v>250</v>
      </c>
      <c r="L104" s="569" t="s">
        <v>251</v>
      </c>
      <c r="M104" s="569" t="s">
        <v>252</v>
      </c>
      <c r="N104" s="569" t="s">
        <v>253</v>
      </c>
      <c r="O104" s="571" t="s">
        <v>343</v>
      </c>
      <c r="P104" s="305"/>
      <c r="Q104" s="319" t="s">
        <v>344</v>
      </c>
    </row>
    <row r="105" spans="2:20" x14ac:dyDescent="0.35">
      <c r="B105" s="572" t="s">
        <v>255</v>
      </c>
      <c r="C105" s="559">
        <f>'A) Resumen Ingresos y Egresos'!$E$17*C112</f>
        <v>0</v>
      </c>
      <c r="D105" s="559">
        <f>'A) Resumen Ingresos y Egresos'!$E$17*D112</f>
        <v>0</v>
      </c>
      <c r="E105" s="559">
        <f>'A) Resumen Ingresos y Egresos'!$E$17*E112</f>
        <v>0</v>
      </c>
      <c r="F105" s="559">
        <f>'A) Resumen Ingresos y Egresos'!$E$17*F112</f>
        <v>0</v>
      </c>
      <c r="G105" s="559">
        <f>'A) Resumen Ingresos y Egresos'!$E$17*G112</f>
        <v>0</v>
      </c>
      <c r="H105" s="559">
        <f>'A) Resumen Ingresos y Egresos'!$E$17*H112</f>
        <v>0</v>
      </c>
      <c r="I105" s="559">
        <f>'A) Resumen Ingresos y Egresos'!$E$17*I112</f>
        <v>0</v>
      </c>
      <c r="J105" s="559">
        <f>'A) Resumen Ingresos y Egresos'!$E$17*J112</f>
        <v>0</v>
      </c>
      <c r="K105" s="559">
        <f>'A) Resumen Ingresos y Egresos'!$E$17*K112</f>
        <v>0</v>
      </c>
      <c r="L105" s="559">
        <f>'A) Resumen Ingresos y Egresos'!$E$17*L112</f>
        <v>0</v>
      </c>
      <c r="M105" s="559">
        <f>'A) Resumen Ingresos y Egresos'!$E$17*M112</f>
        <v>0</v>
      </c>
      <c r="N105" s="559">
        <f>'A) Resumen Ingresos y Egresos'!$E$17*N112</f>
        <v>0</v>
      </c>
      <c r="O105" s="573">
        <f t="shared" ref="O105:O111" si="19">SUM(C105:N105)</f>
        <v>0</v>
      </c>
      <c r="P105" s="305">
        <f>IF(Q105=12,C105+D105+E105+F105+G105+H105+I105+J105+K105+L105+M105+N105,IF(Q105=11,C105+D105+E105+F105+G105+H105+I105+J105+K105+L105+M105,IF(Q105=10,C105+D105+E105+F105+G105+H105+I105+J105+K105+L105,IF(Q105=9,C105+D105+E105+F105+G105+H105+I105+J105+K105,IF(Q105=8,C105+D105+E105+F105+G105+H105+I105+J105,IF(Q105=7,C105+D105+E105+F105+G105+H105+I105,IF(Q105=6,C105+D105+E105+F105+G105+H105,IF(Q105=5,C105+D105+E105+F105+G105,0))))))))</f>
        <v>0</v>
      </c>
      <c r="Q105" s="320">
        <f>COUNTA(#REF!,#REF!,#REF!,#REF!,#REF!,#REF!,#REF!,#REF!,#REF!,#REF!,#REF!,#REF!)</f>
        <v>12</v>
      </c>
    </row>
    <row r="106" spans="2:20" x14ac:dyDescent="0.35">
      <c r="B106" s="572" t="s">
        <v>256</v>
      </c>
      <c r="C106" s="559">
        <f>(SUM('F) Remuneraciones'!$H$190:$H$200)*(1+'F) Remuneraciones'!$M$7))*(1+'F) Remuneraciones'!$M$8)/12</f>
        <v>0</v>
      </c>
      <c r="D106" s="559">
        <f>(SUM('F) Remuneraciones'!$H$190:$H$200)*(1+'F) Remuneraciones'!$M$7))*(1+'F) Remuneraciones'!$M$8)/12</f>
        <v>0</v>
      </c>
      <c r="E106" s="559">
        <f>(SUM('F) Remuneraciones'!$H$190:$H$200)*(1+'F) Remuneraciones'!$M$7))*(1+'F) Remuneraciones'!$M$8)/12</f>
        <v>0</v>
      </c>
      <c r="F106" s="559">
        <f>(SUM('F) Remuneraciones'!$H$190:$H$200)*(1+'F) Remuneraciones'!$M$7))*(1+'F) Remuneraciones'!$M$8)/12</f>
        <v>0</v>
      </c>
      <c r="G106" s="559">
        <f>(SUM('F) Remuneraciones'!$H$190:$H$200)*(1+'F) Remuneraciones'!$M$7))*(1+'F) Remuneraciones'!$M$8)/12</f>
        <v>0</v>
      </c>
      <c r="H106" s="559">
        <f>(SUM('F) Remuneraciones'!$H$190:$H$200)*(1+'F) Remuneraciones'!$M$7))*(1+'F) Remuneraciones'!$M$8)/12</f>
        <v>0</v>
      </c>
      <c r="I106" s="559">
        <f>(SUM('F) Remuneraciones'!$H$190:$H$200)*(1+'F) Remuneraciones'!$M$7))*(1+'F) Remuneraciones'!$M$8)/12</f>
        <v>0</v>
      </c>
      <c r="J106" s="559">
        <f>(SUM('F) Remuneraciones'!$H$190:$H$200)*(1+'F) Remuneraciones'!$M$7))*(1+'F) Remuneraciones'!$M$8)/12</f>
        <v>0</v>
      </c>
      <c r="K106" s="559">
        <f>(SUM('F) Remuneraciones'!$H$190:$H$200)*(1+'F) Remuneraciones'!$M$7))*(1+'F) Remuneraciones'!$M$8)/12</f>
        <v>0</v>
      </c>
      <c r="L106" s="559">
        <f>(SUM('F) Remuneraciones'!$H$190:$H$200)*(1+'F) Remuneraciones'!$M$7))*(1+'F) Remuneraciones'!$M$8)/12</f>
        <v>0</v>
      </c>
      <c r="M106" s="559">
        <f>(SUM('F) Remuneraciones'!$H$190:$H$200)*(1+'F) Remuneraciones'!$M$7))*(1+'F) Remuneraciones'!$M$8)/12</f>
        <v>0</v>
      </c>
      <c r="N106" s="559">
        <f>(SUM('F) Remuneraciones'!$H$190:$H$200)*(1+'F) Remuneraciones'!$M$7))*(1+'F) Remuneraciones'!$M$8)/12</f>
        <v>0</v>
      </c>
      <c r="O106" s="573">
        <f t="shared" si="19"/>
        <v>0</v>
      </c>
      <c r="P106" s="554">
        <f>IF(Q106=12,C106+D106+E106+F106+G106+H106+I106+J106+K106+L106+M106+N106,IF(Q106=11,C106+D106+E106+F106+G106+H106+I106+J106+K106+L106+M106,IF(Q106=10,C106+D106+E106+F106+G106+H106+I106+J106+K106+L106,IF(Q106=9,C106+D106+E106+F106+G106+H106+I106+J106+K106,IF(Q106=8,C106+D106+E106+F106+G106+H106+I106+J106,IF(Q106=7,C106+D106+E106+F106+G106+H106+I106,IF(Q106=6,C106+D106+E106+F106+G106+H106,IF(Q106=5,C106+D106+E106+F106+G106,0))))))))</f>
        <v>0</v>
      </c>
      <c r="Q106" s="3209">
        <f>COUNTA(#REF!,#REF!,#REF!,#REF!,#REF!,#REF!,#REF!,#REF!,#REF!,#REF!,#REF!,#REF!)</f>
        <v>12</v>
      </c>
    </row>
    <row r="107" spans="2:20" x14ac:dyDescent="0.35">
      <c r="B107" s="572" t="s">
        <v>257</v>
      </c>
      <c r="C107" s="559">
        <f>(SUM('F) Remuneraciones'!$H$201:$H$211)*(1+'F) Remuneraciones'!$M$7))*(1+'F) Remuneraciones'!$M$8)/4</f>
        <v>2327148.8805652377</v>
      </c>
      <c r="D107" s="559">
        <f>(SUM('F) Remuneraciones'!$H$201:$H$211)*(1+'F) Remuneraciones'!$M$7))*(1+'F) Remuneraciones'!$M$8)/4</f>
        <v>2327148.8805652377</v>
      </c>
      <c r="E107" s="559">
        <f>(SUM('F) Remuneraciones'!$H$201:$H$211)*(1+'F) Remuneraciones'!$M$7))*(1+'F) Remuneraciones'!$M$8)/4</f>
        <v>2327148.8805652377</v>
      </c>
      <c r="F107" s="559">
        <v>0</v>
      </c>
      <c r="G107" s="559">
        <v>0</v>
      </c>
      <c r="H107" s="559">
        <v>0</v>
      </c>
      <c r="I107" s="559">
        <v>0</v>
      </c>
      <c r="J107" s="559">
        <v>0</v>
      </c>
      <c r="K107" s="559">
        <v>0</v>
      </c>
      <c r="L107" s="559">
        <v>0</v>
      </c>
      <c r="M107" s="559">
        <v>0</v>
      </c>
      <c r="N107" s="559">
        <f>(SUM('F) Remuneraciones'!$H$201:$H$211)*(1+'F) Remuneraciones'!$M$7))*(1+'F) Remuneraciones'!$M$8)/4</f>
        <v>2327148.8805652377</v>
      </c>
      <c r="O107" s="573">
        <f t="shared" si="19"/>
        <v>9308595.5222609509</v>
      </c>
      <c r="P107" s="554">
        <f>IF(Q106=12,C107+D107+E107+F107+G107+H107+I107+J107+K107+L107+M107+N107,IF(Q106=11,C107+D107+E107+F107+G107+H107+I107+J107+K107+L107+M107,IF(Q106=10,C107+D107+E107+F107+G107+H107+I107+J107+K107+L107,IF(Q106=9,C107+D107+E107+F107+G107+H107+I107+J107+K107,IF(Q106=8,C107+D107+E107+F107+G107+H107+I107+J107,IF(Q106=7,C107+D107+E107+F107+G107+H107+I107,IF(Q106=6,C107+D107+E107+F107+G107+H107,IF(Q106=5,C107+D107+E107+F107+G107,0))))))))</f>
        <v>9308595.5222609509</v>
      </c>
      <c r="Q107" s="3209"/>
    </row>
    <row r="108" spans="2:20" x14ac:dyDescent="0.35">
      <c r="B108" s="572" t="s">
        <v>258</v>
      </c>
      <c r="C108" s="559">
        <f>SUM('F) Remuneraciones'!$I$190:$I$211)*(1+'F) Remuneraciones'!$M$7)/2</f>
        <v>0</v>
      </c>
      <c r="D108" s="559">
        <v>0</v>
      </c>
      <c r="E108" s="559">
        <v>0</v>
      </c>
      <c r="F108" s="559">
        <v>0</v>
      </c>
      <c r="G108" s="559">
        <v>0</v>
      </c>
      <c r="H108" s="559">
        <v>0</v>
      </c>
      <c r="I108" s="559">
        <v>0</v>
      </c>
      <c r="J108" s="559">
        <v>0</v>
      </c>
      <c r="K108" s="559">
        <f>SUM('F) Remuneraciones'!$I$190:$I$211)*(1+'F) Remuneraciones'!$M$7)/2</f>
        <v>0</v>
      </c>
      <c r="L108" s="559">
        <v>0</v>
      </c>
      <c r="M108" s="559">
        <v>0</v>
      </c>
      <c r="N108" s="559">
        <f>C108+K108</f>
        <v>0</v>
      </c>
      <c r="O108" s="573">
        <f t="shared" si="19"/>
        <v>0</v>
      </c>
      <c r="P108" s="305">
        <f>IF(Q108=12,C108+D108+E108+F108+G108+H108+I108+J108+K108+L108+M108+N108,IF(Q108=11,C108+D108+E108+F108+G108+H108+I108+J108+K108+L108+M108,IF(Q108=10,C108+D108+E108+F108+G108+H108+I108+J108+K108+L108,IF(Q108=9,C108+D108+E108+F108+G108+H108+I108+J108+K108,IF(Q108=8,C108+D108+E108+F108+G108+H108+I108+J108,IF(Q108=7,C108+D108+E108+F108+G108+H108+I108,IF(Q108=6,C108+D108+E108+F108+G108+H108,IF(Q108=5,C108+D108+E108+F108+G108,0))))))))</f>
        <v>0</v>
      </c>
      <c r="Q108" s="320">
        <f>COUNTA(#REF!,#REF!,#REF!,#REF!,#REF!,#REF!,#REF!,#REF!,#REF!,#REF!,#REF!,#REF!)</f>
        <v>12</v>
      </c>
    </row>
    <row r="109" spans="2:20" x14ac:dyDescent="0.35">
      <c r="B109" s="572" t="s">
        <v>259</v>
      </c>
      <c r="C109" s="559">
        <f>('C) Costos Directos'!$H$587-'C) Costos Directos'!$H$588)*C113</f>
        <v>1821748.05</v>
      </c>
      <c r="D109" s="559">
        <f>('C) Costos Directos'!$H$587-'C) Costos Directos'!$H$588)*D113</f>
        <v>4250745.45</v>
      </c>
      <c r="E109" s="559">
        <f>('C) Costos Directos'!$H$587-'C) Costos Directos'!$H$588)*E113</f>
        <v>4250745.45</v>
      </c>
      <c r="F109" s="559">
        <f>('C) Costos Directos'!$H$587-'C) Costos Directos'!$H$588)*F113</f>
        <v>0</v>
      </c>
      <c r="G109" s="559">
        <f>('C) Costos Directos'!$H$587-'C) Costos Directos'!$H$588)*G113</f>
        <v>0</v>
      </c>
      <c r="H109" s="559">
        <f>('C) Costos Directos'!$H$587-'C) Costos Directos'!$H$588)*H113</f>
        <v>0</v>
      </c>
      <c r="I109" s="559">
        <f>('C) Costos Directos'!$H$587-'C) Costos Directos'!$H$588)*I113</f>
        <v>0</v>
      </c>
      <c r="J109" s="559">
        <f>('C) Costos Directos'!$H$587-'C) Costos Directos'!$H$588)*J113</f>
        <v>0</v>
      </c>
      <c r="K109" s="559">
        <f>('C) Costos Directos'!$H$587-'C) Costos Directos'!$H$588)*K113</f>
        <v>0</v>
      </c>
      <c r="L109" s="559">
        <f>('C) Costos Directos'!$H$587-'C) Costos Directos'!$H$588)*L113</f>
        <v>0</v>
      </c>
      <c r="M109" s="559">
        <f>('C) Costos Directos'!$H$587-'C) Costos Directos'!$H$588)*M113</f>
        <v>0</v>
      </c>
      <c r="N109" s="559">
        <f>('C) Costos Directos'!$H$587-'C) Costos Directos'!$H$588)*N113</f>
        <v>1821748.05</v>
      </c>
      <c r="O109" s="573">
        <f t="shared" si="19"/>
        <v>12144987</v>
      </c>
      <c r="P109" s="305">
        <f>IF(Q109=12,C109+D109+E109+F109+G109+H109+I109+J109+K109+L109+M109+N109,IF(Q109=11,C109+D109+E109+F109+G109+H109+I109+J109+K109+L109+M109,IF(Q109=10,C109+D109+E109+F109+G109+H109+I109+J109+K109+L109,IF(Q109=9,C109+D109+E109+F109+G109+H109+I109+J109+K109,IF(Q109=8,C109+D109+E109+F109+G109+H109+I109+J109,IF(Q109=7,C109+D109+E109+F109+G109+H109+I109,IF(Q109=6,C109+D109+E109+F109+G109+H109,IF(Q109=5,C109+D109+E109+F109+G109,0))))))))</f>
        <v>12144987</v>
      </c>
      <c r="Q109" s="320">
        <f>COUNTA(#REF!,#REF!,#REF!,#REF!,#REF!,#REF!,#REF!,#REF!,#REF!,#REF!,#REF!,#REF!)</f>
        <v>12</v>
      </c>
    </row>
    <row r="110" spans="2:20" ht="15" thickBot="1" x14ac:dyDescent="0.4">
      <c r="B110" s="579" t="s">
        <v>292</v>
      </c>
      <c r="C110" s="562">
        <f>'C) Costos Directos'!$D$615*C114</f>
        <v>56128.5</v>
      </c>
      <c r="D110" s="562">
        <f>'C) Costos Directos'!$D$615*D114</f>
        <v>130966.49999999999</v>
      </c>
      <c r="E110" s="562">
        <f>'C) Costos Directos'!$D$615*E114</f>
        <v>130966.49999999999</v>
      </c>
      <c r="F110" s="562">
        <f>'C) Costos Directos'!$D$615*F114</f>
        <v>0</v>
      </c>
      <c r="G110" s="562">
        <f>'C) Costos Directos'!$D$615*G114</f>
        <v>0</v>
      </c>
      <c r="H110" s="562">
        <f>'C) Costos Directos'!$D$615*H114</f>
        <v>0</v>
      </c>
      <c r="I110" s="562">
        <f>'C) Costos Directos'!$D$615*I114</f>
        <v>0</v>
      </c>
      <c r="J110" s="562">
        <f>'C) Costos Directos'!$D$615*J114</f>
        <v>0</v>
      </c>
      <c r="K110" s="562">
        <f>'C) Costos Directos'!$D$615*K114</f>
        <v>0</v>
      </c>
      <c r="L110" s="562">
        <f>'C) Costos Directos'!$D$615*L114</f>
        <v>0</v>
      </c>
      <c r="M110" s="562">
        <f>'C) Costos Directos'!$D$615*M114</f>
        <v>0</v>
      </c>
      <c r="N110" s="562">
        <f>'C) Costos Directos'!$D$615*N114</f>
        <v>56128.5</v>
      </c>
      <c r="O110" s="578">
        <f t="shared" si="19"/>
        <v>374190</v>
      </c>
      <c r="P110" s="305">
        <f>IF(Q110=12,C110+D110+E110+F110+G110+H110+I110+J110+K110+L110+M110+N110,IF(Q110=11,C110+D110+E110+F110+G110+H110+I110+J110+K110+L110+M110,IF(Q110=10,C110+D110+E110+F110+G110+H110+I110+J110+K110+L110,IF(Q110=9,C110+D110+E110+F110+G110+H110+I110+J110+K110,IF(Q110=8,C110+D110+E110+F110+G110+H110+I110+J110,IF(Q110=7,C110+D110+E110+F110+G110+H110+I110,IF(Q110=6,C110+D110+E110+F110+G110+H110,IF(Q110=5,C110+D110+E110+F110+G110,0))))))))</f>
        <v>374190</v>
      </c>
      <c r="Q110" s="320">
        <f>COUNTA(#REF!,#REF!,#REF!,#REF!,#REF!,#REF!,#REF!,#REF!,#REF!,#REF!,#REF!,#REF!)</f>
        <v>12</v>
      </c>
    </row>
    <row r="111" spans="2:20" ht="15" thickBot="1" x14ac:dyDescent="0.4">
      <c r="B111" s="259" t="s">
        <v>260</v>
      </c>
      <c r="C111" s="581">
        <f>C105-(C106+C107+C108+C109+C110)</f>
        <v>-4205025.430565238</v>
      </c>
      <c r="D111" s="566">
        <f t="shared" ref="D111:N111" si="20">D105-(D106+D107+D108+D109+D110)</f>
        <v>-6708860.8305652384</v>
      </c>
      <c r="E111" s="566">
        <f t="shared" si="20"/>
        <v>-6708860.8305652384</v>
      </c>
      <c r="F111" s="566">
        <f t="shared" si="20"/>
        <v>0</v>
      </c>
      <c r="G111" s="566">
        <f t="shared" si="20"/>
        <v>0</v>
      </c>
      <c r="H111" s="566">
        <f t="shared" si="20"/>
        <v>0</v>
      </c>
      <c r="I111" s="566">
        <f t="shared" si="20"/>
        <v>0</v>
      </c>
      <c r="J111" s="566">
        <f t="shared" si="20"/>
        <v>0</v>
      </c>
      <c r="K111" s="566">
        <f t="shared" si="20"/>
        <v>0</v>
      </c>
      <c r="L111" s="566">
        <f t="shared" si="20"/>
        <v>0</v>
      </c>
      <c r="M111" s="566">
        <f t="shared" si="20"/>
        <v>0</v>
      </c>
      <c r="N111" s="566">
        <f t="shared" si="20"/>
        <v>-4205025.430565238</v>
      </c>
      <c r="O111" s="580">
        <f t="shared" si="19"/>
        <v>-21827772.522260953</v>
      </c>
      <c r="S111" s="1869"/>
    </row>
    <row r="112" spans="2:20" x14ac:dyDescent="0.35">
      <c r="B112" s="318" t="s">
        <v>261</v>
      </c>
      <c r="C112" s="271">
        <v>0.35</v>
      </c>
      <c r="D112" s="271">
        <v>0.35</v>
      </c>
      <c r="E112" s="271">
        <v>0.15</v>
      </c>
      <c r="F112" s="271">
        <v>0</v>
      </c>
      <c r="G112" s="271">
        <v>0</v>
      </c>
      <c r="H112" s="271">
        <v>0</v>
      </c>
      <c r="I112" s="271">
        <v>0</v>
      </c>
      <c r="J112" s="271">
        <v>0</v>
      </c>
      <c r="K112" s="271">
        <v>0</v>
      </c>
      <c r="L112" s="271">
        <v>0</v>
      </c>
      <c r="M112" s="271">
        <v>0</v>
      </c>
      <c r="N112" s="271">
        <v>0.15</v>
      </c>
      <c r="O112" s="266"/>
    </row>
    <row r="113" spans="2:19" x14ac:dyDescent="0.35">
      <c r="B113" s="318" t="s">
        <v>262</v>
      </c>
      <c r="C113" s="271">
        <v>0.15</v>
      </c>
      <c r="D113" s="271">
        <v>0.35</v>
      </c>
      <c r="E113" s="271">
        <v>0.35</v>
      </c>
      <c r="F113" s="271">
        <v>0</v>
      </c>
      <c r="G113" s="271">
        <v>0</v>
      </c>
      <c r="H113" s="271">
        <v>0</v>
      </c>
      <c r="I113" s="271">
        <v>0</v>
      </c>
      <c r="J113" s="271">
        <v>0</v>
      </c>
      <c r="K113" s="271">
        <v>0</v>
      </c>
      <c r="L113" s="271">
        <v>0</v>
      </c>
      <c r="M113" s="271">
        <v>0</v>
      </c>
      <c r="N113" s="271">
        <v>0.15</v>
      </c>
      <c r="O113" s="266"/>
    </row>
    <row r="114" spans="2:19" ht="15" thickBot="1" x14ac:dyDescent="0.4">
      <c r="B114" s="318" t="s">
        <v>293</v>
      </c>
      <c r="C114" s="271">
        <v>0.15</v>
      </c>
      <c r="D114" s="271">
        <v>0.35</v>
      </c>
      <c r="E114" s="271">
        <v>0.35</v>
      </c>
      <c r="F114" s="271">
        <v>0</v>
      </c>
      <c r="G114" s="271">
        <v>0</v>
      </c>
      <c r="H114" s="271">
        <v>0</v>
      </c>
      <c r="I114" s="271">
        <v>0</v>
      </c>
      <c r="J114" s="271">
        <v>0</v>
      </c>
      <c r="K114" s="271">
        <v>0</v>
      </c>
      <c r="L114" s="271">
        <v>0</v>
      </c>
      <c r="M114" s="271">
        <v>0</v>
      </c>
      <c r="N114" s="271">
        <v>0.15</v>
      </c>
    </row>
    <row r="115" spans="2:19" ht="29" x14ac:dyDescent="0.35">
      <c r="B115" s="568" t="s">
        <v>271</v>
      </c>
      <c r="C115" s="569" t="s">
        <v>243</v>
      </c>
      <c r="D115" s="569" t="s">
        <v>244</v>
      </c>
      <c r="E115" s="569" t="s">
        <v>245</v>
      </c>
      <c r="F115" s="569" t="s">
        <v>246</v>
      </c>
      <c r="G115" s="569" t="s">
        <v>247</v>
      </c>
      <c r="H115" s="569" t="s">
        <v>248</v>
      </c>
      <c r="I115" s="569" t="s">
        <v>197</v>
      </c>
      <c r="J115" s="570" t="s">
        <v>249</v>
      </c>
      <c r="K115" s="569" t="s">
        <v>250</v>
      </c>
      <c r="L115" s="569" t="s">
        <v>251</v>
      </c>
      <c r="M115" s="569" t="s">
        <v>252</v>
      </c>
      <c r="N115" s="569" t="s">
        <v>253</v>
      </c>
      <c r="O115" s="571" t="s">
        <v>343</v>
      </c>
      <c r="P115" s="305"/>
      <c r="Q115" s="319" t="s">
        <v>344</v>
      </c>
    </row>
    <row r="116" spans="2:19" x14ac:dyDescent="0.35">
      <c r="B116" s="572" t="s">
        <v>255</v>
      </c>
      <c r="C116" s="559">
        <f>'A) Resumen Ingresos y Egresos'!$E$18*C123</f>
        <v>11562477.711294822</v>
      </c>
      <c r="D116" s="559">
        <f>'A) Resumen Ingresos y Egresos'!$E$18*D123</f>
        <v>14971362.836818675</v>
      </c>
      <c r="E116" s="559">
        <f>'A) Resumen Ingresos y Egresos'!$E$18*E123</f>
        <v>14997987.961072294</v>
      </c>
      <c r="F116" s="559">
        <f>'A) Resumen Ingresos y Egresos'!$E$18*F123</f>
        <v>11693307.101525679</v>
      </c>
      <c r="G116" s="559">
        <f>'A) Resumen Ingresos y Egresos'!$E$18*G123</f>
        <v>9954920.7591090668</v>
      </c>
      <c r="H116" s="559">
        <f>'A) Resumen Ingresos y Egresos'!$E$18*H123</f>
        <v>12855182.962816874</v>
      </c>
      <c r="I116" s="559">
        <f>'A) Resumen Ingresos y Egresos'!$E$18*I123</f>
        <v>13419735.069350265</v>
      </c>
      <c r="J116" s="559">
        <f>'A) Resumen Ingresos y Egresos'!$E$18*J123</f>
        <v>13116020.554041252</v>
      </c>
      <c r="K116" s="559">
        <f>'A) Resumen Ingresos y Egresos'!$E$18*K123</f>
        <v>13714187.189827567</v>
      </c>
      <c r="L116" s="559">
        <f>'A) Resumen Ingresos y Egresos'!$E$18*L123</f>
        <v>12582411.787618952</v>
      </c>
      <c r="M116" s="559">
        <f>'A) Resumen Ingresos y Egresos'!$E$18*M123</f>
        <v>10179052.740838086</v>
      </c>
      <c r="N116" s="559">
        <f>'A) Resumen Ingresos y Egresos'!$E$18*N123</f>
        <v>16695753.325686466</v>
      </c>
      <c r="O116" s="573">
        <f t="shared" ref="O116:O121" si="21">SUM(C116:N116)</f>
        <v>155742399.99999997</v>
      </c>
      <c r="P116" s="305">
        <f>IF(Q116=12,C116+D116+E116+F116+G116+H116+I116+J116+K116+L116+M116+N116,IF(Q116=11,C116+D116+E116+F116+G116+H116+I116+J116+K116+L116+M116,IF(Q116=10,C116+D116+E116+F116+G116+H116+I116+J116+K116+L116,IF(Q116=9,C116+D116+E116+F116+G116+H116+I116+J116+K116,IF(Q116=8,C116+D116+E116+F116+G116+H116+I116+J116,IF(Q116=7,C116+D116+E116+F116+G116+H116+I116,IF(Q116=6,C116+D116+E116+F116+G116+H116,IF(Q116=5,C116+D116+E116+F116+G116,0))))))))</f>
        <v>155742399.99999997</v>
      </c>
      <c r="Q116" s="320">
        <f>COUNTA(#REF!,#REF!,#REF!,#REF!,#REF!,#REF!,#REF!,#REF!,#REF!,#REF!,#REF!,#REF!)</f>
        <v>12</v>
      </c>
      <c r="S116" s="1870"/>
    </row>
    <row r="117" spans="2:19" x14ac:dyDescent="0.35">
      <c r="B117" s="572" t="s">
        <v>256</v>
      </c>
      <c r="C117" s="559">
        <f>(SUM('F) Remuneraciones'!$L$212:$L$222)-SUM('F) Remuneraciones'!$I$212:$J$222))/12</f>
        <v>7115978.7049999982</v>
      </c>
      <c r="D117" s="559">
        <f>(SUM('F) Remuneraciones'!$L$212:$L$222)-SUM('F) Remuneraciones'!$I$212:$J$222))/12</f>
        <v>7115978.7049999982</v>
      </c>
      <c r="E117" s="559">
        <f>(SUM('F) Remuneraciones'!$L$212:$L$222)-SUM('F) Remuneraciones'!$I$212:$J$222))/12</f>
        <v>7115978.7049999982</v>
      </c>
      <c r="F117" s="559">
        <f>(SUM('F) Remuneraciones'!$L$212:$L$222)-SUM('F) Remuneraciones'!$I$212:$J$222))/12</f>
        <v>7115978.7049999982</v>
      </c>
      <c r="G117" s="559">
        <f>(SUM('F) Remuneraciones'!$L$212:$L$222)-SUM('F) Remuneraciones'!$I$212:$J$222))/12</f>
        <v>7115978.7049999982</v>
      </c>
      <c r="H117" s="559">
        <f>(SUM('F) Remuneraciones'!$L$212:$L$222)-SUM('F) Remuneraciones'!$I$212:$J$222))/12</f>
        <v>7115978.7049999982</v>
      </c>
      <c r="I117" s="559">
        <f>(SUM('F) Remuneraciones'!$L$212:$L$222)-SUM('F) Remuneraciones'!$I$212:$J$222))/12</f>
        <v>7115978.7049999982</v>
      </c>
      <c r="J117" s="559">
        <f>(SUM('F) Remuneraciones'!$L$212:$L$222)-SUM('F) Remuneraciones'!$I$212:$J$222))/12</f>
        <v>7115978.7049999982</v>
      </c>
      <c r="K117" s="559">
        <f>(SUM('F) Remuneraciones'!$L$212:$L$222)-SUM('F) Remuneraciones'!$I$212:$J$222))/12</f>
        <v>7115978.7049999982</v>
      </c>
      <c r="L117" s="559">
        <f>(SUM('F) Remuneraciones'!$L$212:$L$222)-SUM('F) Remuneraciones'!$I$212:$J$222))/12</f>
        <v>7115978.7049999982</v>
      </c>
      <c r="M117" s="559">
        <f>(SUM('F) Remuneraciones'!$L$212:$L$222)-SUM('F) Remuneraciones'!$I$212:$J$222))/12</f>
        <v>7115978.7049999982</v>
      </c>
      <c r="N117" s="559">
        <f>(SUM('F) Remuneraciones'!$L$212:$L$222)-SUM('F) Remuneraciones'!$I$212:$J$222))/12</f>
        <v>7115978.7049999982</v>
      </c>
      <c r="O117" s="573">
        <f t="shared" si="21"/>
        <v>85391744.459999979</v>
      </c>
      <c r="P117" s="554">
        <f>IF(Q117=12,C117+D117+E117+F117+G117+H117+I117+J117+K117+L117+M117+N117,IF(Q117=11,C117+D117+E117+F117+G117+H117+I117+J117+K117+L117+M117,IF(Q117=10,C117+D117+E117+F117+G117+H117+I117+J117+K117+L117,IF(Q117=9,C117+D117+E117+F117+G117+H117+I117+J117+K117,IF(Q117=8,C117+D117+E117+F117+G117+H117+I117+J117,IF(Q117=7,C117+D117+E117+F117+G117+H117+I117,IF(Q117=6,C117+D117+E117+F117+G117+H117,IF(Q117=5,C117+D117+E117+F117+G117,0))))))))</f>
        <v>85391744.459999979</v>
      </c>
      <c r="Q117" s="3209">
        <f>COUNTA(#REF!,#REF!,#REF!,#REF!,#REF!,#REF!,#REF!,#REF!,#REF!,#REF!,#REF!,#REF!)</f>
        <v>12</v>
      </c>
    </row>
    <row r="118" spans="2:19" x14ac:dyDescent="0.35">
      <c r="B118" s="572" t="s">
        <v>257</v>
      </c>
      <c r="C118" s="559">
        <f>SUM('F) Remuneraciones'!$L$223:$L$233)/4</f>
        <v>0</v>
      </c>
      <c r="D118" s="559">
        <f>SUM('F) Remuneraciones'!$L$223:$L$233)/4</f>
        <v>0</v>
      </c>
      <c r="E118" s="559">
        <f>SUM('F) Remuneraciones'!$L$223:$L$233)/4</f>
        <v>0</v>
      </c>
      <c r="F118" s="559">
        <v>0</v>
      </c>
      <c r="G118" s="559">
        <v>0</v>
      </c>
      <c r="H118" s="559">
        <v>0</v>
      </c>
      <c r="I118" s="559">
        <v>0</v>
      </c>
      <c r="J118" s="559">
        <v>0</v>
      </c>
      <c r="K118" s="559">
        <v>0</v>
      </c>
      <c r="L118" s="559">
        <v>0</v>
      </c>
      <c r="M118" s="559">
        <v>0</v>
      </c>
      <c r="N118" s="559">
        <f>SUM('F) Remuneraciones'!$L$223:$L$233)/4</f>
        <v>0</v>
      </c>
      <c r="O118" s="573">
        <f t="shared" si="21"/>
        <v>0</v>
      </c>
      <c r="P118" s="554">
        <f>IF(Q117=12,C118+D118+E118+F118+G118+H118+I118+J118+K118+L118+M118+N118,IF(Q117=11,C118+D118+E118+F118+G118+H118+I118+J118+K118+L118+M118,IF(Q117=10,C118+D118+E118+F118+G118+H118+I118+J118+K118+L118,IF(Q117=9,C118+D118+E118+F118+G118+H118+I118+J118+K118,IF(Q117=8,C118+D118+E118+F118+G118+H118+I118+J118,IF(Q117=7,C118+D118+E118+F118+G118+H118+I118,IF(Q117=6,C118+D118+E118+F118+G118+H118,IF(Q117=5,C118+D118+E118+F118+G118,0))))))))</f>
        <v>0</v>
      </c>
      <c r="Q118" s="3209"/>
    </row>
    <row r="119" spans="2:19" x14ac:dyDescent="0.35">
      <c r="B119" s="572" t="s">
        <v>258</v>
      </c>
      <c r="C119" s="559">
        <f>SUM('F) Remuneraciones'!J212:J222)/2</f>
        <v>1860679</v>
      </c>
      <c r="D119" s="559">
        <v>0</v>
      </c>
      <c r="E119" s="559">
        <v>0</v>
      </c>
      <c r="F119" s="559">
        <v>0</v>
      </c>
      <c r="G119" s="559">
        <v>0</v>
      </c>
      <c r="H119" s="559">
        <v>0</v>
      </c>
      <c r="I119" s="559">
        <v>0</v>
      </c>
      <c r="J119" s="559">
        <v>0</v>
      </c>
      <c r="K119" s="559">
        <f>SUM('F) Remuneraciones'!I212:I222)/2</f>
        <v>870188</v>
      </c>
      <c r="L119" s="559">
        <v>0</v>
      </c>
      <c r="M119" s="559">
        <v>0</v>
      </c>
      <c r="N119" s="559">
        <f>+C119+K119</f>
        <v>2730867</v>
      </c>
      <c r="O119" s="573">
        <f t="shared" si="21"/>
        <v>5461734</v>
      </c>
      <c r="P119" s="305" t="e">
        <f>IF(Q119=12,#REF!+D119+E119+F119+C119+H119+I119+J119+K119+L119+M119+N119,IF(Q119=11,#REF!+D119+E119+F119+C119+H119+I119+J119+K119+L119+M119,IF(Q119=10,#REF!+D119+E119+F119+C119+H119+I119+J119+K119+L119,IF(Q119=9,#REF!+D119+E119+F119+C119+H119+I119+J119+K119,IF(Q119=8,#REF!+D119+E119+F119+C119+H119+I119+J119,IF(Q119=7,#REF!+D119+E119+F119+C119+H119+I119,IF(Q119=6,#REF!+D119+E119+F119+C119+H119,IF(Q119=5,#REF!+D119+E119+F119+C119,0))))))))</f>
        <v>#REF!</v>
      </c>
      <c r="Q119" s="320">
        <f>COUNTA(#REF!,#REF!,#REF!,#REF!,#REF!,#REF!,#REF!,#REF!,#REF!,#REF!,#REF!,#REF!)</f>
        <v>12</v>
      </c>
    </row>
    <row r="120" spans="2:19" x14ac:dyDescent="0.35">
      <c r="B120" s="572" t="s">
        <v>259</v>
      </c>
      <c r="C120" s="559">
        <f>(+'C) Costos Directos'!$D$659-'C) Costos Directos'!$D$660)*C124</f>
        <v>3045437.5901330346</v>
      </c>
      <c r="D120" s="559">
        <f>(+'C) Costos Directos'!$D$659-'C) Costos Directos'!$D$660)*D124</f>
        <v>1375074.7215126187</v>
      </c>
      <c r="E120" s="559">
        <f>(+'C) Costos Directos'!$D$659-'C) Costos Directos'!$D$660)*E124</f>
        <v>6695491.6935498826</v>
      </c>
      <c r="F120" s="559">
        <f>(+'C) Costos Directos'!$D$659-'C) Costos Directos'!$D$660)*F124</f>
        <v>4672601.4541273676</v>
      </c>
      <c r="G120" s="559">
        <f>(+'C) Costos Directos'!$D$659-'C) Costos Directos'!$D$660)*G124</f>
        <v>3314043.759722631</v>
      </c>
      <c r="H120" s="559">
        <f>(+'C) Costos Directos'!$D$659-'C) Costos Directos'!$D$660)*H124</f>
        <v>4674366.145945332</v>
      </c>
      <c r="I120" s="559">
        <f>(+'C) Costos Directos'!$D$659-'C) Costos Directos'!$D$660)*I124</f>
        <v>5454289.3960694158</v>
      </c>
      <c r="J120" s="559">
        <f>(+'C) Costos Directos'!$D$659-'C) Costos Directos'!$D$660)*J124</f>
        <v>2257149.3481247183</v>
      </c>
      <c r="K120" s="559">
        <f>(+'C) Costos Directos'!$D$659-'C) Costos Directos'!$D$660)*K124</f>
        <v>3078270.8953948719</v>
      </c>
      <c r="L120" s="559">
        <f>(+'C) Costos Directos'!$D$659-'C) Costos Directos'!$D$660)*L124</f>
        <v>3987507.6693203771</v>
      </c>
      <c r="M120" s="559">
        <f>(+'C) Costos Directos'!$D$659-'C) Costos Directos'!$D$660)*M124</f>
        <v>3247774.9023371772</v>
      </c>
      <c r="N120" s="559">
        <f>(+'C) Costos Directos'!$D$659-'C) Costos Directos'!$D$660)*N124</f>
        <v>1494779.4237625715</v>
      </c>
      <c r="O120" s="573">
        <f t="shared" si="21"/>
        <v>43296787</v>
      </c>
      <c r="P120" s="305">
        <f>IF(Q120=12,C120+D120+E120+F120+G120+H120+I120+J120+K120+L120+M120+N120,IF(Q120=11,C120+D120+E120+F120+G120+H120+I120+J120+K120+L120+M120,IF(Q120=10,C120+D120+E120+F120+G120+H120+I120+J120+K120+L120,IF(Q120=9,C120+D120+E120+F120+G120+H120+I120+J120+K120,IF(Q120=8,C120+D120+E120+F120+G120+H120+I120+J120,IF(Q120=7,C120+D120+E120+F120+G120+H120+I120,IF(Q120=6,C120+D120+E120+F120+G120+H120,IF(Q120=5,C120+D120+E120+F120+G120,0))))))))</f>
        <v>43296787</v>
      </c>
      <c r="Q120" s="320">
        <f>COUNTA(#REF!,#REF!,#REF!,#REF!,#REF!,#REF!,#REF!,#REF!,#REF!,#REF!,#REF!,#REF!)</f>
        <v>12</v>
      </c>
    </row>
    <row r="121" spans="2:19" ht="15" thickBot="1" x14ac:dyDescent="0.4">
      <c r="B121" s="579" t="s">
        <v>292</v>
      </c>
      <c r="C121" s="562">
        <f>'C) Costos Directos'!$H$687*C125</f>
        <v>1584345.7579532438</v>
      </c>
      <c r="D121" s="562">
        <f>'C) Costos Directos'!$H$687*D125</f>
        <v>715363.14155828324</v>
      </c>
      <c r="E121" s="562">
        <f>+'C) Costos Directos'!$D$687*'J)Estructura Economica Mensu.'!E125</f>
        <v>3483234.6906257058</v>
      </c>
      <c r="F121" s="562">
        <f>+'C) Costos Directos'!$D$687*'J)Estructura Economica Mensu.'!F125</f>
        <v>2430854.7042428362</v>
      </c>
      <c r="G121" s="562">
        <f>+'C) Costos Directos'!$D$687*'J)Estructura Economica Mensu.'!G125</f>
        <v>1724084.3120211849</v>
      </c>
      <c r="H121" s="562">
        <f>+'C) Costos Directos'!$D$687*'J)Estructura Economica Mensu.'!H125</f>
        <v>2431772.7601586571</v>
      </c>
      <c r="I121" s="562">
        <f>+'C) Costos Directos'!$D$687*'J)Estructura Economica Mensu.'!I125</f>
        <v>2837516.7809413061</v>
      </c>
      <c r="J121" s="562">
        <f>+'C) Costos Directos'!$D$687*'J)Estructura Economica Mensu.'!J125</f>
        <v>1174249.9686595486</v>
      </c>
      <c r="K121" s="562">
        <f>+'C) Costos Directos'!$D$687*'J)Estructura Economica Mensu.'!K125</f>
        <v>1601426.8198274761</v>
      </c>
      <c r="L121" s="562">
        <f>+'C) Costos Directos'!$D$687*'J)Estructura Economica Mensu.'!L125</f>
        <v>2074444.369230299</v>
      </c>
      <c r="M121" s="562">
        <f>+'C) Costos Directos'!$D$687*'J)Estructura Economica Mensu.'!M125</f>
        <v>1689608.8778756226</v>
      </c>
      <c r="N121" s="562">
        <f>+'C) Costos Directos'!$D$687*'J)Estructura Economica Mensu.'!N125</f>
        <v>777637.81690583634</v>
      </c>
      <c r="O121" s="578">
        <f t="shared" si="21"/>
        <v>22524540</v>
      </c>
      <c r="P121" s="305">
        <f>IF(Q121=12,C121+D121+E121+F121+G121+H121+I121+J121+K121+L121+M121+N121,IF(Q121=11,C121+D121+E121+F121+G121+H121+I121+J121+K121+L121+M121,IF(Q121=10,C121+D121+E121+F121+G121+H121+I121+J121+K121+L121,IF(Q121=9,C121+D121+E121+F121+G121+H121+I121+J121+K121,IF(Q121=8,C121+D121+E121+F121+G121+H121+I121+J121,IF(Q121=7,C121+D121+E121+F121+G121+H121+I121,IF(Q121=6,C121+D121+E121+F121+G121+H121,IF(Q121=5,C121+D121+E121+F121+G121,0))))))))</f>
        <v>22524540</v>
      </c>
      <c r="Q121" s="320">
        <f>COUNTA(#REF!,#REF!,#REF!,#REF!,#REF!,#REF!,#REF!,#REF!,#REF!,#REF!,#REF!,#REF!)</f>
        <v>12</v>
      </c>
    </row>
    <row r="122" spans="2:19" ht="15" thickBot="1" x14ac:dyDescent="0.4">
      <c r="B122" s="564" t="s">
        <v>260</v>
      </c>
      <c r="C122" s="566">
        <f>C116-(C117+C118+C119+C120+C121)</f>
        <v>-2043963.3417914528</v>
      </c>
      <c r="D122" s="566">
        <f t="shared" ref="D122:N122" si="22">D116-(D117+D118+D119+D120+D121)</f>
        <v>5764946.268747773</v>
      </c>
      <c r="E122" s="566">
        <f t="shared" si="22"/>
        <v>-2296717.1281032916</v>
      </c>
      <c r="F122" s="566">
        <f t="shared" si="22"/>
        <v>-2526127.7618445233</v>
      </c>
      <c r="G122" s="566">
        <f t="shared" si="22"/>
        <v>-2199186.0176347475</v>
      </c>
      <c r="H122" s="566">
        <f t="shared" si="22"/>
        <v>-1366934.6482871156</v>
      </c>
      <c r="I122" s="566">
        <f t="shared" si="22"/>
        <v>-1988049.8126604538</v>
      </c>
      <c r="J122" s="566">
        <f t="shared" si="22"/>
        <v>2568642.5322569869</v>
      </c>
      <c r="K122" s="566">
        <f t="shared" si="22"/>
        <v>1048322.7696052194</v>
      </c>
      <c r="L122" s="566">
        <f t="shared" si="22"/>
        <v>-595518.95593172126</v>
      </c>
      <c r="M122" s="566">
        <f t="shared" si="22"/>
        <v>-1874309.7443747111</v>
      </c>
      <c r="N122" s="566">
        <f t="shared" si="22"/>
        <v>4576490.380018061</v>
      </c>
      <c r="O122" s="580">
        <f t="shared" ref="O122" si="23">SUM(C122:N122)</f>
        <v>-932405.45999997668</v>
      </c>
      <c r="S122" s="1871"/>
    </row>
    <row r="123" spans="2:19" x14ac:dyDescent="0.35">
      <c r="B123" s="318" t="s">
        <v>261</v>
      </c>
      <c r="C123" s="271">
        <v>7.424103976370483E-2</v>
      </c>
      <c r="D123" s="271">
        <v>9.6129010704976134E-2</v>
      </c>
      <c r="E123" s="271">
        <v>9.6299966875252302E-2</v>
      </c>
      <c r="F123" s="271">
        <v>7.5081076839227337E-2</v>
      </c>
      <c r="G123" s="271">
        <v>6.3919143143479656E-2</v>
      </c>
      <c r="H123" s="271">
        <v>8.2541317989300755E-2</v>
      </c>
      <c r="I123" s="271">
        <v>8.6166227497137995E-2</v>
      </c>
      <c r="J123" s="271">
        <v>8.4216119399991601E-2</v>
      </c>
      <c r="K123" s="271">
        <v>8.8056863062515839E-2</v>
      </c>
      <c r="L123" s="271">
        <v>8.0789892717840178E-2</v>
      </c>
      <c r="M123" s="271">
        <v>6.5358263008905002E-2</v>
      </c>
      <c r="N123" s="271">
        <v>0.10720107899766837</v>
      </c>
      <c r="O123" s="266"/>
    </row>
    <row r="124" spans="2:19" x14ac:dyDescent="0.35">
      <c r="B124" s="318" t="s">
        <v>262</v>
      </c>
      <c r="C124" s="271">
        <v>7.0338650998122212E-2</v>
      </c>
      <c r="D124" s="271">
        <v>3.1759278616046466E-2</v>
      </c>
      <c r="E124" s="271">
        <v>0.15464176807276445</v>
      </c>
      <c r="F124" s="271">
        <v>0.10792028180121929</v>
      </c>
      <c r="G124" s="271">
        <v>7.6542487083917587E-2</v>
      </c>
      <c r="H124" s="271">
        <v>0.10796103983294031</v>
      </c>
      <c r="I124" s="271">
        <v>0.12597446078549468</v>
      </c>
      <c r="J124" s="271">
        <v>5.2132028829869489E-2</v>
      </c>
      <c r="K124" s="271">
        <v>7.1096982217060858E-2</v>
      </c>
      <c r="L124" s="271">
        <v>9.2097080305759804E-2</v>
      </c>
      <c r="M124" s="271">
        <v>7.5011914910387625E-2</v>
      </c>
      <c r="N124" s="271">
        <v>3.4524026546417209E-2</v>
      </c>
      <c r="O124" s="266"/>
      <c r="S124" s="1870"/>
    </row>
    <row r="125" spans="2:19" x14ac:dyDescent="0.35">
      <c r="B125" s="318" t="s">
        <v>293</v>
      </c>
      <c r="C125" s="271">
        <v>7.0338650998122212E-2</v>
      </c>
      <c r="D125" s="271">
        <v>3.1759278616046466E-2</v>
      </c>
      <c r="E125" s="271">
        <v>0.15464176807276445</v>
      </c>
      <c r="F125" s="271">
        <v>0.10792028180121929</v>
      </c>
      <c r="G125" s="271">
        <v>7.6542487083917587E-2</v>
      </c>
      <c r="H125" s="271">
        <v>0.10796103983294031</v>
      </c>
      <c r="I125" s="271">
        <v>0.12597446078549468</v>
      </c>
      <c r="J125" s="271">
        <v>5.2132028829869489E-2</v>
      </c>
      <c r="K125" s="271">
        <v>7.1096982217060858E-2</v>
      </c>
      <c r="L125" s="271">
        <v>9.2097080305759804E-2</v>
      </c>
      <c r="M125" s="271">
        <v>7.5011914910387625E-2</v>
      </c>
      <c r="N125" s="271">
        <v>3.4524026546417209E-2</v>
      </c>
    </row>
    <row r="126" spans="2:19" ht="29" x14ac:dyDescent="0.35">
      <c r="B126" s="555" t="s">
        <v>346</v>
      </c>
      <c r="C126" s="556" t="s">
        <v>243</v>
      </c>
      <c r="D126" s="556" t="s">
        <v>244</v>
      </c>
      <c r="E126" s="556" t="s">
        <v>245</v>
      </c>
      <c r="F126" s="556" t="s">
        <v>246</v>
      </c>
      <c r="G126" s="556" t="s">
        <v>247</v>
      </c>
      <c r="H126" s="556" t="s">
        <v>248</v>
      </c>
      <c r="I126" s="556" t="s">
        <v>197</v>
      </c>
      <c r="J126" s="557" t="s">
        <v>249</v>
      </c>
      <c r="K126" s="556" t="s">
        <v>250</v>
      </c>
      <c r="L126" s="556" t="s">
        <v>251</v>
      </c>
      <c r="M126" s="556" t="s">
        <v>252</v>
      </c>
      <c r="N126" s="556" t="s">
        <v>253</v>
      </c>
      <c r="O126" s="556" t="s">
        <v>343</v>
      </c>
      <c r="P126" s="305"/>
      <c r="Q126" s="319" t="s">
        <v>344</v>
      </c>
    </row>
    <row r="127" spans="2:19" x14ac:dyDescent="0.35">
      <c r="B127" s="558" t="s">
        <v>255</v>
      </c>
      <c r="C127" s="559">
        <f>'A) Resumen Ingresos y Egresos'!$E$19*C134</f>
        <v>12420196.92153248</v>
      </c>
      <c r="D127" s="559">
        <f>'A) Resumen Ingresos y Egresos'!$E$19*D134</f>
        <v>21053338.722994659</v>
      </c>
      <c r="E127" s="559">
        <f>'A) Resumen Ingresos y Egresos'!$E$19*E134</f>
        <v>14401113.837454526</v>
      </c>
      <c r="F127" s="559">
        <f>'A) Resumen Ingresos y Egresos'!$E$19*F134</f>
        <v>4262346.2776098968</v>
      </c>
      <c r="G127" s="559">
        <f>'A) Resumen Ingresos y Egresos'!$E$19*G134</f>
        <v>1793105.4513419808</v>
      </c>
      <c r="H127" s="559">
        <f>'A) Resumen Ingresos y Egresos'!$E$19*H134</f>
        <v>894304.587063852</v>
      </c>
      <c r="I127" s="559">
        <f>'A) Resumen Ingresos y Egresos'!$E$19*I134</f>
        <v>3703327.1470801244</v>
      </c>
      <c r="J127" s="559">
        <f>'A) Resumen Ingresos y Egresos'!$E$19*J134</f>
        <v>3094881.9728985848</v>
      </c>
      <c r="K127" s="559">
        <f>'A) Resumen Ingresos y Egresos'!$E$19*K134</f>
        <v>3986792.1460705493</v>
      </c>
      <c r="L127" s="559">
        <f>'A) Resumen Ingresos y Egresos'!$E$19*L134</f>
        <v>3813689.223969222</v>
      </c>
      <c r="M127" s="559">
        <f>'A) Resumen Ingresos y Egresos'!$E$19*M134</f>
        <v>3516297.3176113856</v>
      </c>
      <c r="N127" s="559">
        <f>'A) Resumen Ingresos y Egresos'!$E$19*N134</f>
        <v>22813006.394372739</v>
      </c>
      <c r="O127" s="560">
        <f t="shared" ref="O127:O133" si="24">SUM(C127:N127)</f>
        <v>95752400</v>
      </c>
      <c r="P127" s="305">
        <f>IF(Q127=12,C127+D127+E127+F127+G127+H127+I127+J127+K127+L127+M127+N127,IF(Q127=11,C127+D127+E127+F127+G127+H127+I127+J127+K127+L127+M127,IF(Q127=10,C127+D127+E127+F127+G127+H127+I127+J127+K127+L127,IF(Q127=9,C127+D127+E127+F127+G127+H127+I127+J127+K127,IF(Q127=8,C127+D127+E127+F127+G127+H127+I127+J127,IF(Q127=7,C127+D127+E127+F127+G127+H127+I127,IF(Q127=6,C127+D127+E127+F127+G127+H127,IF(Q127=5,C127+D127+E127+F127+G127,0))))))))</f>
        <v>95752400</v>
      </c>
      <c r="Q127" s="320">
        <f>COUNTA(#REF!,#REF!,#REF!,#REF!,#REF!,#REF!,#REF!,#REF!,#REF!,#REF!,#REF!,#REF!)</f>
        <v>12</v>
      </c>
    </row>
    <row r="128" spans="2:19" x14ac:dyDescent="0.35">
      <c r="B128" s="558" t="s">
        <v>256</v>
      </c>
      <c r="C128" s="559">
        <f>(SUM('F) Remuneraciones'!$L$234:$L$244)-SUM('F) Remuneraciones'!$I$234:$J$244))/12</f>
        <v>4451888.0999999996</v>
      </c>
      <c r="D128" s="559">
        <f>(SUM('F) Remuneraciones'!$L$234:$L$244)-SUM('F) Remuneraciones'!$I$234:$J$244))/12</f>
        <v>4451888.0999999996</v>
      </c>
      <c r="E128" s="559">
        <f>(SUM('F) Remuneraciones'!$L$234:$L$244)-SUM('F) Remuneraciones'!$I$234:$J$244))/12</f>
        <v>4451888.0999999996</v>
      </c>
      <c r="F128" s="559">
        <f>(SUM('F) Remuneraciones'!$L$234:$L$244)-SUM('F) Remuneraciones'!$I$234:$J$244))/12</f>
        <v>4451888.0999999996</v>
      </c>
      <c r="G128" s="559">
        <f>(SUM('F) Remuneraciones'!$L$234:$L$244)-SUM('F) Remuneraciones'!$I$234:$J$244))/12</f>
        <v>4451888.0999999996</v>
      </c>
      <c r="H128" s="559">
        <f>(SUM('F) Remuneraciones'!$L$234:$L$244)-SUM('F) Remuneraciones'!$I$234:$J$244))/12</f>
        <v>4451888.0999999996</v>
      </c>
      <c r="I128" s="559">
        <f>(SUM('F) Remuneraciones'!$L$234:$L$244)-SUM('F) Remuneraciones'!$I$234:$J$244))/12</f>
        <v>4451888.0999999996</v>
      </c>
      <c r="J128" s="559">
        <f>(SUM('F) Remuneraciones'!$L$234:$L$244)-SUM('F) Remuneraciones'!$I$234:$J$244))/12</f>
        <v>4451888.0999999996</v>
      </c>
      <c r="K128" s="559">
        <f>(SUM('F) Remuneraciones'!$L$234:$L$244)-SUM('F) Remuneraciones'!$I$234:$J$244))/12</f>
        <v>4451888.0999999996</v>
      </c>
      <c r="L128" s="559">
        <f>(SUM('F) Remuneraciones'!$L$234:$L$244)-SUM('F) Remuneraciones'!$I$234:$J$244))/12</f>
        <v>4451888.0999999996</v>
      </c>
      <c r="M128" s="559">
        <f>(SUM('F) Remuneraciones'!$L$234:$L$244)-SUM('F) Remuneraciones'!$I$234:$J$244))/12</f>
        <v>4451888.0999999996</v>
      </c>
      <c r="N128" s="559">
        <f>(SUM('F) Remuneraciones'!$L$234:$L$244)-SUM('F) Remuneraciones'!$I$234:$J$244))/12</f>
        <v>4451888.0999999996</v>
      </c>
      <c r="O128" s="560">
        <f t="shared" si="24"/>
        <v>53422657.20000001</v>
      </c>
      <c r="P128" s="554">
        <f>IF(Q128=12,C128+D128+E128+F128+G128+H128+I128+J128+K128+L128+M128+N128,IF(Q128=11,C128+D128+E128+F128+G128+H128+I128+J128+K128+L128+M128,IF(Q128=10,C128+D128+E128+F128+G128+H128+I128+J128+K128+L128,IF(Q128=9,C128+D128+E128+F128+G128+H128+I128+J128+K128,IF(Q128=8,C128+D128+E128+F128+G128+H128+I128+J128,IF(Q128=7,C128+D128+E128+F128+G128+H128+I128,IF(Q128=6,C128+D128+E128+F128+G128+H128,IF(Q128=5,C128+D128+E128+F128+G128,0))))))))</f>
        <v>53422657.20000001</v>
      </c>
      <c r="Q128" s="3209">
        <f>COUNTA(#REF!,#REF!,#REF!,#REF!,#REF!,#REF!,#REF!,#REF!,#REF!,#REF!,#REF!,#REF!)</f>
        <v>12</v>
      </c>
    </row>
    <row r="129" spans="2:19" x14ac:dyDescent="0.35">
      <c r="B129" s="558" t="s">
        <v>257</v>
      </c>
      <c r="C129" s="559">
        <f>SUM('F) Remuneraciones'!$L$245:$L$255)/4</f>
        <v>1667372.7460087501</v>
      </c>
      <c r="D129" s="559">
        <f>SUM('F) Remuneraciones'!$L$245:$L$255)/4</f>
        <v>1667372.7460087501</v>
      </c>
      <c r="E129" s="559">
        <f>SUM('F) Remuneraciones'!$L$245:$L$255)/4</f>
        <v>1667372.7460087501</v>
      </c>
      <c r="F129" s="559">
        <v>0</v>
      </c>
      <c r="G129" s="559">
        <v>0</v>
      </c>
      <c r="H129" s="559">
        <v>0</v>
      </c>
      <c r="I129" s="559">
        <v>0</v>
      </c>
      <c r="J129" s="559">
        <v>0</v>
      </c>
      <c r="K129" s="559">
        <v>0</v>
      </c>
      <c r="L129" s="559">
        <v>0</v>
      </c>
      <c r="M129" s="559">
        <v>0</v>
      </c>
      <c r="N129" s="559">
        <f>SUM('F) Remuneraciones'!$L$245:$L$255)/4</f>
        <v>1667372.7460087501</v>
      </c>
      <c r="O129" s="560">
        <f t="shared" si="24"/>
        <v>6669490.9840350002</v>
      </c>
      <c r="P129" s="554">
        <f>IF(Q128=12,C129+D129+E129+F129+G129+H129+I129+J129+K129+L129+M129+N129,IF(Q128=11,C129+D129+E129+F129+G129+H129+I129+J129+K129+L129+M129,IF(Q128=10,C129+D129+E129+F129+G129+H129+I129+J129+K129+L129,IF(Q128=9,C129+D129+E129+F129+G129+H129+I129+J129+K129,IF(Q128=8,C129+D129+E129+F129+G129+H129+I129+J129,IF(Q128=7,C129+D129+E129+F129+G129+H129+I129,IF(Q128=6,C129+D129+E129+F129+G129+H129,IF(Q128=5,C129+D129+E129+F129+G129,0))))))))</f>
        <v>6669490.9840350002</v>
      </c>
      <c r="Q129" s="3209"/>
    </row>
    <row r="130" spans="2:19" x14ac:dyDescent="0.35">
      <c r="B130" s="558" t="s">
        <v>258</v>
      </c>
      <c r="C130" s="559">
        <f>SUM('F) Remuneraciones'!J234:J244)/2</f>
        <v>779844</v>
      </c>
      <c r="D130" s="559">
        <v>0</v>
      </c>
      <c r="E130" s="559">
        <v>0</v>
      </c>
      <c r="F130" s="559">
        <v>0</v>
      </c>
      <c r="G130" s="559">
        <v>0</v>
      </c>
      <c r="H130" s="559">
        <v>0</v>
      </c>
      <c r="I130" s="559">
        <v>0</v>
      </c>
      <c r="J130" s="559">
        <v>0</v>
      </c>
      <c r="K130" s="559">
        <f>SUM('F) Remuneraciones'!I234:I244)/2</f>
        <v>434008</v>
      </c>
      <c r="L130" s="559">
        <v>0</v>
      </c>
      <c r="M130" s="559">
        <v>0</v>
      </c>
      <c r="N130" s="559">
        <f>C130+K130</f>
        <v>1213852</v>
      </c>
      <c r="O130" s="560">
        <f t="shared" si="24"/>
        <v>2427704</v>
      </c>
      <c r="P130" s="305">
        <f>IF(Q130=12,C130+D130+E130+F130+G130+H130+I130+J130+K130+L130+M130+N130,IF(Q130=11,C130+D130+E130+F130+G130+H130+I130+J130+K130+L130+M130,IF(Q130=10,C130+D130+E130+F130+G130+H130+I130+J130+K130+L130,IF(Q130=9,C130+D130+E130+F130+G130+H130+I130+J130+K130,IF(Q130=8,C130+D130+E130+F130+G130+H130+I130+J130,IF(Q130=7,C130+D130+E130+F130+G130+H130+I130,IF(Q130=6,C130+D130+E130+F130+G130+H130,IF(Q130=5,C130+D130+E130+F130+G130,0))))))))</f>
        <v>2427704</v>
      </c>
      <c r="Q130" s="320">
        <f>COUNTA(#REF!,#REF!,#REF!,#REF!,#REF!,#REF!,#REF!,#REF!,#REF!,#REF!,#REF!,#REF!)</f>
        <v>12</v>
      </c>
    </row>
    <row r="131" spans="2:19" x14ac:dyDescent="0.35">
      <c r="B131" s="558" t="s">
        <v>259</v>
      </c>
      <c r="C131" s="559">
        <f>('C) Costos Directos'!$H$731-'C) Costos Directos'!$H$732)*C135</f>
        <v>2969192.2489401908</v>
      </c>
      <c r="D131" s="559">
        <f>('C) Costos Directos'!$H$731-'C) Costos Directos'!$H$732)*D135</f>
        <v>3318991.1164939515</v>
      </c>
      <c r="E131" s="559">
        <f>('C) Costos Directos'!$H$731-'C) Costos Directos'!$H$732)*E135</f>
        <v>4182700.5942413164</v>
      </c>
      <c r="F131" s="559">
        <f>('C) Costos Directos'!$H$731-'C) Costos Directos'!$H$732)*F135</f>
        <v>1344966.2258152722</v>
      </c>
      <c r="G131" s="559">
        <f>('C) Costos Directos'!$H$731-'C) Costos Directos'!$H$732)*G135</f>
        <v>3665370.3657816248</v>
      </c>
      <c r="H131" s="559">
        <f>('C) Costos Directos'!$H$731-'C) Costos Directos'!$H$732)*H135</f>
        <v>2243288.1132071349</v>
      </c>
      <c r="I131" s="559">
        <f>('C) Costos Directos'!$H$731-'C) Costos Directos'!$H$732)*I135</f>
        <v>1786239.5256281695</v>
      </c>
      <c r="J131" s="559">
        <f>('C) Costos Directos'!$H$731-'C) Costos Directos'!$H$732)*J135</f>
        <v>2094412.8439504583</v>
      </c>
      <c r="K131" s="559">
        <f>('C) Costos Directos'!$H$731-'C) Costos Directos'!$H$732)*K135</f>
        <v>1299788.4928742994</v>
      </c>
      <c r="L131" s="559">
        <f>('C) Costos Directos'!$H$731-'C) Costos Directos'!$H$732)*L135</f>
        <v>3044649.0695044408</v>
      </c>
      <c r="M131" s="559">
        <f>('C) Costos Directos'!$H$731-'C) Costos Directos'!$H$732)*M135</f>
        <v>2306146.940342587</v>
      </c>
      <c r="N131" s="559">
        <f>('C) Costos Directos'!$H$731-'C) Costos Directos'!$H$732)*N135</f>
        <v>1522172.0132205524</v>
      </c>
      <c r="O131" s="560">
        <f t="shared" si="24"/>
        <v>29777917.549999993</v>
      </c>
      <c r="P131" s="305">
        <f>IF(Q131=12,C131+D131+E131+F131+G131+H131+I131+J131+K131+L131+M131+N131,IF(Q131=11,C131+D131+E131+F131+G131+H131+I131+J131+K131+L131+M131,IF(Q131=10,C131+D131+E131+F131+G131+H131+I131+J131+K131+L131,IF(Q131=9,C131+D131+E131+F131+G131+H131+I131+J131+K131,IF(Q131=8,C131+D131+E131+F131+G131+H131+I131+J131,IF(Q131=7,C131+D131+E131+F131+G131+H131+I131,IF(Q131=6,C131+D131+E131+F131+G131+H131,IF(Q131=5,C131+D131+E131+F131+G131,0))))))))</f>
        <v>29777917.549999993</v>
      </c>
      <c r="Q131" s="320">
        <f>COUNTA(#REF!,#REF!,#REF!,#REF!,#REF!,#REF!,#REF!,#REF!,#REF!,#REF!,#REF!,#REF!)</f>
        <v>12</v>
      </c>
    </row>
    <row r="132" spans="2:19" ht="15" thickBot="1" x14ac:dyDescent="0.4">
      <c r="B132" s="561" t="s">
        <v>292</v>
      </c>
      <c r="C132" s="562">
        <f>'C) Costos Directos'!$D$759*C136</f>
        <v>1202520.1927730951</v>
      </c>
      <c r="D132" s="562">
        <f>'C) Costos Directos'!$D$759*D136</f>
        <v>1344188.4198111726</v>
      </c>
      <c r="E132" s="562">
        <f>'C) Costos Directos'!$D$759*E136</f>
        <v>1693989.9821894367</v>
      </c>
      <c r="F132" s="562">
        <f>'C) Costos Directos'!$D$759*F136</f>
        <v>544710.11289955117</v>
      </c>
      <c r="G132" s="562">
        <f>'C) Costos Directos'!$D$759*G136</f>
        <v>1484471.7045242747</v>
      </c>
      <c r="H132" s="562">
        <f>'C) Costos Directos'!$D$759*H136</f>
        <v>908529.67008192372</v>
      </c>
      <c r="I132" s="562">
        <f>'C) Costos Directos'!$D$759*I136</f>
        <v>723425.40280576365</v>
      </c>
      <c r="J132" s="562">
        <f>'C) Costos Directos'!$D$759*J136</f>
        <v>848235.31980885344</v>
      </c>
      <c r="K132" s="562">
        <f>'C) Costos Directos'!$D$759*K136</f>
        <v>526413.17165412602</v>
      </c>
      <c r="L132" s="562">
        <f>'C) Costos Directos'!$D$759*L136</f>
        <v>1233080.1372978576</v>
      </c>
      <c r="M132" s="562">
        <f>'C) Costos Directos'!$D$759*M136</f>
        <v>933987.43858828943</v>
      </c>
      <c r="N132" s="562">
        <f>'C) Costos Directos'!$D$759*N136</f>
        <v>616478.29756565555</v>
      </c>
      <c r="O132" s="563">
        <f t="shared" si="24"/>
        <v>12060029.85</v>
      </c>
      <c r="P132" s="305">
        <f>IF(Q132=12,C132+D132+E132+F132+G132+H132+I132+J132+K132+L132+M132+N132,IF(Q132=11,C132+D132+E132+F132+G132+H132+I132+J132+K132+L132+M132,IF(Q132=10,C132+D132+E132+F132+G132+H132+I132+J132+K132+L132,IF(Q132=9,C132+D132+E132+F132+G132+H132+I132+J132+K132,IF(Q132=8,C132+D132+E132+F132+G132+H132+I132+J132,IF(Q132=7,C132+D132+E132+F132+G132+H132+I132,IF(Q132=6,C132+D132+E132+F132+G132+H132,IF(Q132=5,C132+D132+E132+F132+G132,0))))))))</f>
        <v>12060029.85</v>
      </c>
      <c r="Q132" s="320">
        <f>COUNTA(#REF!,#REF!,#REF!,#REF!,#REF!,#REF!,#REF!,#REF!,#REF!,#REF!,#REF!,#REF!)</f>
        <v>12</v>
      </c>
    </row>
    <row r="133" spans="2:19" ht="15" thickBot="1" x14ac:dyDescent="0.4">
      <c r="B133" s="564" t="s">
        <v>260</v>
      </c>
      <c r="C133" s="566">
        <f t="shared" ref="C133" si="25">C127-(C128+C129+C130+C131+C132)</f>
        <v>1349379.6338104457</v>
      </c>
      <c r="D133" s="566">
        <f t="shared" ref="D133" si="26">D127-(D128+D129+D130+D131+D132)</f>
        <v>10270898.340680785</v>
      </c>
      <c r="E133" s="566">
        <f t="shared" ref="E133" si="27">E127-(E128+E129+E130+E131+E132)</f>
        <v>2405162.4150150232</v>
      </c>
      <c r="F133" s="566">
        <f t="shared" ref="F133" si="28">F127-(F128+F129+F130+F131+F132)</f>
        <v>-2079218.1611049259</v>
      </c>
      <c r="G133" s="566">
        <f t="shared" ref="G133" si="29">G127-(G128+G129+G130+G131+G132)</f>
        <v>-7808624.7189639173</v>
      </c>
      <c r="H133" s="566">
        <f t="shared" ref="H133" si="30">H127-(H128+H129+H130+H131+H132)</f>
        <v>-6709401.2962252069</v>
      </c>
      <c r="I133" s="566">
        <f t="shared" ref="I133" si="31">I127-(I128+I129+I130+I131+I132)</f>
        <v>-3258225.8813538086</v>
      </c>
      <c r="J133" s="566">
        <f t="shared" ref="J133" si="32">J127-(J128+J129+J130+J131+J132)</f>
        <v>-4299654.2908607265</v>
      </c>
      <c r="K133" s="566">
        <f t="shared" ref="K133" si="33">K127-(K128+K129+K130+K131+K132)</f>
        <v>-2725305.6184578752</v>
      </c>
      <c r="L133" s="566">
        <f t="shared" ref="L133" si="34">L127-(L128+L129+L130+L131+L132)</f>
        <v>-4915928.0828330768</v>
      </c>
      <c r="M133" s="566">
        <f t="shared" ref="M133" si="35">M127-(M128+M129+M130+M131+M132)</f>
        <v>-4175725.1613194901</v>
      </c>
      <c r="N133" s="566">
        <f t="shared" ref="N133" si="36">N127-(N128+N129+N130+N131+N132)</f>
        <v>13341243.237577781</v>
      </c>
      <c r="O133" s="580">
        <f t="shared" si="24"/>
        <v>-8605399.5840349942</v>
      </c>
      <c r="S133" s="1869"/>
    </row>
    <row r="134" spans="2:19" x14ac:dyDescent="0.35">
      <c r="B134" s="318" t="s">
        <v>261</v>
      </c>
      <c r="C134" s="271">
        <v>0.12971159909863858</v>
      </c>
      <c r="D134" s="271">
        <v>0.2198727000367057</v>
      </c>
      <c r="E134" s="271">
        <v>0.15039950787086825</v>
      </c>
      <c r="F134" s="271">
        <v>4.4514250061720613E-2</v>
      </c>
      <c r="G134" s="271">
        <v>1.8726480499099561E-2</v>
      </c>
      <c r="H134" s="271">
        <v>9.3397615836663308E-3</v>
      </c>
      <c r="I134" s="271">
        <v>3.8676076496047353E-2</v>
      </c>
      <c r="J134" s="271">
        <v>3.2321716979402969E-2</v>
      </c>
      <c r="K134" s="271">
        <v>4.1636472256262498E-2</v>
      </c>
      <c r="L134" s="271">
        <v>3.982865415351701E-2</v>
      </c>
      <c r="M134" s="271">
        <v>3.6722811309287139E-2</v>
      </c>
      <c r="N134" s="271">
        <v>0.23824996965478401</v>
      </c>
      <c r="O134" s="266"/>
    </row>
    <row r="135" spans="2:19" x14ac:dyDescent="0.35">
      <c r="B135" s="318" t="s">
        <v>262</v>
      </c>
      <c r="C135" s="271">
        <v>9.9711211972920211E-2</v>
      </c>
      <c r="D135" s="271">
        <v>0.11145813373017253</v>
      </c>
      <c r="E135" s="271">
        <v>0.14046316661392316</v>
      </c>
      <c r="F135" s="271">
        <v>4.5166564235290939E-2</v>
      </c>
      <c r="G135" s="271">
        <v>0.12309021809960734</v>
      </c>
      <c r="H135" s="271">
        <v>7.5333948703445688E-2</v>
      </c>
      <c r="I135" s="271">
        <v>5.9985374149448198E-2</v>
      </c>
      <c r="J135" s="271">
        <v>7.0334429546113728E-2</v>
      </c>
      <c r="K135" s="271">
        <v>4.3649408683190456E-2</v>
      </c>
      <c r="L135" s="271">
        <v>0.1022451977843038</v>
      </c>
      <c r="M135" s="271">
        <v>7.744486955712547E-2</v>
      </c>
      <c r="N135" s="271">
        <v>5.1117476924458491E-2</v>
      </c>
      <c r="O135" s="266"/>
    </row>
    <row r="136" spans="2:19" ht="15" thickBot="1" x14ac:dyDescent="0.4">
      <c r="B136" s="318" t="s">
        <v>293</v>
      </c>
      <c r="C136" s="271">
        <v>9.9711211972920211E-2</v>
      </c>
      <c r="D136" s="271">
        <v>0.11145813373017253</v>
      </c>
      <c r="E136" s="271">
        <v>0.14046316661392316</v>
      </c>
      <c r="F136" s="271">
        <v>4.5166564235290939E-2</v>
      </c>
      <c r="G136" s="271">
        <v>0.12309021809960734</v>
      </c>
      <c r="H136" s="271">
        <v>7.5333948703445688E-2</v>
      </c>
      <c r="I136" s="271">
        <v>5.9985374149448198E-2</v>
      </c>
      <c r="J136" s="271">
        <v>7.0334429546113728E-2</v>
      </c>
      <c r="K136" s="271">
        <v>4.3649408683190456E-2</v>
      </c>
      <c r="L136" s="271">
        <v>0.1022451977843038</v>
      </c>
      <c r="M136" s="271">
        <v>7.744486955712547E-2</v>
      </c>
      <c r="N136" s="271">
        <v>5.1117476924458491E-2</v>
      </c>
    </row>
    <row r="137" spans="2:19" ht="29" x14ac:dyDescent="0.35">
      <c r="B137" s="568" t="s">
        <v>273</v>
      </c>
      <c r="C137" s="569" t="s">
        <v>243</v>
      </c>
      <c r="D137" s="569" t="s">
        <v>244</v>
      </c>
      <c r="E137" s="569" t="s">
        <v>245</v>
      </c>
      <c r="F137" s="569" t="s">
        <v>246</v>
      </c>
      <c r="G137" s="569" t="s">
        <v>247</v>
      </c>
      <c r="H137" s="569" t="s">
        <v>248</v>
      </c>
      <c r="I137" s="569" t="s">
        <v>197</v>
      </c>
      <c r="J137" s="570" t="s">
        <v>249</v>
      </c>
      <c r="K137" s="569" t="s">
        <v>250</v>
      </c>
      <c r="L137" s="569" t="s">
        <v>251</v>
      </c>
      <c r="M137" s="569" t="s">
        <v>252</v>
      </c>
      <c r="N137" s="569" t="s">
        <v>253</v>
      </c>
      <c r="O137" s="571" t="s">
        <v>343</v>
      </c>
      <c r="P137" s="305"/>
      <c r="Q137" s="319" t="s">
        <v>344</v>
      </c>
    </row>
    <row r="138" spans="2:19" x14ac:dyDescent="0.35">
      <c r="B138" s="572" t="s">
        <v>255</v>
      </c>
      <c r="C138" s="559">
        <f>'A) Resumen Ingresos y Egresos'!$E$20*C145</f>
        <v>2532064.776375859</v>
      </c>
      <c r="D138" s="559">
        <f>'A) Resumen Ingresos y Egresos'!$E$20*D145</f>
        <v>3051420.5341067933</v>
      </c>
      <c r="E138" s="559">
        <f>'A) Resumen Ingresos y Egresos'!$E$20*E145</f>
        <v>887486.7125441815</v>
      </c>
      <c r="F138" s="559">
        <f>'A) Resumen Ingresos y Egresos'!$E$20*F145</f>
        <v>3505533.0894823708</v>
      </c>
      <c r="G138" s="559">
        <f>'A) Resumen Ingresos y Egresos'!$E$20*G145</f>
        <v>2138531.0721126311</v>
      </c>
      <c r="H138" s="559">
        <f>'A) Resumen Ingresos y Egresos'!$E$20*H145</f>
        <v>1888516.8055819275</v>
      </c>
      <c r="I138" s="559">
        <f>'A) Resumen Ingresos y Egresos'!$E$20*I145</f>
        <v>2340806.8661009655</v>
      </c>
      <c r="J138" s="559">
        <f>'A) Resumen Ingresos y Egresos'!$E$20*J145</f>
        <v>2172734.9597480502</v>
      </c>
      <c r="K138" s="559">
        <f>'A) Resumen Ingresos y Egresos'!$E$20*K145</f>
        <v>3162916.249772694</v>
      </c>
      <c r="L138" s="559">
        <f>'A) Resumen Ingresos y Egresos'!$E$20*L145</f>
        <v>1414724.2321524608</v>
      </c>
      <c r="M138" s="559">
        <f>'A) Resumen Ingresos y Egresos'!$E$20*M145</f>
        <v>1615068.6042946144</v>
      </c>
      <c r="N138" s="559">
        <f>'A) Resumen Ingresos y Egresos'!$E$20*N145</f>
        <v>1803096.0977274526</v>
      </c>
      <c r="O138" s="573">
        <f t="shared" ref="O138:O144" si="37">SUM(C138:N138)</f>
        <v>26512900</v>
      </c>
      <c r="P138" s="305">
        <f>IF(Q138=12,C138+D138+E138+F138+G138+H138+I138+J138+K138+L138+M138+N138,IF(Q138=11,C138+D138+E138+F138+G138+H138+I138+J138+K138+L138+M138,IF(Q138=10,C138+D138+E138+F138+G138+H138+I138+J138+K138+L138,IF(Q138=9,C138+D138+E138+F138+G138+H138+I138+J138+K138,IF(Q138=8,C138+D138+E138+F138+G138+H138+I138+J138,IF(Q138=7,C138+D138+E138+F138+G138+H138+I138,IF(Q138=6,C138+D138+E138+F138+G138+H138,IF(Q138=5,C138+D138+E138+F138+G138,0))))))))</f>
        <v>26512900</v>
      </c>
      <c r="Q138" s="320">
        <f>COUNTA(#REF!,#REF!,#REF!,#REF!,#REF!,#REF!,#REF!,#REF!,#REF!,#REF!,#REF!,#REF!)</f>
        <v>12</v>
      </c>
    </row>
    <row r="139" spans="2:19" x14ac:dyDescent="0.35">
      <c r="B139" s="572" t="s">
        <v>256</v>
      </c>
      <c r="C139" s="559">
        <f>(SUM('F) Remuneraciones'!$H$256:$H$266)*(1+'F) Remuneraciones'!$M$7))*(1+'F) Remuneraciones'!$M$8)/12</f>
        <v>0</v>
      </c>
      <c r="D139" s="559">
        <f>(SUM('F) Remuneraciones'!$H$256:$H$266)*(1+'F) Remuneraciones'!$M$7))*(1+'F) Remuneraciones'!$M$8)/12</f>
        <v>0</v>
      </c>
      <c r="E139" s="559">
        <f>(SUM('F) Remuneraciones'!$H$256:$H$266)*(1+'F) Remuneraciones'!$M$7))*(1+'F) Remuneraciones'!$M$8)/12</f>
        <v>0</v>
      </c>
      <c r="F139" s="559">
        <f>(SUM('F) Remuneraciones'!$H$256:$H$266)*(1+'F) Remuneraciones'!$M$7))*(1+'F) Remuneraciones'!$M$8)/12</f>
        <v>0</v>
      </c>
      <c r="G139" s="559">
        <f>(SUM('F) Remuneraciones'!$H$256:$H$266)*(1+'F) Remuneraciones'!$M$7))*(1+'F) Remuneraciones'!$M$8)/12</f>
        <v>0</v>
      </c>
      <c r="H139" s="559">
        <f>(SUM('F) Remuneraciones'!$H$256:$H$266)*(1+'F) Remuneraciones'!$M$7))*(1+'F) Remuneraciones'!$M$8)/12</f>
        <v>0</v>
      </c>
      <c r="I139" s="559">
        <f>(SUM('F) Remuneraciones'!$H$256:$H$266)*(1+'F) Remuneraciones'!$M$7))*(1+'F) Remuneraciones'!$M$8)/12</f>
        <v>0</v>
      </c>
      <c r="J139" s="559">
        <f>(SUM('F) Remuneraciones'!$H$256:$H$266)*(1+'F) Remuneraciones'!$M$7))*(1+'F) Remuneraciones'!$M$8)/12</f>
        <v>0</v>
      </c>
      <c r="K139" s="559">
        <f>(SUM('F) Remuneraciones'!$H$256:$H$266)*(1+'F) Remuneraciones'!$M$7))*(1+'F) Remuneraciones'!$M$8)/12</f>
        <v>0</v>
      </c>
      <c r="L139" s="559">
        <f>(SUM('F) Remuneraciones'!$H$256:$H$266)*(1+'F) Remuneraciones'!$M$7))*(1+'F) Remuneraciones'!$M$8)/12</f>
        <v>0</v>
      </c>
      <c r="M139" s="559">
        <f>(SUM('F) Remuneraciones'!$H$256:$H$266)*(1+'F) Remuneraciones'!$M$7))*(1+'F) Remuneraciones'!$M$8)/12</f>
        <v>0</v>
      </c>
      <c r="N139" s="559">
        <f>(SUM('F) Remuneraciones'!$H$256:$H$266)*(1+'F) Remuneraciones'!$M$7))*(1+'F) Remuneraciones'!$M$8)/12</f>
        <v>0</v>
      </c>
      <c r="O139" s="573">
        <f t="shared" si="37"/>
        <v>0</v>
      </c>
      <c r="P139" s="554">
        <f>IF(Q139=12,C139+D139+E139+F139+G139+H139+I139+J139+K139+L139+M139+N139,IF(Q139=11,C139+D139+E139+F139+G139+H139+I139+J139+K139+L139+M139,IF(Q139=10,C139+D139+E139+F139+G139+H139+I139+J139+K139+L139,IF(Q139=9,C139+D139+E139+F139+G139+H139+I139+J139+K139,IF(Q139=8,C139+D139+E139+F139+G139+H139+I139+J139,IF(Q139=7,C139+D139+E139+F139+G139+H139+I139,IF(Q139=6,C139+D139+E139+F139+G139+H139,IF(Q139=5,C139+D139+E139+F139+G139,0))))))))</f>
        <v>0</v>
      </c>
      <c r="Q139" s="3209">
        <f>COUNTA(#REF!,#REF!,#REF!,#REF!,#REF!,#REF!,#REF!,#REF!,#REF!,#REF!,#REF!,#REF!)</f>
        <v>12</v>
      </c>
    </row>
    <row r="140" spans="2:19" x14ac:dyDescent="0.35">
      <c r="B140" s="572" t="s">
        <v>257</v>
      </c>
      <c r="C140" s="559">
        <f>(SUM('F) Remuneraciones'!$H$267:$H$277)*(1+'F) Remuneraciones'!$M$79)*(1+'F) Remuneraciones'!M8)/4)</f>
        <v>0</v>
      </c>
      <c r="D140" s="559">
        <f>(SUM('F) Remuneraciones'!$H$267:$H$277)*(1+'F) Remuneraciones'!$M$79)*(1+'F) Remuneraciones'!N8)/4)</f>
        <v>0</v>
      </c>
      <c r="E140" s="559">
        <f>(SUM('F) Remuneraciones'!$H$267:$H$277)*(1+'F) Remuneraciones'!$M$79)*(1+'F) Remuneraciones'!O8)/4)</f>
        <v>0</v>
      </c>
      <c r="F140" s="559">
        <v>0</v>
      </c>
      <c r="G140" s="559">
        <v>0</v>
      </c>
      <c r="H140" s="559">
        <v>0</v>
      </c>
      <c r="I140" s="559">
        <v>0</v>
      </c>
      <c r="J140" s="559">
        <v>0</v>
      </c>
      <c r="K140" s="559">
        <v>0</v>
      </c>
      <c r="L140" s="559">
        <v>0</v>
      </c>
      <c r="M140" s="559">
        <v>0</v>
      </c>
      <c r="N140" s="559">
        <f>(SUM('F) Remuneraciones'!$H$267:$H$277)*(1+'F) Remuneraciones'!$M$79)*(1+'F) Remuneraciones'!X8)/4)</f>
        <v>0</v>
      </c>
      <c r="O140" s="573">
        <f t="shared" si="37"/>
        <v>0</v>
      </c>
      <c r="P140" s="554">
        <f>IF(Q139=12,C140+D140+E140+F140+G140+H140+I140+J140+K140+L140+M140+N140,IF(Q139=11,C140+D140+E140+F140+G140+H140+I140+J140+K140+L140+M140,IF(Q139=10,C140+D140+E140+F140+G140+H140+I140+J140+K140+L140,IF(Q139=9,C140+D140+E140+F140+G140+H140+I140+J140+K140,IF(Q139=8,C140+D140+E140+F140+G140+H140+I140+J140,IF(Q139=7,C140+D140+E140+F140+G140+H140+I140,IF(Q139=6,C140+D140+E140+F140+G140+H140,IF(Q139=5,C140+D140+E140+F140+G140,0))))))))</f>
        <v>0</v>
      </c>
      <c r="Q140" s="3209"/>
    </row>
    <row r="141" spans="2:19" x14ac:dyDescent="0.35">
      <c r="B141" s="572" t="s">
        <v>258</v>
      </c>
      <c r="C141" s="559">
        <f>SUM('F) Remuneraciones'!$I$256:$I$277)*(1+'F) Remuneraciones'!$M$8)/2</f>
        <v>0</v>
      </c>
      <c r="D141" s="559">
        <v>0</v>
      </c>
      <c r="E141" s="559">
        <v>0</v>
      </c>
      <c r="F141" s="559">
        <v>0</v>
      </c>
      <c r="G141" s="559">
        <v>0</v>
      </c>
      <c r="H141" s="559">
        <v>0</v>
      </c>
      <c r="I141" s="559">
        <v>0</v>
      </c>
      <c r="J141" s="559">
        <v>0</v>
      </c>
      <c r="K141" s="559">
        <f>SUM('F) Remuneraciones'!$I$256:$I$277)*(1+'F) Remuneraciones'!$M$8)/2</f>
        <v>0</v>
      </c>
      <c r="L141" s="559">
        <v>0</v>
      </c>
      <c r="M141" s="559">
        <v>0</v>
      </c>
      <c r="N141" s="559">
        <f>C141+K141</f>
        <v>0</v>
      </c>
      <c r="O141" s="573">
        <f t="shared" si="37"/>
        <v>0</v>
      </c>
      <c r="P141" s="305">
        <f>IF(Q141=12,C141+D141+E141+F141+G141+H141+I141+J141+K141+L141+M141+N141,IF(Q141=11,C141+D141+E141+F141+G141+H141+I141+J141+K141+L141+M141,IF(Q141=10,C141+D141+E141+F141+G141+H141+I141+J141+K141+L141,IF(Q141=9,C141+D141+E141+F141+G141+H141+I141+J141+K141,IF(Q141=8,C141+D141+E141+F141+G141+H141+I141+J141,IF(Q141=7,C141+D141+E141+F141+G141+H141+I141,IF(Q141=6,C141+D141+E141+F141+G141+H141,IF(Q141=5,C141+D141+E141+F141+G141,0))))))))</f>
        <v>0</v>
      </c>
      <c r="Q141" s="320">
        <f>COUNTA(#REF!,#REF!,#REF!,#REF!,#REF!,#REF!,#REF!,#REF!,#REF!,#REF!,#REF!,#REF!)</f>
        <v>12</v>
      </c>
    </row>
    <row r="142" spans="2:19" x14ac:dyDescent="0.35">
      <c r="B142" s="572" t="s">
        <v>259</v>
      </c>
      <c r="C142" s="559">
        <f>('C) Costos Directos'!$H$803-'C) Costos Directos'!$H$804)*C146</f>
        <v>1101536.2745378539</v>
      </c>
      <c r="D142" s="559">
        <f>('C) Costos Directos'!$H$803-'C) Costos Directos'!$H$804)*D146</f>
        <v>923415.86702334334</v>
      </c>
      <c r="E142" s="559">
        <f>('C) Costos Directos'!$H$803-'C) Costos Directos'!$H$804)*E146</f>
        <v>644900.71822287992</v>
      </c>
      <c r="F142" s="559">
        <f>('C) Costos Directos'!$H$803-'C) Costos Directos'!$H$804)*F146</f>
        <v>556831.48801587196</v>
      </c>
      <c r="G142" s="559">
        <f>('C) Costos Directos'!$H$803-'C) Costos Directos'!$H$804)*G146</f>
        <v>462761.76095135196</v>
      </c>
      <c r="H142" s="559">
        <f>('C) Costos Directos'!$H$803-'C) Costos Directos'!$H$804)*H146</f>
        <v>990905.91399660707</v>
      </c>
      <c r="I142" s="559">
        <f>('C) Costos Directos'!$H$803-'C) Costos Directos'!$H$804)*I146</f>
        <v>652665.22315122141</v>
      </c>
      <c r="J142" s="559">
        <f>('C) Costos Directos'!$H$803-'C) Costos Directos'!$H$804)*J146</f>
        <v>923771.12813753053</v>
      </c>
      <c r="K142" s="559">
        <f>('C) Costos Directos'!$H$803-'C) Costos Directos'!$H$804)*K146</f>
        <v>371437.79238282883</v>
      </c>
      <c r="L142" s="559">
        <f>('C) Costos Directos'!$H$803-'C) Costos Directos'!$H$804)*L146</f>
        <v>824673.08991836081</v>
      </c>
      <c r="M142" s="559">
        <f>('C) Costos Directos'!$H$803-'C) Costos Directos'!$H$804)*M146</f>
        <v>498928.02557005978</v>
      </c>
      <c r="N142" s="559">
        <f>('C) Costos Directos'!$H$803-'C) Costos Directos'!$H$804)*N146</f>
        <v>437310.71809209051</v>
      </c>
      <c r="O142" s="573">
        <f t="shared" si="37"/>
        <v>8389138.0000000019</v>
      </c>
      <c r="P142" s="305">
        <f>IF(Q142=12,C142+D142+E142+F142+G142+H142+I142+J142+K142+L142+M142+N142,IF(Q142=11,C142+D142+E142+F142+G142+H142+I142+J142+K142+L142+M142,IF(Q142=10,C142+D142+E142+F142+G142+H142+I142+J142+K142+L142,IF(Q142=9,C142+D142+E142+F142+G142+H142+I142+J142+K142,IF(Q142=8,C142+D142+E142+F142+G142+H142+I142+J142,IF(Q142=7,C142+D142+E142+F142+G142+H142+I142,IF(Q142=6,C142+D142+E142+F142+G142+H142,IF(Q142=5,C142+D142+E142+F142+G142,0))))))))</f>
        <v>8389138.0000000019</v>
      </c>
      <c r="Q142" s="320">
        <f>COUNTA(#REF!,#REF!,#REF!,#REF!,#REF!,#REF!,#REF!,#REF!,#REF!,#REF!,#REF!,#REF!)</f>
        <v>12</v>
      </c>
    </row>
    <row r="143" spans="2:19" ht="15" thickBot="1" x14ac:dyDescent="0.4">
      <c r="B143" s="579" t="s">
        <v>292</v>
      </c>
      <c r="C143" s="562">
        <f>'C) Costos Directos'!$D$831*C147</f>
        <v>384729.86796313763</v>
      </c>
      <c r="D143" s="562">
        <f>'C) Costos Directos'!$D$831*D147</f>
        <v>322518.35260169511</v>
      </c>
      <c r="E143" s="562">
        <f>'C) Costos Directos'!$D$831*E147</f>
        <v>225242.30377734595</v>
      </c>
      <c r="F143" s="562">
        <f>'C) Costos Directos'!$D$831*F147</f>
        <v>194482.66009391591</v>
      </c>
      <c r="G143" s="562">
        <f>'C) Costos Directos'!$D$831*G147</f>
        <v>161627.24306459914</v>
      </c>
      <c r="H143" s="562">
        <f>'C) Costos Directos'!$D$831*H147</f>
        <v>346090.37420556229</v>
      </c>
      <c r="I143" s="562">
        <f>'C) Costos Directos'!$D$831*I147</f>
        <v>227954.18628628398</v>
      </c>
      <c r="J143" s="562">
        <f>'C) Costos Directos'!$D$831*J147</f>
        <v>322642.43345560163</v>
      </c>
      <c r="K143" s="562">
        <f>'C) Costos Directos'!$D$831*K147</f>
        <v>129730.82786576381</v>
      </c>
      <c r="L143" s="562">
        <f>'C) Costos Directos'!$D$831*L147</f>
        <v>288030.79510945384</v>
      </c>
      <c r="M143" s="562">
        <f>'C) Costos Directos'!$D$831*M147</f>
        <v>174258.91260931114</v>
      </c>
      <c r="N143" s="562">
        <f>'C) Costos Directos'!$D$831*N147</f>
        <v>152738.04296732959</v>
      </c>
      <c r="O143" s="578">
        <f t="shared" si="37"/>
        <v>2930046.0000000005</v>
      </c>
      <c r="P143" s="305">
        <f>IF(Q143=12,C143+D143+E143+F143+G143+H143+I143+J143+K143+L143+M143+N143,IF(Q143=11,C143+D143+E143+F143+G143+H143+I143+J143+K143+L143+M143,IF(Q143=10,C143+D143+E143+F143+G143+H143+I143+J143+K143+L143,IF(Q143=9,C143+D143+E143+F143+G143+H143+I143+J143+K143,IF(Q143=8,C143+D143+E143+F143+G143+H143+I143+J143,IF(Q143=7,C143+D143+E143+F143+G143+H143+I143,IF(Q143=6,C143+D143+E143+F143+G143+H143,IF(Q143=5,C143+D143+E143+F143+G143,0))))))))</f>
        <v>2930046.0000000005</v>
      </c>
      <c r="Q143" s="320">
        <f>COUNTA(#REF!,#REF!,#REF!,#REF!,#REF!,#REF!,#REF!,#REF!,#REF!,#REF!,#REF!,#REF!)</f>
        <v>12</v>
      </c>
    </row>
    <row r="144" spans="2:19" ht="15" thickBot="1" x14ac:dyDescent="0.4">
      <c r="B144" s="564" t="s">
        <v>260</v>
      </c>
      <c r="C144" s="566">
        <f t="shared" ref="C144" si="38">C138-(C139+C140+C141+C142+C143)</f>
        <v>1045798.6338748676</v>
      </c>
      <c r="D144" s="566">
        <f t="shared" ref="D144" si="39">D138-(D139+D140+D141+D142+D143)</f>
        <v>1805486.3144817548</v>
      </c>
      <c r="E144" s="566">
        <f t="shared" ref="E144" si="40">E138-(E139+E140+E141+E142+E143)</f>
        <v>17343.690543955658</v>
      </c>
      <c r="F144" s="566">
        <f t="shared" ref="F144" si="41">F138-(F139+F140+F141+F142+F143)</f>
        <v>2754218.9413725827</v>
      </c>
      <c r="G144" s="566">
        <f t="shared" ref="G144" si="42">G138-(G139+G140+G141+G142+G143)</f>
        <v>1514142.0680966801</v>
      </c>
      <c r="H144" s="566">
        <f t="shared" ref="H144" si="43">H138-(H139+H140+H141+H142+H143)</f>
        <v>551520.51737975818</v>
      </c>
      <c r="I144" s="566">
        <f t="shared" ref="I144" si="44">I138-(I139+I140+I141+I142+I143)</f>
        <v>1460187.45666346</v>
      </c>
      <c r="J144" s="566">
        <f t="shared" ref="J144" si="45">J138-(J139+J140+J141+J142+J143)</f>
        <v>926321.3981549181</v>
      </c>
      <c r="K144" s="566">
        <f t="shared" ref="K144" si="46">K138-(K139+K140+K141+K142+K143)</f>
        <v>2661747.6295241015</v>
      </c>
      <c r="L144" s="566">
        <f t="shared" ref="L144" si="47">L138-(L139+L140+L141+L142+L143)</f>
        <v>302020.34712464618</v>
      </c>
      <c r="M144" s="566">
        <f t="shared" ref="M144" si="48">M138-(M139+M140+M141+M142+M143)</f>
        <v>941881.66611524345</v>
      </c>
      <c r="N144" s="566">
        <f t="shared" ref="N144" si="49">N138-(N139+N140+N141+N142+N143)</f>
        <v>1213047.3366680327</v>
      </c>
      <c r="O144" s="580">
        <f t="shared" si="37"/>
        <v>15193716.000000002</v>
      </c>
      <c r="S144" s="1869"/>
    </row>
    <row r="145" spans="2:19" x14ac:dyDescent="0.35">
      <c r="B145" s="318" t="s">
        <v>261</v>
      </c>
      <c r="C145" s="271">
        <v>9.5503124002876291E-2</v>
      </c>
      <c r="D145" s="271">
        <v>0.1150919188058188</v>
      </c>
      <c r="E145" s="271">
        <v>3.3473769845780037E-2</v>
      </c>
      <c r="F145" s="271">
        <v>0.13221990387631571</v>
      </c>
      <c r="G145" s="271">
        <v>8.0660021050606726E-2</v>
      </c>
      <c r="H145" s="271">
        <v>7.1230110835929963E-2</v>
      </c>
      <c r="I145" s="271">
        <v>8.828935597769258E-2</v>
      </c>
      <c r="J145" s="271">
        <v>8.195010578805223E-2</v>
      </c>
      <c r="K145" s="271">
        <v>0.11929725717566519</v>
      </c>
      <c r="L145" s="271">
        <v>5.3359844911437859E-2</v>
      </c>
      <c r="M145" s="271">
        <v>6.0916331457313774E-2</v>
      </c>
      <c r="N145" s="271">
        <v>6.8008256272510836E-2</v>
      </c>
      <c r="O145" s="266"/>
    </row>
    <row r="146" spans="2:19" x14ac:dyDescent="0.35">
      <c r="B146" s="318" t="s">
        <v>262</v>
      </c>
      <c r="C146" s="271">
        <v>0.13130506072707993</v>
      </c>
      <c r="D146" s="271">
        <v>0.11007279496693741</v>
      </c>
      <c r="E146" s="271">
        <v>7.6873299524084587E-2</v>
      </c>
      <c r="F146" s="271">
        <v>6.6375292433605446E-2</v>
      </c>
      <c r="G146" s="271">
        <v>5.5162015567195577E-2</v>
      </c>
      <c r="H146" s="271">
        <v>0.11811772723211933</v>
      </c>
      <c r="I146" s="271">
        <v>7.7798842163667045E-2</v>
      </c>
      <c r="J146" s="271">
        <v>0.11011514271639476</v>
      </c>
      <c r="K146" s="271">
        <v>4.4276037941303248E-2</v>
      </c>
      <c r="L146" s="271">
        <v>9.8302482319203813E-2</v>
      </c>
      <c r="M146" s="271">
        <v>5.9473097899934387E-2</v>
      </c>
      <c r="N146" s="271">
        <v>5.2128206508474474E-2</v>
      </c>
      <c r="O146" s="266"/>
    </row>
    <row r="147" spans="2:19" ht="15" thickBot="1" x14ac:dyDescent="0.4">
      <c r="B147" s="318" t="s">
        <v>293</v>
      </c>
      <c r="C147" s="271">
        <v>0.13130506072707993</v>
      </c>
      <c r="D147" s="271">
        <v>0.11007279496693741</v>
      </c>
      <c r="E147" s="271">
        <v>7.6873299524084587E-2</v>
      </c>
      <c r="F147" s="271">
        <v>6.6375292433605446E-2</v>
      </c>
      <c r="G147" s="271">
        <v>5.5162015567195577E-2</v>
      </c>
      <c r="H147" s="271">
        <v>0.11811772723211933</v>
      </c>
      <c r="I147" s="271">
        <v>7.7798842163667045E-2</v>
      </c>
      <c r="J147" s="271">
        <v>0.11011514271639476</v>
      </c>
      <c r="K147" s="271">
        <v>4.4276037941303248E-2</v>
      </c>
      <c r="L147" s="271">
        <v>9.8302482319203813E-2</v>
      </c>
      <c r="M147" s="271">
        <v>5.9473097899934387E-2</v>
      </c>
      <c r="N147" s="271">
        <v>5.2128206508474474E-2</v>
      </c>
    </row>
    <row r="148" spans="2:19" ht="29" x14ac:dyDescent="0.35">
      <c r="B148" s="568" t="s">
        <v>274</v>
      </c>
      <c r="C148" s="569" t="s">
        <v>243</v>
      </c>
      <c r="D148" s="569" t="s">
        <v>244</v>
      </c>
      <c r="E148" s="569" t="s">
        <v>245</v>
      </c>
      <c r="F148" s="569" t="s">
        <v>246</v>
      </c>
      <c r="G148" s="569" t="s">
        <v>247</v>
      </c>
      <c r="H148" s="569" t="s">
        <v>248</v>
      </c>
      <c r="I148" s="569" t="s">
        <v>197</v>
      </c>
      <c r="J148" s="570" t="s">
        <v>249</v>
      </c>
      <c r="K148" s="569" t="s">
        <v>250</v>
      </c>
      <c r="L148" s="569" t="s">
        <v>251</v>
      </c>
      <c r="M148" s="569" t="s">
        <v>252</v>
      </c>
      <c r="N148" s="569" t="s">
        <v>253</v>
      </c>
      <c r="O148" s="571" t="s">
        <v>343</v>
      </c>
      <c r="P148" s="305"/>
      <c r="Q148" s="319" t="s">
        <v>344</v>
      </c>
    </row>
    <row r="149" spans="2:19" x14ac:dyDescent="0.35">
      <c r="B149" s="572" t="s">
        <v>255</v>
      </c>
      <c r="C149" s="559">
        <f>'A) Resumen Ingresos y Egresos'!$E$21*C156</f>
        <v>1266772.5373989516</v>
      </c>
      <c r="D149" s="559">
        <f>'A) Resumen Ingresos y Egresos'!$E$21*D156</f>
        <v>1526602.2294241418</v>
      </c>
      <c r="E149" s="559">
        <f>'A) Resumen Ingresos y Egresos'!$E$21*E156</f>
        <v>444002.77798839554</v>
      </c>
      <c r="F149" s="559">
        <f>'A) Resumen Ingresos y Egresos'!$E$21*F156</f>
        <v>1753791.2489962268</v>
      </c>
      <c r="G149" s="559">
        <f>'A) Resumen Ingresos y Egresos'!$E$21*G156</f>
        <v>1069890.6512194576</v>
      </c>
      <c r="H149" s="559">
        <f>'A) Resumen Ingresos y Egresos'!$E$21*H156</f>
        <v>944810.43614994222</v>
      </c>
      <c r="I149" s="559">
        <f>'A) Resumen Ingresos y Egresos'!$E$21*I156</f>
        <v>1171087.67555931</v>
      </c>
      <c r="J149" s="559">
        <f>'A) Resumen Ingresos y Egresos'!$E$21*J156</f>
        <v>1087002.5931938824</v>
      </c>
      <c r="K149" s="559">
        <f>'A) Resumen Ingresos y Egresos'!$E$21*K156</f>
        <v>1582382.6786294582</v>
      </c>
      <c r="L149" s="559">
        <f>'A) Resumen Ingresos y Egresos'!$E$21*L156</f>
        <v>707775.65487429406</v>
      </c>
      <c r="M149" s="559">
        <f>'A) Resumen Ingresos y Egresos'!$E$21*M156</f>
        <v>808006.40371610131</v>
      </c>
      <c r="N149" s="559">
        <f>'A) Resumen Ingresos y Egresos'!$E$21*N156</f>
        <v>902075.11284983822</v>
      </c>
      <c r="O149" s="560">
        <f>SUM(C149:N149)</f>
        <v>13264200.000000004</v>
      </c>
      <c r="P149" s="305">
        <f>IF(Q149=12,C149+D149+E149+F149+G149+H149+I149+J149+K149+L149+M149+N149,IF(Q149=11,C149+D149+E149+F149+G149+H149+I149+J149+K149+L149+M149,IF(Q149=10,C149+D149+E149+F149+G149+H149+I149+J149+K149+L149,IF(Q149=9,C149+D149+E149+F149+G149+H149+I149+J149+K149,IF(Q149=8,C149+D149+E149+F149+G149+H149+I149+J149,IF(Q149=7,C149+D149+E149+F149+G149+H149+I149,IF(Q149=6,C149+D149+E149+F149+G149+H149,IF(Q149=5,C149+D149+E149+F149+G149,0))))))))</f>
        <v>13264200.000000004</v>
      </c>
      <c r="Q149" s="320">
        <f>COUNTA(#REF!,#REF!,#REF!,#REF!,#REF!,#REF!,#REF!,#REF!,#REF!,#REF!,#REF!,#REF!)</f>
        <v>12</v>
      </c>
    </row>
    <row r="150" spans="2:19" x14ac:dyDescent="0.35">
      <c r="B150" s="572" t="s">
        <v>256</v>
      </c>
      <c r="C150" s="559"/>
      <c r="D150" s="559"/>
      <c r="E150" s="559"/>
      <c r="F150" s="559"/>
      <c r="G150" s="559"/>
      <c r="H150" s="559"/>
      <c r="I150" s="559"/>
      <c r="J150" s="559"/>
      <c r="K150" s="559"/>
      <c r="L150" s="559"/>
      <c r="M150" s="559"/>
      <c r="N150" s="559"/>
      <c r="O150" s="560">
        <f t="shared" ref="O150:O155" si="50">SUM(C150:N150)</f>
        <v>0</v>
      </c>
      <c r="P150" s="554">
        <f>IF(Q150=12,C150+D150+E150+F150+G150+H150+I150+J150+K150+L150+M150+N150,IF(Q150=11,C150+D150+E150+F150+G150+H150+I150+J150+K150+L150+M150,IF(Q150=10,C150+D150+E150+F150+G150+H150+I150+J150+K150+L150,IF(Q150=9,C150+D150+E150+F150+G150+H150+I150+J150+K150,IF(Q150=8,C150+D150+E150+F150+G150+H150+I150+J150,IF(Q150=7,C150+D150+E150+F150+G150+H150+I150,IF(Q150=6,C150+D150+E150+F150+G150+H150,IF(Q150=5,C150+D150+E150+F150+G150,0))))))))</f>
        <v>0</v>
      </c>
      <c r="Q150" s="3209">
        <f>COUNTA(#REF!,#REF!,#REF!,#REF!,#REF!,#REF!,#REF!,#REF!,#REF!,#REF!,#REF!,#REF!)</f>
        <v>12</v>
      </c>
    </row>
    <row r="151" spans="2:19" x14ac:dyDescent="0.35">
      <c r="B151" s="572" t="s">
        <v>257</v>
      </c>
      <c r="C151" s="559"/>
      <c r="D151" s="559"/>
      <c r="E151" s="559"/>
      <c r="F151" s="559"/>
      <c r="G151" s="559"/>
      <c r="H151" s="559"/>
      <c r="I151" s="559"/>
      <c r="J151" s="559"/>
      <c r="K151" s="559"/>
      <c r="L151" s="559"/>
      <c r="M151" s="559"/>
      <c r="N151" s="559"/>
      <c r="O151" s="560">
        <f t="shared" si="50"/>
        <v>0</v>
      </c>
      <c r="P151" s="554">
        <f>IF(Q150=12,C151+D151+E151+F151+G151+H151+I151+J151+K151+L151+M151+N151,IF(Q150=11,C151+D151+E151+F151+G151+H151+I151+J151+K151+L151+M151,IF(Q150=10,C151+D151+E151+F151+G151+H151+I151+J151+K151+L151,IF(Q150=9,C151+D151+E151+F151+G151+H151+I151+J151+K151,IF(Q150=8,C151+D151+E151+F151+G151+H151+I151+J151,IF(Q150=7,C151+D151+E151+F151+G151+H151+I151,IF(Q150=6,C151+D151+E151+F151+G151+H151,IF(Q150=5,C151+D151+E151+F151+G151,0))))))))</f>
        <v>0</v>
      </c>
      <c r="Q151" s="3209"/>
    </row>
    <row r="152" spans="2:19" x14ac:dyDescent="0.35">
      <c r="B152" s="572" t="s">
        <v>258</v>
      </c>
      <c r="C152" s="559"/>
      <c r="D152" s="559"/>
      <c r="E152" s="559"/>
      <c r="F152" s="559"/>
      <c r="G152" s="559"/>
      <c r="H152" s="559"/>
      <c r="I152" s="559"/>
      <c r="J152" s="559"/>
      <c r="K152" s="559"/>
      <c r="L152" s="559"/>
      <c r="M152" s="559"/>
      <c r="N152" s="559"/>
      <c r="O152" s="560">
        <f t="shared" si="50"/>
        <v>0</v>
      </c>
      <c r="P152" s="305">
        <f>IF(Q152=12,C152+D152+E152+F152+G152+H152+I152+J152+K152+L152+M152+N152,IF(Q152=11,C152+D152+E152+F152+G152+H152+I152+J152+K152+L152+M152,IF(Q152=10,C152+D152+E152+F152+G152+H152+I152+J152+K152+L152,IF(Q152=9,C152+D152+E152+F152+G152+H152+I152+J152+K152,IF(Q152=8,C152+D152+E152+F152+G152+H152+I152+J152,IF(Q152=7,C152+D152+E152+F152+G152+H152+I152,IF(Q152=6,C152+D152+E152+F152+G152+H152,IF(Q152=5,C152+D152+E152+F152+G152,0))))))))</f>
        <v>0</v>
      </c>
      <c r="Q152" s="320">
        <f>COUNTA(#REF!,#REF!,#REF!,#REF!,#REF!,#REF!,#REF!,#REF!,#REF!,#REF!,#REF!,#REF!)</f>
        <v>12</v>
      </c>
    </row>
    <row r="153" spans="2:19" x14ac:dyDescent="0.35">
      <c r="B153" s="572" t="s">
        <v>259</v>
      </c>
      <c r="C153" s="559">
        <f>'C) Costos Directos'!$H$875*C157</f>
        <v>245111.49649149712</v>
      </c>
      <c r="D153" s="559">
        <f>'C) Costos Directos'!$H$875*D157</f>
        <v>205476.52427065573</v>
      </c>
      <c r="E153" s="559">
        <f>'C) Costos Directos'!$H$875*E157</f>
        <v>143501.92888415797</v>
      </c>
      <c r="F153" s="559">
        <f>'C) Costos Directos'!$H$875*F157</f>
        <v>123904.95208922622</v>
      </c>
      <c r="G153" s="559">
        <f>'C) Costos Directos'!$H$875*G157</f>
        <v>102972.75756389849</v>
      </c>
      <c r="H153" s="559">
        <f>'C) Costos Directos'!$H$875*H157</f>
        <v>220494.26521508218</v>
      </c>
      <c r="I153" s="559">
        <f>'C) Costos Directos'!$H$875*I157</f>
        <v>145229.66991865079</v>
      </c>
      <c r="J153" s="559">
        <f>'C) Costos Directos'!$H$875*J157</f>
        <v>205555.57621416089</v>
      </c>
      <c r="K153" s="559">
        <f>'C) Costos Directos'!$H$875*K157</f>
        <v>82651.543348084728</v>
      </c>
      <c r="L153" s="559">
        <f>'C) Costos Directos'!$H$875*L157</f>
        <v>183504.4926422984</v>
      </c>
      <c r="M153" s="559">
        <f>'C) Costos Directos'!$H$875*M157</f>
        <v>111020.39743569311</v>
      </c>
      <c r="N153" s="559">
        <f>'C) Costos Directos'!$H$875*N157</f>
        <v>97309.445926594402</v>
      </c>
      <c r="O153" s="560">
        <f t="shared" si="50"/>
        <v>1866733.05</v>
      </c>
      <c r="P153" s="305">
        <f>IF(Q153=12,C153+D153+E153+F153+G153+H153+I153+J153+K153+L153+M153+N153,IF(Q153=11,C153+D153+E153+F153+G153+H153+I153+J153+K153+L153+M153,IF(Q153=10,C153+D153+E153+F153+G153+H153+I153+J153+K153+L153,IF(Q153=9,C153+D153+E153+F153+G153+H153+I153+J153+K153,IF(Q153=8,C153+D153+E153+F153+G153+H153+I153+J153,IF(Q153=7,C153+D153+E153+F153+G153+H153+I153,IF(Q153=6,C153+D153+E153+F153+G153+H153,IF(Q153=5,C153+D153+E153+F153+G153,0))))))))</f>
        <v>1866733.05</v>
      </c>
      <c r="Q153" s="320">
        <f>COUNTA(#REF!,#REF!,#REF!,#REF!,#REF!,#REF!,#REF!,#REF!,#REF!,#REF!,#REF!,#REF!)</f>
        <v>12</v>
      </c>
    </row>
    <row r="154" spans="2:19" ht="15" thickBot="1" x14ac:dyDescent="0.4">
      <c r="B154" s="579" t="s">
        <v>292</v>
      </c>
      <c r="C154" s="562">
        <f>'C) Costos Directos'!$H$903*C158</f>
        <v>327304.12487439212</v>
      </c>
      <c r="D154" s="562">
        <f>'C) Costos Directos'!$H$903*D158</f>
        <v>274378.45601408486</v>
      </c>
      <c r="E154" s="562">
        <f>'C) Costos Directos'!$H$903*E158</f>
        <v>191622.07372368564</v>
      </c>
      <c r="F154" s="562">
        <f>'C) Costos Directos'!$H$903*F158</f>
        <v>165453.69144924829</v>
      </c>
      <c r="G154" s="562">
        <f>'C) Costos Directos'!$H$903*G158</f>
        <v>137502.35620434841</v>
      </c>
      <c r="H154" s="562">
        <f>'C) Costos Directos'!$H$903*H158</f>
        <v>294432.05867150385</v>
      </c>
      <c r="I154" s="562">
        <f>'C) Costos Directos'!$H$903*I158</f>
        <v>193929.17386137284</v>
      </c>
      <c r="J154" s="562">
        <f>'C) Costos Directos'!$H$903*J158</f>
        <v>274484.0162491572</v>
      </c>
      <c r="K154" s="562">
        <f>'C) Costos Directos'!$H$903*K158</f>
        <v>110366.8797762866</v>
      </c>
      <c r="L154" s="562">
        <f>'C) Costos Directos'!$H$903*L158</f>
        <v>245038.59767707935</v>
      </c>
      <c r="M154" s="562">
        <f>'C) Costos Directos'!$H$903*M158</f>
        <v>148248.59113516644</v>
      </c>
      <c r="N154" s="562">
        <f>'C) Costos Directos'!$H$903*N158</f>
        <v>129939.98036367432</v>
      </c>
      <c r="O154" s="563">
        <f t="shared" si="50"/>
        <v>2492700</v>
      </c>
      <c r="P154" s="305">
        <f>IF(Q154=12,C154+D154+E154+F154+G154+H154+I154+J154+K154+L154+M154+N154,IF(Q154=11,C154+D154+E154+F154+G154+H154+I154+J154+K154+L154+M154,IF(Q154=10,C154+D154+E154+F154+G154+H154+I154+J154+K154+L154,IF(Q154=9,C154+D154+E154+F154+G154+H154+I154+J154+K154,IF(Q154=8,C154+D154+E154+F154+G154+H154+I154+J154,IF(Q154=7,C154+D154+E154+F154+G154+H154+I154,IF(Q154=6,C154+D154+E154+F154+G154+H154,IF(Q154=5,C154+D154+E154+F154+G154,0))))))))</f>
        <v>2492700</v>
      </c>
      <c r="Q154" s="320">
        <f>COUNTA(#REF!,#REF!,#REF!,#REF!,#REF!,#REF!,#REF!,#REF!,#REF!,#REF!,#REF!,#REF!)</f>
        <v>12</v>
      </c>
    </row>
    <row r="155" spans="2:19" ht="15" thickBot="1" x14ac:dyDescent="0.4">
      <c r="B155" s="564" t="s">
        <v>260</v>
      </c>
      <c r="C155" s="566">
        <f t="shared" ref="C155" si="51">C149-(C150+C151+C152+C153+C154)</f>
        <v>694356.91603306239</v>
      </c>
      <c r="D155" s="566">
        <f t="shared" ref="D155" si="52">D149-(D150+D151+D152+D153+D154)</f>
        <v>1046747.2491394012</v>
      </c>
      <c r="E155" s="566">
        <f t="shared" ref="E155" si="53">E149-(E150+E151+E152+E153+E154)</f>
        <v>108878.77538055193</v>
      </c>
      <c r="F155" s="566">
        <f t="shared" ref="F155" si="54">F149-(F150+F151+F152+F153+F154)</f>
        <v>1464432.6054577522</v>
      </c>
      <c r="G155" s="566">
        <f t="shared" ref="G155" si="55">G149-(G150+G151+G152+G153+G154)</f>
        <v>829415.53745121066</v>
      </c>
      <c r="H155" s="566">
        <f t="shared" ref="H155" si="56">H149-(H150+H151+H152+H153+H154)</f>
        <v>429884.11226335622</v>
      </c>
      <c r="I155" s="566">
        <f t="shared" ref="I155" si="57">I149-(I150+I151+I152+I153+I154)</f>
        <v>831928.83177928638</v>
      </c>
      <c r="J155" s="566">
        <f t="shared" ref="J155" si="58">J149-(J150+J151+J152+J153+J154)</f>
        <v>606963.00073056435</v>
      </c>
      <c r="K155" s="566">
        <f t="shared" ref="K155" si="59">K149-(K150+K151+K152+K153+K154)</f>
        <v>1389364.2555050869</v>
      </c>
      <c r="L155" s="566">
        <f t="shared" ref="L155" si="60">L149-(L150+L151+L152+L153+L154)</f>
        <v>279232.56455491635</v>
      </c>
      <c r="M155" s="566">
        <f t="shared" ref="M155" si="61">M149-(M150+M151+M152+M153+M154)</f>
        <v>548737.41514524177</v>
      </c>
      <c r="N155" s="567">
        <f t="shared" ref="N155" si="62">N149-(N150+N151+N152+N153+N154)</f>
        <v>674825.68655956956</v>
      </c>
      <c r="O155" s="263">
        <f t="shared" si="50"/>
        <v>8904766.9500000011</v>
      </c>
      <c r="S155" s="1869"/>
    </row>
    <row r="156" spans="2:19" x14ac:dyDescent="0.35">
      <c r="B156" s="318" t="s">
        <v>261</v>
      </c>
      <c r="C156" s="271">
        <v>9.5503124002876291E-2</v>
      </c>
      <c r="D156" s="271">
        <v>0.1150919188058188</v>
      </c>
      <c r="E156" s="271">
        <v>3.3473769845780037E-2</v>
      </c>
      <c r="F156" s="271">
        <v>0.13221990387631571</v>
      </c>
      <c r="G156" s="271">
        <v>8.0660021050606726E-2</v>
      </c>
      <c r="H156" s="271">
        <v>7.1230110835929963E-2</v>
      </c>
      <c r="I156" s="271">
        <v>8.828935597769258E-2</v>
      </c>
      <c r="J156" s="271">
        <v>8.195010578805223E-2</v>
      </c>
      <c r="K156" s="271">
        <v>0.11929725717566519</v>
      </c>
      <c r="L156" s="271">
        <v>5.3359844911437859E-2</v>
      </c>
      <c r="M156" s="271">
        <v>6.0916331457313774E-2</v>
      </c>
      <c r="N156" s="271">
        <v>6.8008256272510836E-2</v>
      </c>
      <c r="O156" s="266"/>
      <c r="S156" s="1869"/>
    </row>
    <row r="157" spans="2:19" x14ac:dyDescent="0.35">
      <c r="B157" s="318" t="s">
        <v>262</v>
      </c>
      <c r="C157" s="271">
        <v>0.13130506072707993</v>
      </c>
      <c r="D157" s="271">
        <v>0.11007279496693741</v>
      </c>
      <c r="E157" s="271">
        <v>7.6873299524084587E-2</v>
      </c>
      <c r="F157" s="271">
        <v>6.6375292433605446E-2</v>
      </c>
      <c r="G157" s="271">
        <v>5.5162015567195577E-2</v>
      </c>
      <c r="H157" s="271">
        <v>0.11811772723211933</v>
      </c>
      <c r="I157" s="271">
        <v>7.7798842163667045E-2</v>
      </c>
      <c r="J157" s="271">
        <v>0.11011514271639476</v>
      </c>
      <c r="K157" s="271">
        <v>4.4276037941303248E-2</v>
      </c>
      <c r="L157" s="271">
        <v>9.8302482319203813E-2</v>
      </c>
      <c r="M157" s="271">
        <v>5.9473097899934387E-2</v>
      </c>
      <c r="N157" s="271">
        <v>5.2128206508474474E-2</v>
      </c>
      <c r="O157" s="266"/>
      <c r="S157" s="1869"/>
    </row>
    <row r="158" spans="2:19" ht="15" thickBot="1" x14ac:dyDescent="0.4">
      <c r="B158" s="318" t="s">
        <v>293</v>
      </c>
      <c r="C158" s="271">
        <v>0.13130506072707993</v>
      </c>
      <c r="D158" s="271">
        <v>0.11007279496693741</v>
      </c>
      <c r="E158" s="271">
        <v>7.6873299524084587E-2</v>
      </c>
      <c r="F158" s="271">
        <v>6.6375292433605446E-2</v>
      </c>
      <c r="G158" s="271">
        <v>5.5162015567195577E-2</v>
      </c>
      <c r="H158" s="271">
        <v>0.11811772723211933</v>
      </c>
      <c r="I158" s="271">
        <v>7.7798842163667045E-2</v>
      </c>
      <c r="J158" s="271">
        <v>0.11011514271639476</v>
      </c>
      <c r="K158" s="271">
        <v>4.4276037941303248E-2</v>
      </c>
      <c r="L158" s="271">
        <v>9.8302482319203813E-2</v>
      </c>
      <c r="M158" s="271">
        <v>5.9473097899934387E-2</v>
      </c>
      <c r="N158" s="271">
        <v>5.2128206508474474E-2</v>
      </c>
    </row>
    <row r="159" spans="2:19" ht="29" x14ac:dyDescent="0.35">
      <c r="B159" s="568" t="s">
        <v>348</v>
      </c>
      <c r="C159" s="569" t="s">
        <v>243</v>
      </c>
      <c r="D159" s="569" t="s">
        <v>244</v>
      </c>
      <c r="E159" s="569" t="s">
        <v>245</v>
      </c>
      <c r="F159" s="569" t="s">
        <v>246</v>
      </c>
      <c r="G159" s="569" t="s">
        <v>247</v>
      </c>
      <c r="H159" s="569" t="s">
        <v>248</v>
      </c>
      <c r="I159" s="569" t="s">
        <v>197</v>
      </c>
      <c r="J159" s="570" t="s">
        <v>249</v>
      </c>
      <c r="K159" s="569" t="s">
        <v>250</v>
      </c>
      <c r="L159" s="569" t="s">
        <v>251</v>
      </c>
      <c r="M159" s="569" t="s">
        <v>252</v>
      </c>
      <c r="N159" s="569" t="s">
        <v>253</v>
      </c>
      <c r="O159" s="571" t="s">
        <v>343</v>
      </c>
      <c r="P159" s="305"/>
      <c r="Q159" s="319" t="s">
        <v>344</v>
      </c>
    </row>
    <row r="160" spans="2:19" x14ac:dyDescent="0.35">
      <c r="B160" s="572" t="s">
        <v>255</v>
      </c>
      <c r="C160" s="559">
        <f>'A) Resumen Ingresos y Egresos'!$E$22*C167</f>
        <v>8582054.7319532577</v>
      </c>
      <c r="D160" s="559">
        <f>'A) Resumen Ingresos y Egresos'!$E$22*D167</f>
        <v>10834694.185855158</v>
      </c>
      <c r="E160" s="559">
        <f>'A) Resumen Ingresos y Egresos'!$E$22*E167</f>
        <v>11941421.63060504</v>
      </c>
      <c r="F160" s="559">
        <f>'A) Resumen Ingresos y Egresos'!$E$22*F167</f>
        <v>10708905.397719633</v>
      </c>
      <c r="G160" s="559">
        <f>'A) Resumen Ingresos y Egresos'!$E$22*G167</f>
        <v>9542503.4490397647</v>
      </c>
      <c r="H160" s="559">
        <f>'A) Resumen Ingresos y Egresos'!$E$22*H167</f>
        <v>10764807.063523065</v>
      </c>
      <c r="I160" s="559">
        <f>'A) Resumen Ingresos y Egresos'!$E$22*I167</f>
        <v>11730568.841042478</v>
      </c>
      <c r="J160" s="559">
        <f>'A) Resumen Ingresos y Egresos'!$E$22*J167</f>
        <v>13165394.129132494</v>
      </c>
      <c r="K160" s="559">
        <f>'A) Resumen Ingresos y Egresos'!$E$22*K167</f>
        <v>10722637.993029486</v>
      </c>
      <c r="L160" s="559">
        <f>'A) Resumen Ingresos y Egresos'!$E$22*L167</f>
        <v>11481655.975792017</v>
      </c>
      <c r="M160" s="559">
        <f>'A) Resumen Ingresos y Egresos'!$E$22*M167</f>
        <v>8688081.6721292157</v>
      </c>
      <c r="N160" s="559">
        <f>'A) Resumen Ingresos y Egresos'!$E$22*N167</f>
        <v>9407874.9301783871</v>
      </c>
      <c r="O160" s="573">
        <f t="shared" ref="O160:O166" si="63">SUM(C160:N160)</f>
        <v>127570600</v>
      </c>
      <c r="P160" s="305">
        <f>IF(Q160=12,C160+D160+E160+F160+G160+H160+I160+J160+K160+L160+M160+N160,IF(Q160=11,C160+D160+E160+F160+G160+H160+I160+J160+K160+L160+M160,IF(Q160=10,C160+D160+E160+F160+G160+H160+I160+J160+K160+L160,IF(Q160=9,C160+D160+E160+F160+G160+H160+I160+J160+K160,IF(Q160=8,C160+D160+E160+F160+G160+H160+I160+J160,IF(Q160=7,C160+D160+E160+F160+G160+H160+I160,IF(Q160=6,C160+D160+E160+F160+G160+H160,IF(Q160=5,C160+D160+E160+F160+G160,0))))))))</f>
        <v>127570600</v>
      </c>
      <c r="Q160" s="320">
        <f>COUNTA(#REF!,#REF!,#REF!,#REF!,#REF!,#REF!,#REF!,#REF!,#REF!,#REF!,#REF!,#REF!)</f>
        <v>12</v>
      </c>
    </row>
    <row r="161" spans="2:19" x14ac:dyDescent="0.35">
      <c r="B161" s="572" t="s">
        <v>256</v>
      </c>
      <c r="C161" s="559">
        <f>(SUM('F) Remuneraciones'!$L$300:$L$310)-SUM('F) Remuneraciones'!$I$300:$J$310))/12</f>
        <v>8577361.0449999999</v>
      </c>
      <c r="D161" s="559">
        <f>(SUM('F) Remuneraciones'!$L$300:$L$310)-SUM('F) Remuneraciones'!$I$300:$J$310))/12</f>
        <v>8577361.0449999999</v>
      </c>
      <c r="E161" s="559">
        <f>(SUM('F) Remuneraciones'!$L$300:$L$310)-SUM('F) Remuneraciones'!$I$300:$J$310))/12</f>
        <v>8577361.0449999999</v>
      </c>
      <c r="F161" s="559">
        <f>(SUM('F) Remuneraciones'!$L$300:$L$310)-SUM('F) Remuneraciones'!$I$300:$J$310))/12</f>
        <v>8577361.0449999999</v>
      </c>
      <c r="G161" s="559">
        <f>(SUM('F) Remuneraciones'!$L$300:$L$310)-SUM('F) Remuneraciones'!$I$300:$J$310))/12</f>
        <v>8577361.0449999999</v>
      </c>
      <c r="H161" s="559">
        <f>(SUM('F) Remuneraciones'!$L$300:$L$310)-SUM('F) Remuneraciones'!$I$300:$J$310))/12</f>
        <v>8577361.0449999999</v>
      </c>
      <c r="I161" s="559">
        <f>(SUM('F) Remuneraciones'!$L$300:$L$310)-SUM('F) Remuneraciones'!$I$300:$J$310))/12</f>
        <v>8577361.0449999999</v>
      </c>
      <c r="J161" s="559">
        <f>(SUM('F) Remuneraciones'!$L$300:$L$310)-SUM('F) Remuneraciones'!$I$300:$J$310))/12</f>
        <v>8577361.0449999999</v>
      </c>
      <c r="K161" s="559">
        <f>(SUM('F) Remuneraciones'!$L$300:$L$310)-SUM('F) Remuneraciones'!$I$300:$J$310))/12</f>
        <v>8577361.0449999999</v>
      </c>
      <c r="L161" s="559">
        <f>(SUM('F) Remuneraciones'!$L$300:$L$310)-SUM('F) Remuneraciones'!$I$300:$J$310))/12</f>
        <v>8577361.0449999999</v>
      </c>
      <c r="M161" s="559">
        <f>(SUM('F) Remuneraciones'!$L$300:$L$310)-SUM('F) Remuneraciones'!$I$300:$J$310))/12</f>
        <v>8577361.0449999999</v>
      </c>
      <c r="N161" s="559">
        <f>(SUM('F) Remuneraciones'!$L$300:$L$310)-SUM('F) Remuneraciones'!$I$300:$J$310))/12</f>
        <v>8577361.0449999999</v>
      </c>
      <c r="O161" s="573">
        <f t="shared" si="63"/>
        <v>102928332.54000001</v>
      </c>
      <c r="P161" s="554">
        <f>IF(Q161=12,C161+D161+E161+F161+G161+H161+I161+J161+K161+L161+M161+N161,IF(Q161=11,C161+D161+E161+F161+G161+H161+I161+J161+K161+L161+M161,IF(Q161=10,C161+D161+E161+F161+G161+H161+I161+J161+K161+L161,IF(Q161=9,C161+D161+E161+F161+G161+H161+I161+J161+K161,IF(Q161=8,C161+D161+E161+F161+G161+H161+I161+J161,IF(Q161=7,C161+D161+E161+F161+G161+H161+I161,IF(Q161=6,C161+D161+E161+F161+G161+H161,IF(Q161=5,C161+D161+E161+F161+G161,0))))))))</f>
        <v>102928332.54000001</v>
      </c>
      <c r="Q161" s="3209">
        <f>COUNTA(#REF!,#REF!,#REF!,#REF!,#REF!,#REF!,#REF!,#REF!,#REF!,#REF!,#REF!,#REF!)</f>
        <v>12</v>
      </c>
    </row>
    <row r="162" spans="2:19" x14ac:dyDescent="0.35">
      <c r="B162" s="572" t="s">
        <v>257</v>
      </c>
      <c r="C162" s="559">
        <f>(SUM('F) Remuneraciones'!H311:H321)*(1+'F) Remuneraciones'!$M$7))*(1+'F) Remuneraciones'!$M$8)/4</f>
        <v>0</v>
      </c>
      <c r="D162" s="559">
        <f>(SUM('F) Remuneraciones'!I311:I321)*(1+'F) Remuneraciones'!$M$7))*(1+'F) Remuneraciones'!$M$8)/4</f>
        <v>0</v>
      </c>
      <c r="E162" s="559">
        <f>(SUM('F) Remuneraciones'!J311:J321)*(1+'F) Remuneraciones'!$M$7))*(1+'F) Remuneraciones'!$M$8)/4</f>
        <v>0</v>
      </c>
      <c r="F162" s="559">
        <v>0</v>
      </c>
      <c r="G162" s="559">
        <v>0</v>
      </c>
      <c r="H162" s="559">
        <v>0</v>
      </c>
      <c r="I162" s="559">
        <v>0</v>
      </c>
      <c r="J162" s="559">
        <v>0</v>
      </c>
      <c r="K162" s="559">
        <v>0</v>
      </c>
      <c r="L162" s="559">
        <v>0</v>
      </c>
      <c r="M162" s="559">
        <v>0</v>
      </c>
      <c r="N162" s="559">
        <f>(SUM('F) Remuneraciones'!S311:S321)*(1+'F) Remuneraciones'!$M$7))*(1+'F) Remuneraciones'!$M$8)/4</f>
        <v>0</v>
      </c>
      <c r="O162" s="573">
        <f t="shared" si="63"/>
        <v>0</v>
      </c>
      <c r="P162" s="554">
        <f>IF(Q161=12,C162+D162+E162+F162+G162+H162+I162+J162+K162+L162+M162+N162,IF(Q161=11,C162+D162+E162+F162+G162+H162+I162+J162+K162+L162+M162,IF(Q161=10,C162+D162+E162+F162+G162+H162+I162+J162+K162+L162,IF(Q161=9,C162+D162+E162+F162+G162+H162+I162+J162+K162,IF(Q161=8,C162+D162+E162+F162+G162+H162+I162+J162,IF(Q161=7,C162+D162+E162+F162+G162+H162+I162,IF(Q161=6,C162+D162+E162+F162+G162+H162,IF(Q161=5,C162+D162+E162+F162+G162,0))))))))</f>
        <v>0</v>
      </c>
      <c r="Q162" s="3209"/>
    </row>
    <row r="163" spans="2:19" x14ac:dyDescent="0.35">
      <c r="B163" s="572" t="s">
        <v>258</v>
      </c>
      <c r="C163" s="559">
        <f>SUM('F) Remuneraciones'!J300:J310)/2</f>
        <v>1860679</v>
      </c>
      <c r="D163" s="559">
        <v>0</v>
      </c>
      <c r="E163" s="559">
        <v>0</v>
      </c>
      <c r="F163" s="559">
        <v>0</v>
      </c>
      <c r="G163" s="559">
        <v>0</v>
      </c>
      <c r="H163" s="559">
        <v>0</v>
      </c>
      <c r="I163" s="559">
        <v>0</v>
      </c>
      <c r="J163" s="559">
        <v>0</v>
      </c>
      <c r="K163" s="559">
        <f>SUM('F) Remuneraciones'!I300:I310)/2</f>
        <v>870188</v>
      </c>
      <c r="L163" s="559">
        <v>0</v>
      </c>
      <c r="M163" s="559">
        <v>0</v>
      </c>
      <c r="N163" s="559">
        <f>C163+K163</f>
        <v>2730867</v>
      </c>
      <c r="O163" s="573">
        <f t="shared" si="63"/>
        <v>5461734</v>
      </c>
      <c r="P163" s="305">
        <f>IF(Q163=12,C163+D163+E163+F163+G163+H163+I163+J163+K163+L163+M163+N163,IF(Q163=11,C163+D163+E163+F163+G163+H163+I163+J163+K163+L163+M163,IF(Q163=10,C163+D163+E163+F163+G163+H163+I163+J163+K163+L163,IF(Q163=9,C163+D163+E163+F163+G163+H163+I163+J163+K163,IF(Q163=8,C163+D163+E163+F163+G163+H163+I163+J163,IF(Q163=7,C163+D163+E163+F163+G163+H163+I163,IF(Q163=6,C163+D163+E163+F163+G163+H163,IF(Q163=5,C163+D163+E163+F163+G163,0))))))))</f>
        <v>5461734</v>
      </c>
      <c r="Q163" s="320">
        <f>COUNTA(#REF!,#REF!,#REF!,#REF!,#REF!,#REF!,#REF!,#REF!,#REF!,#REF!,#REF!,#REF!)</f>
        <v>12</v>
      </c>
    </row>
    <row r="164" spans="2:19" x14ac:dyDescent="0.35">
      <c r="B164" s="572" t="s">
        <v>259</v>
      </c>
      <c r="C164" s="559">
        <f>+('C) Costos Directos'!$D$947-'C) Costos Directos'!$D$948)*'J)Estructura Economica Mensu.'!C168</f>
        <v>3615992.3937129918</v>
      </c>
      <c r="D164" s="559">
        <f>+('C) Costos Directos'!$D$947-'C) Costos Directos'!$D$948)*'J)Estructura Economica Mensu.'!D168</f>
        <v>3483741.9355348884</v>
      </c>
      <c r="E164" s="559">
        <f>+('C) Costos Directos'!$D$947-'C) Costos Directos'!$D$948)*'J)Estructura Economica Mensu.'!E168</f>
        <v>5101944.3589702649</v>
      </c>
      <c r="F164" s="559">
        <f>+('C) Costos Directos'!$D$947-'C) Costos Directos'!$D$948)*'J)Estructura Economica Mensu.'!F168</f>
        <v>5272093.8492417196</v>
      </c>
      <c r="G164" s="559">
        <f>+('C) Costos Directos'!$D$947-'C) Costos Directos'!$D$948)*'J)Estructura Economica Mensu.'!G168</f>
        <v>6777110.8398546623</v>
      </c>
      <c r="H164" s="559">
        <f>+('C) Costos Directos'!$D$947-'C) Costos Directos'!$D$948)*'J)Estructura Economica Mensu.'!H168</f>
        <v>2798604.0307933311</v>
      </c>
      <c r="I164" s="559">
        <f>+('C) Costos Directos'!$D$947-'C) Costos Directos'!$D$948)*'J)Estructura Economica Mensu.'!I168</f>
        <v>7276674.0556391878</v>
      </c>
      <c r="J164" s="559">
        <f>+('C) Costos Directos'!$D$947-'C) Costos Directos'!$D$948)*'J)Estructura Economica Mensu.'!J168</f>
        <v>1909777.866195383</v>
      </c>
      <c r="K164" s="559">
        <f>+('C) Costos Directos'!$D$947-'C) Costos Directos'!$D$948)*'J)Estructura Economica Mensu.'!K168</f>
        <v>4195410.189491204</v>
      </c>
      <c r="L164" s="559">
        <f>+('C) Costos Directos'!$D$947-'C) Costos Directos'!$D$948)*'J)Estructura Economica Mensu.'!L168</f>
        <v>5515345.330865493</v>
      </c>
      <c r="M164" s="559">
        <f>+('C) Costos Directos'!$D$947-'C) Costos Directos'!$D$948)*'J)Estructura Economica Mensu.'!M168</f>
        <v>7454862.1381921489</v>
      </c>
      <c r="N164" s="559">
        <f>+('C) Costos Directos'!$D$947-'C) Costos Directos'!$D$948)*'J)Estructura Economica Mensu.'!N168</f>
        <v>3161123.5798887373</v>
      </c>
      <c r="O164" s="573">
        <f t="shared" si="63"/>
        <v>56562680.568380013</v>
      </c>
      <c r="P164" s="305">
        <f>IF(Q164=12,C164+D164+E164+F164+G164+H164+I164+J164+K164+L164+M164+N164,IF(Q164=11,C164+D164+E164+F164+G164+H164+I164+J164+K164+L164+M164,IF(Q164=10,C164+D164+E164+F164+G164+H164+I164+J164+K164+L164,IF(Q164=9,C164+D164+E164+F164+G164+H164+I164+J164+K164,IF(Q164=8,C164+D164+E164+F164+G164+H164+I164+J164,IF(Q164=7,C164+D164+E164+F164+G164+H164+I164,IF(Q164=6,C164+D164+E164+F164+G164+H164,IF(Q164=5,C164+D164+E164+F164+G164,0))))))))</f>
        <v>56562680.568380013</v>
      </c>
      <c r="Q164" s="320">
        <f>COUNTA(#REF!,#REF!,#REF!,#REF!,#REF!,#REF!,#REF!,#REF!,#REF!,#REF!,#REF!,#REF!)</f>
        <v>12</v>
      </c>
    </row>
    <row r="165" spans="2:19" ht="15" thickBot="1" x14ac:dyDescent="0.4">
      <c r="B165" s="572" t="s">
        <v>292</v>
      </c>
      <c r="C165" s="559">
        <f>'C) Costos Directos'!$H$975*C169</f>
        <v>737007.16583282792</v>
      </c>
      <c r="D165" s="559">
        <f>'C) Costos Directos'!$H$975*D169</f>
        <v>710052.03851248184</v>
      </c>
      <c r="E165" s="559">
        <f>'C) Costos Directos'!$H$975*E169</f>
        <v>1039872.0856767131</v>
      </c>
      <c r="F165" s="559">
        <f>'C) Costos Directos'!$H$975*F169</f>
        <v>1074551.7475617593</v>
      </c>
      <c r="G165" s="559">
        <f>'C) Costos Directos'!$H$975*G169</f>
        <v>1381302.4776546769</v>
      </c>
      <c r="H165" s="559">
        <f>'C) Costos Directos'!$H$975*H169</f>
        <v>570408.0651855024</v>
      </c>
      <c r="I165" s="559">
        <f>'C) Costos Directos'!$H$975*I169</f>
        <v>1483122.8438865948</v>
      </c>
      <c r="J165" s="559">
        <f>'C) Costos Directos'!$H$975*J169</f>
        <v>389248.59880295495</v>
      </c>
      <c r="K165" s="559">
        <f>'C) Costos Directos'!$H$975*K169</f>
        <v>855103.39530556602</v>
      </c>
      <c r="L165" s="559">
        <f>'C) Costos Directos'!$H$975*L169</f>
        <v>1124130.9682946012</v>
      </c>
      <c r="M165" s="559">
        <f>'C) Costos Directos'!$H$975*M169</f>
        <v>1519440.9218603969</v>
      </c>
      <c r="N165" s="559">
        <f>'C) Costos Directos'!$H$975*N169</f>
        <v>644296.3581759237</v>
      </c>
      <c r="O165" s="578">
        <f t="shared" si="63"/>
        <v>11528536.666749999</v>
      </c>
      <c r="P165" s="305">
        <f>IF(Q165=12,C165+D165+E165+F165+G165+H165+I165+J165+K165+L165+M165+N165,IF(Q165=11,C165+D165+E165+F165+G165+H165+I165+J165+K165+L165+M165,IF(Q165=10,C165+D165+E165+F165+G165+H165+I165+J165+K165+L165,IF(Q165=9,C165+D165+E165+F165+G165+H165+I165+J165+K165,IF(Q165=8,C165+D165+E165+F165+G165+H165+I165+J165,IF(Q165=7,C165+D165+E165+F165+G165+H165+I165,IF(Q165=6,C165+D165+E165+F165+G165+H165,IF(Q165=5,C165+D165+E165+F165+G165,0))))))))</f>
        <v>11528536.666749999</v>
      </c>
      <c r="Q165" s="320">
        <f>COUNTA(#REF!,#REF!,#REF!,#REF!,#REF!,#REF!,#REF!,#REF!,#REF!,#REF!,#REF!,#REF!)</f>
        <v>12</v>
      </c>
    </row>
    <row r="166" spans="2:19" ht="15" thickBot="1" x14ac:dyDescent="0.4">
      <c r="B166" s="577" t="s">
        <v>260</v>
      </c>
      <c r="C166" s="566">
        <f t="shared" ref="C166" si="64">C160-(C161+C162+C163+C164+C165)</f>
        <v>-6208984.8725925628</v>
      </c>
      <c r="D166" s="566">
        <f t="shared" ref="D166" si="65">D160-(D161+D162+D163+D164+D165)</f>
        <v>-1936460.8331922125</v>
      </c>
      <c r="E166" s="566">
        <f t="shared" ref="E166" si="66">E160-(E161+E162+E163+E164+E165)</f>
        <v>-2777755.8590419367</v>
      </c>
      <c r="F166" s="566">
        <f t="shared" ref="F166" si="67">F160-(F161+F162+F163+F164+F165)</f>
        <v>-4215101.2440838479</v>
      </c>
      <c r="G166" s="566">
        <f t="shared" ref="G166" si="68">G160-(G161+G162+G163+G164+G165)</f>
        <v>-7193270.9134695753</v>
      </c>
      <c r="H166" s="566">
        <f t="shared" ref="H166" si="69">H160-(H161+H162+H163+H164+H165)</f>
        <v>-1181566.0774557684</v>
      </c>
      <c r="I166" s="566">
        <f t="shared" ref="I166" si="70">I160-(I161+I162+I163+I164+I165)</f>
        <v>-5606589.1034833044</v>
      </c>
      <c r="J166" s="566">
        <f t="shared" ref="J166" si="71">J160-(J161+J162+J163+J164+J165)</f>
        <v>2289006.619134156</v>
      </c>
      <c r="K166" s="566">
        <f t="shared" ref="K166" si="72">K160-(K161+K162+K163+K164+K165)</f>
        <v>-3775424.6367672831</v>
      </c>
      <c r="L166" s="566">
        <f t="shared" ref="L166" si="73">L160-(L161+L162+L163+L164+L165)</f>
        <v>-3735181.368368078</v>
      </c>
      <c r="M166" s="566">
        <f t="shared" ref="M166" si="74">M160-(M161+M162+M163+M164+M165)</f>
        <v>-8863582.43292333</v>
      </c>
      <c r="N166" s="567">
        <f t="shared" ref="N166" si="75">N160-(N161+N162+N163+N164+N165)</f>
        <v>-5705773.0528862737</v>
      </c>
      <c r="O166" s="263">
        <f t="shared" si="63"/>
        <v>-48910683.775130019</v>
      </c>
      <c r="S166" s="1869"/>
    </row>
    <row r="167" spans="2:19" x14ac:dyDescent="0.35">
      <c r="B167" s="318" t="s">
        <v>261</v>
      </c>
      <c r="C167" s="265">
        <v>6.7272982426619124E-2</v>
      </c>
      <c r="D167" s="265">
        <v>8.4930965174226339E-2</v>
      </c>
      <c r="E167" s="265">
        <v>9.3606376630705201E-2</v>
      </c>
      <c r="F167" s="265">
        <v>8.3944932435213393E-2</v>
      </c>
      <c r="G167" s="265">
        <v>7.4801744673457404E-2</v>
      </c>
      <c r="H167" s="265">
        <v>8.438313422938408E-2</v>
      </c>
      <c r="I167" s="265">
        <v>9.1953544476881643E-2</v>
      </c>
      <c r="J167" s="265">
        <v>0.10320084822939216</v>
      </c>
      <c r="K167" s="265">
        <v>8.4052579458194027E-2</v>
      </c>
      <c r="L167" s="265">
        <v>9.0002367126845978E-2</v>
      </c>
      <c r="M167" s="265">
        <v>6.8104106056796912E-2</v>
      </c>
      <c r="N167" s="265">
        <v>7.3746419082283743E-2</v>
      </c>
      <c r="O167" s="266"/>
    </row>
    <row r="168" spans="2:19" x14ac:dyDescent="0.35">
      <c r="B168" s="318" t="s">
        <v>262</v>
      </c>
      <c r="C168" s="265">
        <v>6.3928943207377339E-2</v>
      </c>
      <c r="D168" s="265">
        <v>6.1590821024178781E-2</v>
      </c>
      <c r="E168" s="265">
        <v>9.0199833312397545E-2</v>
      </c>
      <c r="F168" s="265">
        <v>9.3207991493050896E-2</v>
      </c>
      <c r="G168" s="265">
        <v>0.11981594174380839</v>
      </c>
      <c r="H168" s="265">
        <v>4.9477924360568977E-2</v>
      </c>
      <c r="I168" s="265">
        <v>0.12864797040236164</v>
      </c>
      <c r="J168" s="265">
        <v>3.3763920786720948E-2</v>
      </c>
      <c r="K168" s="265">
        <v>7.4172761038424795E-2</v>
      </c>
      <c r="L168" s="265">
        <v>9.7508556444701328E-2</v>
      </c>
      <c r="M168" s="265">
        <v>0.13179824688788896</v>
      </c>
      <c r="N168" s="265">
        <v>5.5887089298520383E-2</v>
      </c>
      <c r="O168" s="266"/>
    </row>
    <row r="169" spans="2:19" x14ac:dyDescent="0.35">
      <c r="B169" s="318" t="s">
        <v>293</v>
      </c>
      <c r="C169" s="265">
        <v>6.3928943207377339E-2</v>
      </c>
      <c r="D169" s="265">
        <v>6.1590821024178781E-2</v>
      </c>
      <c r="E169" s="265">
        <v>9.0199833312397545E-2</v>
      </c>
      <c r="F169" s="265">
        <v>9.3207991493050896E-2</v>
      </c>
      <c r="G169" s="265">
        <v>0.11981594174380839</v>
      </c>
      <c r="H169" s="265">
        <v>4.9477924360568977E-2</v>
      </c>
      <c r="I169" s="265">
        <v>0.12864797040236164</v>
      </c>
      <c r="J169" s="265">
        <v>3.3763920786720948E-2</v>
      </c>
      <c r="K169" s="265">
        <v>7.4172761038424795E-2</v>
      </c>
      <c r="L169" s="265">
        <v>9.7508556444701328E-2</v>
      </c>
      <c r="M169" s="265">
        <v>0.13179824688788896</v>
      </c>
      <c r="N169" s="265">
        <v>5.5887089298520383E-2</v>
      </c>
    </row>
    <row r="170" spans="2:19" ht="15" thickBot="1" x14ac:dyDescent="0.4"/>
    <row r="171" spans="2:19" ht="29" x14ac:dyDescent="0.35">
      <c r="B171" s="568" t="s">
        <v>519</v>
      </c>
      <c r="C171" s="569" t="s">
        <v>243</v>
      </c>
      <c r="D171" s="569" t="s">
        <v>244</v>
      </c>
      <c r="E171" s="569" t="s">
        <v>245</v>
      </c>
      <c r="F171" s="569" t="s">
        <v>246</v>
      </c>
      <c r="G171" s="569" t="s">
        <v>247</v>
      </c>
      <c r="H171" s="569" t="s">
        <v>248</v>
      </c>
      <c r="I171" s="569" t="s">
        <v>197</v>
      </c>
      <c r="J171" s="570" t="s">
        <v>249</v>
      </c>
      <c r="K171" s="569" t="s">
        <v>250</v>
      </c>
      <c r="L171" s="569" t="s">
        <v>251</v>
      </c>
      <c r="M171" s="569" t="s">
        <v>252</v>
      </c>
      <c r="N171" s="569" t="s">
        <v>253</v>
      </c>
      <c r="O171" s="571" t="s">
        <v>343</v>
      </c>
    </row>
    <row r="172" spans="2:19" x14ac:dyDescent="0.35">
      <c r="B172" s="572" t="s">
        <v>255</v>
      </c>
      <c r="C172" s="559">
        <f>'A) Resumen Ingresos y Egresos'!$E$23*C179</f>
        <v>768526.55124169693</v>
      </c>
      <c r="D172" s="559">
        <f>'A) Resumen Ingresos y Egresos'!$E$23*D179</f>
        <v>970251.3461503617</v>
      </c>
      <c r="E172" s="559">
        <f>'A) Resumen Ingresos y Egresos'!$E$23*E179</f>
        <v>1069359.2466291762</v>
      </c>
      <c r="F172" s="559">
        <f>'A) Resumen Ingresos y Egresos'!$E$23*F179</f>
        <v>958986.90813987784</v>
      </c>
      <c r="G172" s="559">
        <f>'A) Resumen Ingresos y Egresos'!$E$23*G179</f>
        <v>854535.13114957744</v>
      </c>
      <c r="H172" s="559">
        <f>'A) Resumen Ingresos y Egresos'!$E$23*H179</f>
        <v>963992.9254364837</v>
      </c>
      <c r="I172" s="559">
        <f>'A) Resumen Ingresos y Egresos'!$E$23*I179</f>
        <v>1050477.2921038959</v>
      </c>
      <c r="J172" s="559">
        <f>'A) Resumen Ingresos y Egresos'!$E$23*J179</f>
        <v>1178966.4901725759</v>
      </c>
      <c r="K172" s="559">
        <f>'A) Resumen Ingresos y Egresos'!$E$23*K179</f>
        <v>960216.6677304086</v>
      </c>
      <c r="L172" s="559">
        <f>'A) Resumen Ingresos y Egresos'!$E$23*L179</f>
        <v>1028187.0420570885</v>
      </c>
      <c r="M172" s="559">
        <f>'A) Resumen Ingresos y Egresos'!$E$23*M179</f>
        <v>778021.30759284797</v>
      </c>
      <c r="N172" s="559">
        <f>'A) Resumen Ingresos y Egresos'!$E$23*N179</f>
        <v>842479.09159600944</v>
      </c>
      <c r="O172" s="573">
        <f t="shared" ref="O172:O178" si="76">SUM(C172:N172)</f>
        <v>11424000</v>
      </c>
    </row>
    <row r="173" spans="2:19" x14ac:dyDescent="0.35">
      <c r="B173" s="572" t="s">
        <v>256</v>
      </c>
      <c r="C173" s="559">
        <f>(SUM('F) Remuneraciones'!$L$322:$L$332)-SUM('F) Remuneraciones'!$I$322:$J$332))/12</f>
        <v>0</v>
      </c>
      <c r="D173" s="559">
        <f>(SUM('F) Remuneraciones'!$L$322:$L$332)-SUM('F) Remuneraciones'!$I$322:$J$332))/12</f>
        <v>0</v>
      </c>
      <c r="E173" s="559">
        <f>(SUM('F) Remuneraciones'!$L$322:$L$332)-SUM('F) Remuneraciones'!$I$322:$J$332))/12</f>
        <v>0</v>
      </c>
      <c r="F173" s="559">
        <f>(SUM('F) Remuneraciones'!$L$322:$L$332)-SUM('F) Remuneraciones'!$I$322:$J$332))/12</f>
        <v>0</v>
      </c>
      <c r="G173" s="559">
        <f>(SUM('F) Remuneraciones'!$L$322:$L$332)-SUM('F) Remuneraciones'!$I$322:$J$332))/12</f>
        <v>0</v>
      </c>
      <c r="H173" s="559">
        <f>(SUM('F) Remuneraciones'!$L$322:$L$332)-SUM('F) Remuneraciones'!$I$322:$J$332))/12</f>
        <v>0</v>
      </c>
      <c r="I173" s="559">
        <f>(SUM('F) Remuneraciones'!$L$322:$L$332)-SUM('F) Remuneraciones'!$I$322:$J$332))/12</f>
        <v>0</v>
      </c>
      <c r="J173" s="559">
        <f>(SUM('F) Remuneraciones'!$L$322:$L$332)-SUM('F) Remuneraciones'!$I$322:$J$332))/12</f>
        <v>0</v>
      </c>
      <c r="K173" s="559">
        <f>(SUM('F) Remuneraciones'!$L$322:$L$332)-SUM('F) Remuneraciones'!$I$322:$J$332))/12</f>
        <v>0</v>
      </c>
      <c r="L173" s="559">
        <f>(SUM('F) Remuneraciones'!$L$322:$L$332)-SUM('F) Remuneraciones'!$I$322:$J$332))/12</f>
        <v>0</v>
      </c>
      <c r="M173" s="559">
        <f>(SUM('F) Remuneraciones'!$L$322:$L$332)-SUM('F) Remuneraciones'!$I$322:$J$332))/12</f>
        <v>0</v>
      </c>
      <c r="N173" s="559">
        <f>(SUM('F) Remuneraciones'!$L$322:$L$332)-SUM('F) Remuneraciones'!$I$322:$J$332))/12</f>
        <v>0</v>
      </c>
      <c r="O173" s="573">
        <f t="shared" si="76"/>
        <v>0</v>
      </c>
    </row>
    <row r="174" spans="2:19" x14ac:dyDescent="0.35">
      <c r="B174" s="572" t="s">
        <v>257</v>
      </c>
      <c r="C174" s="559">
        <f>(SUM('F) Remuneraciones'!H323:H333)*(1+'F) Remuneraciones'!$M$7))*(1+'F) Remuneraciones'!$M$8)/4</f>
        <v>0</v>
      </c>
      <c r="D174" s="559">
        <f>(SUM('F) Remuneraciones'!I323:I333)*(1+'F) Remuneraciones'!$M$7))*(1+'F) Remuneraciones'!$M$8)/4</f>
        <v>0</v>
      </c>
      <c r="E174" s="559">
        <f>(SUM('F) Remuneraciones'!J323:J333)*(1+'F) Remuneraciones'!$M$7))*(1+'F) Remuneraciones'!$M$8)/4</f>
        <v>0</v>
      </c>
      <c r="F174" s="559">
        <v>0</v>
      </c>
      <c r="G174" s="559">
        <v>0</v>
      </c>
      <c r="H174" s="559">
        <v>0</v>
      </c>
      <c r="I174" s="559">
        <v>0</v>
      </c>
      <c r="J174" s="559">
        <v>0</v>
      </c>
      <c r="K174" s="559">
        <v>0</v>
      </c>
      <c r="L174" s="559">
        <v>0</v>
      </c>
      <c r="M174" s="559">
        <v>0</v>
      </c>
      <c r="N174" s="559">
        <f>(SUM('F) Remuneraciones'!S323:S333)*(1+'F) Remuneraciones'!$M$7))*(1+'F) Remuneraciones'!$M$8)/4</f>
        <v>0</v>
      </c>
      <c r="O174" s="573">
        <f t="shared" si="76"/>
        <v>0</v>
      </c>
    </row>
    <row r="175" spans="2:19" x14ac:dyDescent="0.35">
      <c r="B175" s="572" t="s">
        <v>258</v>
      </c>
      <c r="C175" s="559">
        <f>SUM('F) Remuneraciones'!J322:J332)/2</f>
        <v>0</v>
      </c>
      <c r="D175" s="559">
        <v>0</v>
      </c>
      <c r="E175" s="559">
        <v>0</v>
      </c>
      <c r="F175" s="559">
        <v>0</v>
      </c>
      <c r="G175" s="559">
        <v>0</v>
      </c>
      <c r="H175" s="559">
        <v>0</v>
      </c>
      <c r="I175" s="559">
        <v>0</v>
      </c>
      <c r="J175" s="559">
        <v>0</v>
      </c>
      <c r="K175" s="559">
        <f>SUM('F) Remuneraciones'!I322:I332)/2</f>
        <v>0</v>
      </c>
      <c r="L175" s="559">
        <v>0</v>
      </c>
      <c r="M175" s="559">
        <v>0</v>
      </c>
      <c r="N175" s="559">
        <f>C175+K175</f>
        <v>0</v>
      </c>
      <c r="O175" s="573">
        <f t="shared" si="76"/>
        <v>0</v>
      </c>
    </row>
    <row r="176" spans="2:19" x14ac:dyDescent="0.35">
      <c r="B176" s="572" t="s">
        <v>259</v>
      </c>
      <c r="C176" s="559">
        <f>+('C) Costos Directos'!$D$1019-'C) Costos Directos'!$D$1020)*'J)Estructura Economica Mensu.'!C180</f>
        <v>337749.34480650857</v>
      </c>
      <c r="D176" s="559">
        <f>+('C) Costos Directos'!$D$1019-'C) Costos Directos'!$D$1020)*'J)Estructura Economica Mensu.'!D180</f>
        <v>325396.57944182557</v>
      </c>
      <c r="E176" s="559">
        <f>+('C) Costos Directos'!$D$1019-'C) Costos Directos'!$D$1020)*'J)Estructura Economica Mensu.'!E180</f>
        <v>476543.69170618372</v>
      </c>
      <c r="F176" s="559">
        <f>+('C) Costos Directos'!$D$1019-'C) Costos Directos'!$D$1020)*'J)Estructura Economica Mensu.'!F180</f>
        <v>492436.39075009286</v>
      </c>
      <c r="G176" s="559">
        <f>+('C) Costos Directos'!$D$1019-'C) Costos Directos'!$D$1020)*'J)Estructura Economica Mensu.'!G180</f>
        <v>633011.4935589321</v>
      </c>
      <c r="H176" s="559">
        <f>+('C) Costos Directos'!$D$1019-'C) Costos Directos'!$D$1020)*'J)Estructura Economica Mensu.'!H180</f>
        <v>261401.73287331476</v>
      </c>
      <c r="I176" s="559">
        <f>+('C) Costos Directos'!$D$1019-'C) Costos Directos'!$D$1020)*'J)Estructura Economica Mensu.'!I180</f>
        <v>679672.86074377922</v>
      </c>
      <c r="J176" s="559">
        <f>+('C) Costos Directos'!$D$1019-'C) Costos Directos'!$D$1020)*'J)Estructura Economica Mensu.'!J180</f>
        <v>178381.52097746352</v>
      </c>
      <c r="K176" s="559">
        <f>+('C) Costos Directos'!$D$1019-'C) Costos Directos'!$D$1020)*'J)Estructura Economica Mensu.'!K180</f>
        <v>391869.47548863507</v>
      </c>
      <c r="L176" s="559">
        <f>+('C) Costos Directos'!$D$1019-'C) Costos Directos'!$D$1020)*'J)Estructura Economica Mensu.'!L180</f>
        <v>515157.13227722869</v>
      </c>
      <c r="M176" s="559">
        <f>+('C) Costos Directos'!$D$1019-'C) Costos Directos'!$D$1020)*'J)Estructura Economica Mensu.'!M180</f>
        <v>696316.39910940977</v>
      </c>
      <c r="N176" s="559">
        <f>+('C) Costos Directos'!$D$1019-'C) Costos Directos'!$D$1020)*'J)Estructura Economica Mensu.'!N180</f>
        <v>295262.62826662592</v>
      </c>
      <c r="O176" s="573">
        <f t="shared" si="76"/>
        <v>5283199.2500000009</v>
      </c>
    </row>
    <row r="177" spans="2:19" ht="15" thickBot="1" x14ac:dyDescent="0.4">
      <c r="B177" s="572" t="s">
        <v>292</v>
      </c>
      <c r="C177" s="559">
        <f>'C) Costos Directos'!$H$1047*C181</f>
        <v>274334.75789394195</v>
      </c>
      <c r="D177" s="559">
        <f>'C) Costos Directos'!$H$1047*D181</f>
        <v>264301.30276590207</v>
      </c>
      <c r="E177" s="559">
        <f>'C) Costos Directos'!$H$1047*E181</f>
        <v>387069.58370265941</v>
      </c>
      <c r="F177" s="559">
        <f>'C) Costos Directos'!$H$1047*F181</f>
        <v>399978.32745459717</v>
      </c>
      <c r="G177" s="559">
        <f>'C) Costos Directos'!$H$1047*G181</f>
        <v>514159.56092840899</v>
      </c>
      <c r="H177" s="559">
        <f>'C) Costos Directos'!$H$1047*H181</f>
        <v>212321.89552266983</v>
      </c>
      <c r="I177" s="559">
        <f>'C) Costos Directos'!$H$1047*I181</f>
        <v>552059.95974928234</v>
      </c>
      <c r="J177" s="559">
        <f>'C) Costos Directos'!$H$1047*J181</f>
        <v>144889.25625641234</v>
      </c>
      <c r="K177" s="559">
        <f>'C) Costos Directos'!$H$1047*K181</f>
        <v>318293.48994233523</v>
      </c>
      <c r="L177" s="559">
        <f>'C) Costos Directos'!$H$1047*L181</f>
        <v>418433.10530054237</v>
      </c>
      <c r="M177" s="559">
        <f>'C) Costos Directos'!$H$1047*M181</f>
        <v>565578.56796641904</v>
      </c>
      <c r="N177" s="559">
        <f>'C) Costos Directos'!$H$1047*N181</f>
        <v>239825.19251682909</v>
      </c>
      <c r="O177" s="578">
        <f t="shared" si="76"/>
        <v>4291244.9999999991</v>
      </c>
    </row>
    <row r="178" spans="2:19" ht="15" thickBot="1" x14ac:dyDescent="0.4">
      <c r="B178" s="577" t="s">
        <v>260</v>
      </c>
      <c r="C178" s="566">
        <f>C172-(C173+C174+C175+C176+C177)</f>
        <v>156442.44854124647</v>
      </c>
      <c r="D178" s="566">
        <f t="shared" ref="D178:N178" si="77">D172-(D173+D174+D175+D176+D177)</f>
        <v>380553.46394263406</v>
      </c>
      <c r="E178" s="566">
        <f t="shared" si="77"/>
        <v>205745.97122033313</v>
      </c>
      <c r="F178" s="566">
        <f t="shared" si="77"/>
        <v>66572.189935187809</v>
      </c>
      <c r="G178" s="566">
        <f t="shared" si="77"/>
        <v>-292635.92333776364</v>
      </c>
      <c r="H178" s="566">
        <f t="shared" si="77"/>
        <v>490269.29704049911</v>
      </c>
      <c r="I178" s="566">
        <f t="shared" si="77"/>
        <v>-181255.52838916564</v>
      </c>
      <c r="J178" s="566">
        <f t="shared" si="77"/>
        <v>855695.7129387001</v>
      </c>
      <c r="K178" s="566">
        <f t="shared" si="77"/>
        <v>250053.7022994383</v>
      </c>
      <c r="L178" s="566">
        <f t="shared" si="77"/>
        <v>94596.80447931739</v>
      </c>
      <c r="M178" s="566">
        <f t="shared" si="77"/>
        <v>-483873.65948298096</v>
      </c>
      <c r="N178" s="567">
        <f t="shared" si="77"/>
        <v>307391.2708125544</v>
      </c>
      <c r="O178" s="263">
        <f t="shared" si="76"/>
        <v>1849555.75</v>
      </c>
      <c r="S178" s="1869"/>
    </row>
    <row r="179" spans="2:19" x14ac:dyDescent="0.35">
      <c r="B179" s="318" t="s">
        <v>261</v>
      </c>
      <c r="C179" s="265">
        <v>6.7272982426619124E-2</v>
      </c>
      <c r="D179" s="265">
        <v>8.4930965174226339E-2</v>
      </c>
      <c r="E179" s="265">
        <v>9.3606376630705201E-2</v>
      </c>
      <c r="F179" s="265">
        <v>8.3944932435213393E-2</v>
      </c>
      <c r="G179" s="265">
        <v>7.4801744673457404E-2</v>
      </c>
      <c r="H179" s="265">
        <v>8.438313422938408E-2</v>
      </c>
      <c r="I179" s="265">
        <v>9.1953544476881643E-2</v>
      </c>
      <c r="J179" s="265">
        <v>0.10320084822939216</v>
      </c>
      <c r="K179" s="265">
        <v>8.4052579458194027E-2</v>
      </c>
      <c r="L179" s="265">
        <v>9.0002367126845978E-2</v>
      </c>
      <c r="M179" s="265">
        <v>6.8104106056796912E-2</v>
      </c>
      <c r="N179" s="265">
        <v>7.3746419082283743E-2</v>
      </c>
      <c r="O179" s="266"/>
    </row>
    <row r="180" spans="2:19" x14ac:dyDescent="0.35">
      <c r="B180" s="318" t="s">
        <v>262</v>
      </c>
      <c r="C180" s="265">
        <v>6.3928943207377339E-2</v>
      </c>
      <c r="D180" s="265">
        <v>6.1590821024178781E-2</v>
      </c>
      <c r="E180" s="265">
        <v>9.0199833312397545E-2</v>
      </c>
      <c r="F180" s="265">
        <v>9.3207991493050896E-2</v>
      </c>
      <c r="G180" s="265">
        <v>0.11981594174380839</v>
      </c>
      <c r="H180" s="265">
        <v>4.9477924360568977E-2</v>
      </c>
      <c r="I180" s="265">
        <v>0.12864797040236164</v>
      </c>
      <c r="J180" s="265">
        <v>3.3763920786720948E-2</v>
      </c>
      <c r="K180" s="265">
        <v>7.4172761038424795E-2</v>
      </c>
      <c r="L180" s="265">
        <v>9.7508556444701328E-2</v>
      </c>
      <c r="M180" s="265">
        <v>0.13179824688788896</v>
      </c>
      <c r="N180" s="265">
        <v>5.5887089298520383E-2</v>
      </c>
      <c r="O180" s="266"/>
    </row>
    <row r="181" spans="2:19" x14ac:dyDescent="0.35">
      <c r="B181" s="318" t="s">
        <v>293</v>
      </c>
      <c r="C181" s="265">
        <v>6.3928943207377339E-2</v>
      </c>
      <c r="D181" s="265">
        <v>6.1590821024178781E-2</v>
      </c>
      <c r="E181" s="265">
        <v>9.0199833312397545E-2</v>
      </c>
      <c r="F181" s="265">
        <v>9.3207991493050896E-2</v>
      </c>
      <c r="G181" s="265">
        <v>0.11981594174380839</v>
      </c>
      <c r="H181" s="265">
        <v>4.9477924360568977E-2</v>
      </c>
      <c r="I181" s="265">
        <v>0.12864797040236164</v>
      </c>
      <c r="J181" s="265">
        <v>3.3763920786720948E-2</v>
      </c>
      <c r="K181" s="265">
        <v>7.4172761038424795E-2</v>
      </c>
      <c r="L181" s="265">
        <v>9.7508556444701328E-2</v>
      </c>
      <c r="M181" s="265">
        <v>0.13179824688788896</v>
      </c>
      <c r="N181" s="265">
        <v>5.5887089298520383E-2</v>
      </c>
    </row>
  </sheetData>
  <sheetProtection algorithmName="SHA-512" hashValue="FG/yZsLvsaDLP8PFRmsoqIHHjFoLyxF2ldbOFx7lhg6rqvjoPSV1wJkM6sZoD64f6T3AmK5PocFfrmP4gyRBtA==" saltValue="zYSDX2EddDw829nPlYFSpw==" spinCount="100000" sheet="1" objects="1" scenarios="1"/>
  <mergeCells count="16">
    <mergeCell ref="Q161:Q162"/>
    <mergeCell ref="Q139:Q140"/>
    <mergeCell ref="Q150:Q151"/>
    <mergeCell ref="Q84:Q85"/>
    <mergeCell ref="Q95:Q96"/>
    <mergeCell ref="Q106:Q107"/>
    <mergeCell ref="Q117:Q118"/>
    <mergeCell ref="Q128:Q129"/>
    <mergeCell ref="F9:G9"/>
    <mergeCell ref="B12:E12"/>
    <mergeCell ref="Q62:Q63"/>
    <mergeCell ref="Q73:Q74"/>
    <mergeCell ref="Q18:Q19"/>
    <mergeCell ref="Q29:Q30"/>
    <mergeCell ref="Q40:Q41"/>
    <mergeCell ref="Q51:Q52"/>
  </mergeCells>
  <conditionalFormatting sqref="C17:O23">
    <cfRule type="cellIs" dxfId="14" priority="1" operator="lessThan">
      <formula>0</formula>
    </cfRule>
  </conditionalFormatting>
  <conditionalFormatting sqref="C28:O34">
    <cfRule type="cellIs" dxfId="13" priority="21" operator="lessThan">
      <formula>0</formula>
    </cfRule>
  </conditionalFormatting>
  <conditionalFormatting sqref="C39:O45">
    <cfRule type="cellIs" dxfId="12" priority="20" operator="lessThan">
      <formula>0</formula>
    </cfRule>
  </conditionalFormatting>
  <conditionalFormatting sqref="C50:O56">
    <cfRule type="cellIs" dxfId="11" priority="19" operator="lessThan">
      <formula>0</formula>
    </cfRule>
  </conditionalFormatting>
  <conditionalFormatting sqref="C61:O67">
    <cfRule type="cellIs" dxfId="10" priority="18" operator="lessThan">
      <formula>0</formula>
    </cfRule>
  </conditionalFormatting>
  <conditionalFormatting sqref="C72:O78">
    <cfRule type="cellIs" dxfId="9" priority="17" operator="lessThan">
      <formula>0</formula>
    </cfRule>
  </conditionalFormatting>
  <conditionalFormatting sqref="C83:O89">
    <cfRule type="cellIs" dxfId="8" priority="16" operator="lessThan">
      <formula>0</formula>
    </cfRule>
  </conditionalFormatting>
  <conditionalFormatting sqref="C94:O100">
    <cfRule type="cellIs" dxfId="7" priority="15" operator="lessThan">
      <formula>0</formula>
    </cfRule>
  </conditionalFormatting>
  <conditionalFormatting sqref="C105:O111">
    <cfRule type="cellIs" dxfId="6" priority="14" operator="lessThan">
      <formula>0</formula>
    </cfRule>
  </conditionalFormatting>
  <conditionalFormatting sqref="C116:O122">
    <cfRule type="cellIs" dxfId="5" priority="13" operator="lessThan">
      <formula>0</formula>
    </cfRule>
  </conditionalFormatting>
  <conditionalFormatting sqref="C127:O133">
    <cfRule type="cellIs" dxfId="4" priority="12" operator="lessThan">
      <formula>0</formula>
    </cfRule>
  </conditionalFormatting>
  <conditionalFormatting sqref="C138:O144">
    <cfRule type="cellIs" dxfId="3" priority="11" operator="lessThan">
      <formula>0</formula>
    </cfRule>
  </conditionalFormatting>
  <conditionalFormatting sqref="C149:O155">
    <cfRule type="cellIs" dxfId="2" priority="8" operator="lessThan">
      <formula>0</formula>
    </cfRule>
  </conditionalFormatting>
  <conditionalFormatting sqref="C160:O166">
    <cfRule type="cellIs" dxfId="1" priority="9" operator="lessThan">
      <formula>0</formula>
    </cfRule>
  </conditionalFormatting>
  <conditionalFormatting sqref="C172:O178">
    <cfRule type="cellIs" dxfId="0" priority="2" operator="lessThan">
      <formula>0</formula>
    </cfRule>
  </conditionalFormatting>
  <pageMargins left="0.7" right="0.7" top="0.75" bottom="0.75" header="0.3" footer="0.3"/>
  <pageSetup orientation="portrait" r:id="rId1"/>
  <ignoredErrors>
    <ignoredError sqref="C20 K20" formulaRange="1"/>
    <ignoredError sqref="D178:O178" evalError="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A57"/>
  <sheetViews>
    <sheetView workbookViewId="0">
      <selection activeCell="H10" sqref="H10"/>
    </sheetView>
  </sheetViews>
  <sheetFormatPr baseColWidth="10" defaultRowHeight="14.5" x14ac:dyDescent="0.35"/>
  <cols>
    <col min="1" max="1" width="20.81640625" customWidth="1"/>
    <col min="2" max="2" width="42.81640625" customWidth="1"/>
    <col min="3" max="3" width="18.7265625" customWidth="1"/>
    <col min="4" max="4" width="21.54296875" customWidth="1"/>
    <col min="5" max="12" width="13.7265625" customWidth="1"/>
  </cols>
  <sheetData>
    <row r="2" spans="1:12" x14ac:dyDescent="0.35">
      <c r="A2" s="1975"/>
      <c r="B2" s="1975"/>
      <c r="C2" s="1976"/>
      <c r="D2" s="1977">
        <v>1.0309999999999999</v>
      </c>
      <c r="E2" s="1975"/>
      <c r="F2" s="1975"/>
      <c r="G2" s="1975"/>
      <c r="H2" s="1975"/>
      <c r="I2" s="1975"/>
      <c r="J2" s="1975"/>
      <c r="K2" s="1975"/>
      <c r="L2" s="1975"/>
    </row>
    <row r="3" spans="1:12" x14ac:dyDescent="0.35">
      <c r="A3" s="1978"/>
      <c r="B3" s="1975"/>
      <c r="C3" s="1979"/>
      <c r="D3" s="1980">
        <v>2026</v>
      </c>
      <c r="E3" s="1981"/>
      <c r="F3" s="1981"/>
      <c r="G3" s="1981"/>
      <c r="H3" s="1981"/>
      <c r="I3" s="1975"/>
      <c r="J3" s="1975"/>
      <c r="K3" s="1975"/>
      <c r="L3" s="1975"/>
    </row>
    <row r="4" spans="1:12" ht="24" x14ac:dyDescent="0.35">
      <c r="A4" s="1982" t="s">
        <v>531</v>
      </c>
      <c r="B4" s="1983" t="s">
        <v>113</v>
      </c>
      <c r="C4" s="1984" t="s">
        <v>532</v>
      </c>
      <c r="D4" s="1985" t="s">
        <v>533</v>
      </c>
      <c r="E4" s="1986"/>
      <c r="F4" s="1979"/>
      <c r="G4" s="1979"/>
      <c r="H4" s="1979"/>
      <c r="I4" s="1975"/>
      <c r="J4" s="1975"/>
      <c r="K4" s="1975"/>
      <c r="L4" s="1975"/>
    </row>
    <row r="5" spans="1:12" x14ac:dyDescent="0.35">
      <c r="A5" s="1987">
        <v>53201010100000</v>
      </c>
      <c r="B5" s="1988" t="s">
        <v>534</v>
      </c>
      <c r="C5" s="1989">
        <f>SUM(C6:C7)</f>
        <v>160000</v>
      </c>
      <c r="D5" s="1990">
        <f>D6+D7</f>
        <v>164960</v>
      </c>
      <c r="E5" s="1991"/>
      <c r="F5" s="1979"/>
      <c r="G5" s="1979"/>
      <c r="H5" s="1979"/>
      <c r="I5" s="1975"/>
      <c r="J5" s="1992"/>
      <c r="K5" s="1975"/>
      <c r="L5" s="1975"/>
    </row>
    <row r="6" spans="1:12" x14ac:dyDescent="0.35">
      <c r="A6" s="1993"/>
      <c r="B6" s="1994"/>
      <c r="C6" s="1995"/>
      <c r="D6" s="1996">
        <f>C6*$D$2</f>
        <v>0</v>
      </c>
      <c r="E6" s="1991"/>
      <c r="F6" s="1979"/>
      <c r="G6" s="1979"/>
      <c r="H6" s="1979"/>
      <c r="I6" s="1975"/>
      <c r="J6" s="1992"/>
      <c r="K6" s="1975"/>
      <c r="L6" s="1975"/>
    </row>
    <row r="7" spans="1:12" x14ac:dyDescent="0.35">
      <c r="A7" s="1997">
        <v>96</v>
      </c>
      <c r="B7" s="1994" t="s">
        <v>535</v>
      </c>
      <c r="C7" s="1995">
        <v>160000</v>
      </c>
      <c r="D7" s="1996">
        <f>C7*$D$2</f>
        <v>164960</v>
      </c>
      <c r="E7" s="1975"/>
      <c r="F7" s="1975"/>
      <c r="G7" s="1975"/>
      <c r="H7" s="1975"/>
      <c r="I7" s="1975"/>
      <c r="J7" s="1975"/>
      <c r="K7" s="1975"/>
      <c r="L7" s="1975"/>
    </row>
    <row r="8" spans="1:12" x14ac:dyDescent="0.35">
      <c r="A8" s="1987">
        <v>55201010100001</v>
      </c>
      <c r="B8" s="1998" t="s">
        <v>112</v>
      </c>
      <c r="C8" s="1989">
        <f>C9</f>
        <v>2300000</v>
      </c>
      <c r="D8" s="1990">
        <f>D9</f>
        <v>2371300</v>
      </c>
      <c r="E8" s="1975"/>
      <c r="F8" s="1975"/>
      <c r="G8" s="1975"/>
      <c r="H8" s="1975"/>
      <c r="I8" s="1975"/>
      <c r="J8" s="1975"/>
      <c r="K8" s="1975"/>
      <c r="L8" s="1975"/>
    </row>
    <row r="9" spans="1:12" x14ac:dyDescent="0.35">
      <c r="A9" s="1997"/>
      <c r="B9" s="1994" t="s">
        <v>536</v>
      </c>
      <c r="C9" s="1995">
        <v>2300000</v>
      </c>
      <c r="D9" s="1999">
        <f>C9*$D$2</f>
        <v>2371300</v>
      </c>
      <c r="E9" s="1975"/>
      <c r="F9" s="1975"/>
      <c r="G9" s="1975"/>
      <c r="H9" s="1975"/>
      <c r="I9" s="2000"/>
      <c r="J9" s="2001"/>
      <c r="K9" s="1975"/>
      <c r="L9" s="1975"/>
    </row>
    <row r="10" spans="1:12" x14ac:dyDescent="0.35">
      <c r="A10" s="1987">
        <v>53202010100000</v>
      </c>
      <c r="B10" s="2002" t="s">
        <v>115</v>
      </c>
      <c r="C10" s="1989"/>
      <c r="D10" s="1990">
        <f>SUM(D12:D26)*$D$2</f>
        <v>2934380.65</v>
      </c>
      <c r="E10" s="2003"/>
      <c r="F10" s="2004"/>
      <c r="G10" s="2003"/>
      <c r="H10" s="2004"/>
      <c r="I10" s="1975"/>
      <c r="J10" s="1975"/>
      <c r="K10" s="1975"/>
      <c r="L10" s="1975"/>
    </row>
    <row r="11" spans="1:12" x14ac:dyDescent="0.35">
      <c r="A11" s="2005"/>
      <c r="B11" s="2006"/>
      <c r="C11" s="1995" t="s">
        <v>537</v>
      </c>
      <c r="D11" s="2007" t="s">
        <v>538</v>
      </c>
      <c r="E11" s="2003"/>
      <c r="F11" s="2004"/>
      <c r="G11" s="2003"/>
      <c r="H11" s="2004"/>
      <c r="I11" s="1975"/>
      <c r="J11" s="1975"/>
      <c r="K11" s="1975"/>
      <c r="L11" s="1975"/>
    </row>
    <row r="12" spans="1:12" x14ac:dyDescent="0.35">
      <c r="A12" s="1997">
        <v>3</v>
      </c>
      <c r="B12" s="2008" t="s">
        <v>539</v>
      </c>
      <c r="C12" s="2009">
        <v>18800</v>
      </c>
      <c r="D12" s="1999">
        <f>C12*A12</f>
        <v>56400</v>
      </c>
      <c r="E12" s="1979"/>
      <c r="F12" s="2010"/>
      <c r="G12" s="2011"/>
      <c r="H12" s="2004"/>
      <c r="I12" s="1975"/>
      <c r="J12" s="1975"/>
      <c r="K12" s="1975"/>
      <c r="L12" s="1975"/>
    </row>
    <row r="13" spans="1:12" x14ac:dyDescent="0.35">
      <c r="A13" s="1997">
        <v>5</v>
      </c>
      <c r="B13" s="2008" t="s">
        <v>540</v>
      </c>
      <c r="C13" s="2009">
        <v>15000</v>
      </c>
      <c r="D13" s="1999">
        <f>C13*A13</f>
        <v>75000</v>
      </c>
      <c r="E13" s="1979"/>
      <c r="F13" s="2010"/>
      <c r="G13" s="2011"/>
      <c r="H13" s="2004"/>
      <c r="I13" s="1975"/>
      <c r="J13" s="1975"/>
      <c r="K13" s="1975"/>
      <c r="L13" s="1975"/>
    </row>
    <row r="14" spans="1:12" x14ac:dyDescent="0.35">
      <c r="A14" s="1997">
        <v>10</v>
      </c>
      <c r="B14" s="2008" t="s">
        <v>541</v>
      </c>
      <c r="C14" s="2009">
        <v>7000</v>
      </c>
      <c r="D14" s="1999">
        <f t="shared" ref="D14:D25" si="0">C14*A14</f>
        <v>70000</v>
      </c>
      <c r="E14" s="1979"/>
      <c r="F14" s="2010"/>
      <c r="G14" s="2011"/>
      <c r="H14" s="2004"/>
      <c r="I14" s="1975"/>
      <c r="J14" s="1975"/>
      <c r="K14" s="1975"/>
      <c r="L14" s="1975"/>
    </row>
    <row r="15" spans="1:12" x14ac:dyDescent="0.35">
      <c r="A15" s="1997">
        <v>5</v>
      </c>
      <c r="B15" s="2008" t="s">
        <v>542</v>
      </c>
      <c r="C15" s="2009">
        <v>26590</v>
      </c>
      <c r="D15" s="1999">
        <f t="shared" si="0"/>
        <v>132950</v>
      </c>
      <c r="E15" s="1979"/>
      <c r="F15" s="2010"/>
      <c r="G15" s="2011"/>
      <c r="H15" s="2004"/>
      <c r="I15" s="1975"/>
      <c r="J15" s="1975"/>
      <c r="K15" s="1975"/>
      <c r="L15" s="1975"/>
    </row>
    <row r="16" spans="1:12" x14ac:dyDescent="0.35">
      <c r="A16" s="1997">
        <v>5</v>
      </c>
      <c r="B16" s="2008" t="s">
        <v>543</v>
      </c>
      <c r="C16" s="2009">
        <v>21950</v>
      </c>
      <c r="D16" s="1999">
        <f t="shared" si="0"/>
        <v>109750</v>
      </c>
      <c r="E16" s="1979"/>
      <c r="F16" s="2010"/>
      <c r="G16" s="2011"/>
      <c r="H16" s="2004"/>
      <c r="I16" s="1975"/>
      <c r="J16" s="1975"/>
      <c r="K16" s="1975"/>
      <c r="L16" s="1975"/>
    </row>
    <row r="17" spans="1:27" x14ac:dyDescent="0.35">
      <c r="A17" s="1997">
        <v>5</v>
      </c>
      <c r="B17" s="2008" t="s">
        <v>544</v>
      </c>
      <c r="C17" s="2009">
        <v>31210</v>
      </c>
      <c r="D17" s="1999">
        <f t="shared" si="0"/>
        <v>156050</v>
      </c>
      <c r="E17" s="1979"/>
      <c r="F17" s="2010"/>
      <c r="G17" s="2011"/>
      <c r="H17" s="2004"/>
      <c r="I17" s="1975"/>
      <c r="J17" s="1975"/>
      <c r="K17" s="1975"/>
      <c r="L17" s="1975"/>
    </row>
    <row r="18" spans="1:27" x14ac:dyDescent="0.35">
      <c r="A18" s="1997">
        <v>10</v>
      </c>
      <c r="B18" s="2008" t="s">
        <v>545</v>
      </c>
      <c r="C18" s="2009">
        <v>28000</v>
      </c>
      <c r="D18" s="1999">
        <f t="shared" si="0"/>
        <v>280000</v>
      </c>
      <c r="E18" s="1979"/>
      <c r="F18" s="2010"/>
      <c r="G18" s="2011"/>
      <c r="H18" s="2004"/>
      <c r="I18" s="1975"/>
      <c r="J18" s="1975"/>
      <c r="K18" s="1975"/>
      <c r="L18" s="1975"/>
    </row>
    <row r="19" spans="1:27" x14ac:dyDescent="0.35">
      <c r="A19" s="1997">
        <v>20</v>
      </c>
      <c r="B19" s="2008" t="s">
        <v>546</v>
      </c>
      <c r="C19" s="2009">
        <v>23000</v>
      </c>
      <c r="D19" s="1999">
        <f t="shared" si="0"/>
        <v>460000</v>
      </c>
      <c r="E19" s="1979"/>
      <c r="F19" s="2010"/>
      <c r="G19" s="2011"/>
      <c r="H19" s="2004"/>
      <c r="I19" s="1975"/>
      <c r="J19" s="1975"/>
      <c r="K19" s="1975"/>
      <c r="L19" s="1975"/>
      <c r="M19" s="1975"/>
      <c r="N19" s="1975"/>
      <c r="O19" s="1975"/>
      <c r="P19" s="1975"/>
      <c r="Q19" s="1975"/>
      <c r="R19" s="1975"/>
      <c r="S19" s="1975"/>
      <c r="T19" s="1975"/>
      <c r="U19" s="1975"/>
      <c r="V19" s="1975"/>
      <c r="W19" s="1975"/>
      <c r="X19" s="1975"/>
      <c r="Y19" s="1975"/>
      <c r="Z19" s="1975"/>
      <c r="AA19" s="1975"/>
    </row>
    <row r="20" spans="1:27" x14ac:dyDescent="0.35">
      <c r="A20" s="1997">
        <v>10</v>
      </c>
      <c r="B20" s="2008" t="s">
        <v>547</v>
      </c>
      <c r="C20" s="2009">
        <v>10160</v>
      </c>
      <c r="D20" s="1999">
        <f t="shared" si="0"/>
        <v>101600</v>
      </c>
      <c r="E20" s="1979"/>
      <c r="F20" s="2010"/>
      <c r="G20" s="2011"/>
      <c r="H20" s="2004"/>
      <c r="I20" s="1975"/>
      <c r="J20" s="1975"/>
      <c r="K20" s="1975"/>
      <c r="L20" s="1975"/>
      <c r="M20" s="1975"/>
      <c r="N20" s="1975"/>
      <c r="O20" s="1975"/>
      <c r="P20" s="1975"/>
      <c r="Q20" s="1975"/>
      <c r="R20" s="1975"/>
      <c r="S20" s="1975"/>
      <c r="T20" s="1975"/>
      <c r="U20" s="1975"/>
      <c r="V20" s="1975"/>
      <c r="W20" s="1975"/>
      <c r="X20" s="1975"/>
      <c r="Y20" s="1975"/>
      <c r="Z20" s="1975"/>
      <c r="AA20" s="1975"/>
    </row>
    <row r="21" spans="1:27" x14ac:dyDescent="0.35">
      <c r="A21" s="1997">
        <v>15</v>
      </c>
      <c r="B21" s="2008" t="s">
        <v>548</v>
      </c>
      <c r="C21" s="2009">
        <v>4000</v>
      </c>
      <c r="D21" s="1999">
        <f t="shared" si="0"/>
        <v>60000</v>
      </c>
      <c r="E21" s="1979"/>
      <c r="F21" s="2010"/>
      <c r="G21" s="2011"/>
      <c r="H21" s="2004"/>
      <c r="I21" s="1975" t="s">
        <v>549</v>
      </c>
      <c r="J21" s="1975"/>
      <c r="K21" s="1975"/>
      <c r="L21" s="1975"/>
      <c r="M21" s="1975"/>
      <c r="N21" s="1975"/>
      <c r="O21" s="1975"/>
      <c r="P21" s="1975"/>
      <c r="Q21" s="1975"/>
      <c r="R21" s="1975"/>
      <c r="S21" s="1975"/>
      <c r="T21" s="1975"/>
      <c r="U21" s="1975"/>
      <c r="V21" s="1975"/>
      <c r="W21" s="1975"/>
      <c r="X21" s="1975"/>
      <c r="Y21" s="1975"/>
      <c r="Z21" s="1975"/>
      <c r="AA21" s="1975"/>
    </row>
    <row r="22" spans="1:27" x14ac:dyDescent="0.35">
      <c r="A22" s="1997">
        <v>10</v>
      </c>
      <c r="B22" s="2008" t="s">
        <v>550</v>
      </c>
      <c r="C22" s="2009">
        <v>4000</v>
      </c>
      <c r="D22" s="1999">
        <f t="shared" si="0"/>
        <v>40000</v>
      </c>
      <c r="E22" s="1979"/>
      <c r="F22" s="2010"/>
      <c r="G22" s="2011"/>
      <c r="H22" s="2004"/>
      <c r="I22" s="1975"/>
      <c r="J22" s="1975"/>
      <c r="K22" s="1975"/>
      <c r="L22" s="1975"/>
      <c r="M22" s="1975"/>
      <c r="N22" s="1975"/>
      <c r="O22" s="1975"/>
      <c r="P22" s="1975"/>
      <c r="Q22" s="1975"/>
      <c r="R22" s="1975"/>
      <c r="S22" s="1975"/>
      <c r="T22" s="1975"/>
      <c r="U22" s="1975"/>
      <c r="V22" s="1975"/>
      <c r="W22" s="1975"/>
      <c r="X22" s="1975"/>
      <c r="Y22" s="1975"/>
      <c r="Z22" s="1975"/>
      <c r="AA22" s="1975"/>
    </row>
    <row r="23" spans="1:27" x14ac:dyDescent="0.35">
      <c r="A23" s="1997">
        <v>3</v>
      </c>
      <c r="B23" s="2008" t="s">
        <v>551</v>
      </c>
      <c r="C23" s="2009">
        <v>19800</v>
      </c>
      <c r="D23" s="1999">
        <f t="shared" si="0"/>
        <v>59400</v>
      </c>
      <c r="E23" s="1979"/>
      <c r="F23" s="2010"/>
      <c r="G23" s="2011"/>
      <c r="H23" s="2004"/>
      <c r="I23" s="1975"/>
      <c r="J23" s="1975"/>
      <c r="K23" s="1975"/>
      <c r="L23" s="1975"/>
      <c r="M23" s="1975"/>
      <c r="N23" s="1975"/>
      <c r="O23" s="1975"/>
      <c r="P23" s="1975"/>
      <c r="Q23" s="1975"/>
      <c r="R23" s="1975"/>
      <c r="S23" s="1975"/>
      <c r="T23" s="1975"/>
      <c r="U23" s="1975"/>
      <c r="V23" s="1975"/>
      <c r="W23" s="1975"/>
      <c r="X23" s="1975"/>
      <c r="Y23" s="1975"/>
      <c r="Z23" s="1975"/>
      <c r="AA23" s="1975"/>
    </row>
    <row r="24" spans="1:27" x14ac:dyDescent="0.35">
      <c r="A24" s="1997">
        <v>3</v>
      </c>
      <c r="B24" s="2008" t="s">
        <v>552</v>
      </c>
      <c r="C24" s="2009">
        <v>15000</v>
      </c>
      <c r="D24" s="1999">
        <f t="shared" si="0"/>
        <v>45000</v>
      </c>
      <c r="E24" s="1979"/>
      <c r="F24" s="2010"/>
      <c r="G24" s="2011"/>
      <c r="H24" s="2004"/>
      <c r="I24" s="1975"/>
      <c r="J24" s="1975"/>
      <c r="K24" s="1975"/>
      <c r="L24" s="1975"/>
      <c r="M24" s="1975"/>
      <c r="N24" s="1975"/>
      <c r="O24" s="1975"/>
      <c r="P24" s="1975"/>
      <c r="Q24" s="1975"/>
      <c r="R24" s="1975"/>
      <c r="S24" s="1975"/>
      <c r="T24" s="1975"/>
      <c r="U24" s="1975"/>
      <c r="V24" s="1975"/>
      <c r="W24" s="1975"/>
      <c r="X24" s="1975"/>
      <c r="Y24" s="1975"/>
      <c r="Z24" s="1975"/>
      <c r="AA24" s="1975"/>
    </row>
    <row r="25" spans="1:27" x14ac:dyDescent="0.35">
      <c r="A25" s="1997">
        <v>20</v>
      </c>
      <c r="B25" s="2008" t="s">
        <v>553</v>
      </c>
      <c r="C25" s="2009">
        <v>60000</v>
      </c>
      <c r="D25" s="1999">
        <f t="shared" si="0"/>
        <v>1200000</v>
      </c>
      <c r="E25" s="1979" t="s">
        <v>554</v>
      </c>
      <c r="F25" s="2004"/>
      <c r="G25" s="1979"/>
      <c r="H25" s="2004"/>
      <c r="I25" s="1975"/>
      <c r="J25" s="1975"/>
      <c r="K25" s="1975"/>
      <c r="L25" s="1975"/>
      <c r="M25" s="1975"/>
      <c r="N25" s="1975"/>
      <c r="O25" s="1975"/>
      <c r="P25" s="1975"/>
      <c r="Q25" s="1975"/>
      <c r="R25" s="1975"/>
      <c r="S25" s="1975"/>
      <c r="T25" s="1975"/>
      <c r="U25" s="1975"/>
      <c r="V25" s="1975"/>
      <c r="W25" s="1975"/>
      <c r="X25" s="1975"/>
      <c r="Y25" s="1975"/>
      <c r="Z25" s="1975"/>
      <c r="AA25" s="1975"/>
    </row>
    <row r="26" spans="1:27" x14ac:dyDescent="0.35">
      <c r="F26" s="2004"/>
      <c r="G26" s="1979"/>
      <c r="H26" s="2004"/>
      <c r="I26" s="1975"/>
      <c r="J26" s="1975"/>
      <c r="K26" s="1975"/>
      <c r="L26" s="1975"/>
      <c r="M26" s="1975"/>
      <c r="N26" s="1975"/>
      <c r="O26" s="1975"/>
      <c r="P26" s="1975"/>
      <c r="Q26" s="1975"/>
      <c r="R26" s="1975"/>
      <c r="S26" s="1975"/>
      <c r="T26" s="1975"/>
      <c r="U26" s="1975"/>
      <c r="V26" s="1975"/>
      <c r="W26" s="1975"/>
      <c r="X26" s="1975"/>
      <c r="Y26" s="1975"/>
      <c r="Z26" s="1975"/>
      <c r="AA26" s="1975"/>
    </row>
    <row r="27" spans="1:27" x14ac:dyDescent="0.35">
      <c r="F27" s="2004"/>
      <c r="G27" s="1979"/>
      <c r="H27" s="2004"/>
      <c r="I27" s="1975"/>
      <c r="J27" s="1975"/>
      <c r="K27" s="1975"/>
      <c r="L27" s="1975"/>
      <c r="M27" s="1975"/>
      <c r="N27" s="1975"/>
      <c r="O27" s="1975"/>
      <c r="P27" s="1975"/>
      <c r="Q27" s="1975"/>
      <c r="R27" s="1975"/>
      <c r="S27" s="1975"/>
      <c r="T27" s="1975"/>
      <c r="U27" s="1975"/>
      <c r="V27" s="1975"/>
      <c r="W27" s="1975"/>
      <c r="X27" s="1975"/>
      <c r="Y27" s="1975"/>
      <c r="Z27" s="1975"/>
      <c r="AA27" s="1975"/>
    </row>
    <row r="28" spans="1:27" x14ac:dyDescent="0.35">
      <c r="A28" s="2012"/>
      <c r="B28" s="2013"/>
      <c r="C28" s="2009"/>
      <c r="D28" s="1999"/>
      <c r="E28" s="2014"/>
      <c r="F28" s="2004"/>
      <c r="G28" s="1979"/>
      <c r="H28" s="2004"/>
      <c r="I28" s="1975"/>
      <c r="J28" s="1975"/>
      <c r="K28" s="1975"/>
      <c r="L28" s="1975"/>
      <c r="M28" s="1975"/>
      <c r="N28" s="1975"/>
      <c r="O28" s="1975"/>
      <c r="P28" s="1975"/>
      <c r="Q28" s="1975"/>
      <c r="R28" s="1975"/>
      <c r="S28" s="1975"/>
      <c r="T28" s="1975"/>
      <c r="U28" s="1975"/>
      <c r="V28" s="1975"/>
      <c r="W28" s="1975"/>
      <c r="X28" s="1975"/>
      <c r="Y28" s="1975"/>
      <c r="Z28" s="1975"/>
      <c r="AA28" s="1975"/>
    </row>
    <row r="29" spans="1:27" x14ac:dyDescent="0.35">
      <c r="A29" s="2015">
        <v>53204130100000</v>
      </c>
      <c r="B29" s="2016" t="s">
        <v>120</v>
      </c>
      <c r="C29" s="2017">
        <f>SUM(C30:C30)</f>
        <v>320000</v>
      </c>
      <c r="D29" s="2017">
        <f>SUM(D30:D30)*$D$2</f>
        <v>329920</v>
      </c>
      <c r="E29" s="2003"/>
      <c r="F29" s="1979"/>
      <c r="G29" s="1979"/>
      <c r="H29" s="1979"/>
      <c r="I29" s="1975"/>
      <c r="J29" s="1975"/>
      <c r="K29" s="1975"/>
      <c r="L29" s="1975"/>
      <c r="M29" s="1975"/>
      <c r="N29" s="1975"/>
      <c r="O29" s="1975"/>
      <c r="P29" s="1975"/>
      <c r="Q29" s="1975"/>
      <c r="R29" s="1975"/>
      <c r="S29" s="1975"/>
      <c r="T29" s="1975"/>
      <c r="U29" s="1975"/>
      <c r="V29" s="1975"/>
      <c r="W29" s="1975"/>
      <c r="X29" s="1975"/>
      <c r="Y29" s="1975"/>
      <c r="Z29" s="1975"/>
      <c r="AA29" s="1975"/>
    </row>
    <row r="30" spans="1:27" x14ac:dyDescent="0.35">
      <c r="A30" s="1997">
        <v>1</v>
      </c>
      <c r="B30" s="2008" t="s">
        <v>555</v>
      </c>
      <c r="C30" s="1995">
        <v>320000</v>
      </c>
      <c r="D30" s="1995">
        <v>320000</v>
      </c>
      <c r="E30" s="2018"/>
      <c r="F30" s="2018"/>
      <c r="G30" s="2018"/>
      <c r="H30" s="1979"/>
      <c r="I30" s="1975"/>
      <c r="J30" s="1975"/>
      <c r="K30" s="1975"/>
      <c r="L30" s="1975"/>
      <c r="M30" s="1975"/>
      <c r="N30" s="1975"/>
      <c r="O30" s="1975"/>
      <c r="P30" s="1975"/>
      <c r="Q30" s="1975"/>
      <c r="R30" s="1975"/>
      <c r="S30" s="1975"/>
      <c r="T30" s="1975"/>
      <c r="U30" s="1975"/>
      <c r="V30" s="1975"/>
      <c r="W30" s="1975"/>
      <c r="X30" s="1975"/>
      <c r="Y30" s="1975"/>
      <c r="Z30" s="1975"/>
      <c r="AA30" s="1975"/>
    </row>
    <row r="31" spans="1:27" x14ac:dyDescent="0.35">
      <c r="A31" s="2015">
        <v>53208010100000</v>
      </c>
      <c r="B31" s="2016" t="s">
        <v>127</v>
      </c>
      <c r="C31" s="2017">
        <v>14213906</v>
      </c>
      <c r="D31" s="2017">
        <f>D32*$D$2</f>
        <v>14654537.085999999</v>
      </c>
      <c r="E31" s="1979"/>
      <c r="F31" s="1979"/>
      <c r="G31" s="1979"/>
      <c r="H31" s="1979"/>
      <c r="I31" s="1975"/>
      <c r="J31" s="1975"/>
      <c r="K31" s="1975"/>
      <c r="L31" s="1975"/>
      <c r="M31" s="1975"/>
      <c r="N31" s="1975"/>
      <c r="O31" s="1975"/>
      <c r="P31" s="1975"/>
      <c r="Q31" s="1975"/>
      <c r="R31" s="1975"/>
      <c r="S31" s="1975"/>
      <c r="T31" s="1975"/>
      <c r="U31" s="1975"/>
      <c r="V31" s="1975"/>
      <c r="W31" s="1975"/>
      <c r="X31" s="1975"/>
      <c r="Y31" s="1975"/>
      <c r="Z31" s="1975"/>
      <c r="AA31" s="1975"/>
    </row>
    <row r="32" spans="1:27" x14ac:dyDescent="0.35">
      <c r="A32" s="2019"/>
      <c r="B32" s="2020"/>
      <c r="C32" s="2009">
        <v>14213906</v>
      </c>
      <c r="D32" s="1999">
        <v>14213906</v>
      </c>
      <c r="E32" s="1979"/>
      <c r="F32" s="1979"/>
      <c r="G32" s="1979"/>
      <c r="H32" s="1979"/>
      <c r="I32" s="1975"/>
      <c r="J32" s="1975"/>
      <c r="K32" s="1975"/>
      <c r="L32" s="1975"/>
      <c r="M32" s="1975"/>
      <c r="N32" s="1975"/>
      <c r="O32" s="1975"/>
      <c r="P32" s="1975"/>
      <c r="Q32" s="1975"/>
      <c r="R32" s="1975"/>
      <c r="S32" s="1975"/>
      <c r="T32" s="1975"/>
      <c r="U32" s="1975"/>
      <c r="V32" s="1975"/>
      <c r="W32" s="1975"/>
      <c r="X32" s="1975"/>
      <c r="Y32" s="1975"/>
      <c r="Z32" s="1975"/>
      <c r="AA32" s="1975"/>
    </row>
    <row r="33" spans="1:27" x14ac:dyDescent="0.35">
      <c r="A33" s="2015">
        <v>53204010000000</v>
      </c>
      <c r="B33" s="2016" t="s">
        <v>144</v>
      </c>
      <c r="C33" s="2021">
        <f>SUM(C34:C34)</f>
        <v>436000</v>
      </c>
      <c r="D33" s="2021">
        <f>SUM(D34:D34)*$D$2</f>
        <v>449515.99999999994</v>
      </c>
      <c r="E33" s="2022"/>
      <c r="F33" s="1975"/>
      <c r="G33" s="1975"/>
      <c r="H33" s="1975"/>
      <c r="I33" s="1975"/>
      <c r="J33" s="1975"/>
      <c r="K33" s="1975"/>
      <c r="L33" s="1975"/>
      <c r="M33" s="1975"/>
      <c r="N33" s="1975"/>
      <c r="O33" s="1975"/>
      <c r="P33" s="1975"/>
      <c r="Q33" s="1975"/>
      <c r="R33" s="1975"/>
      <c r="S33" s="1975"/>
      <c r="T33" s="1975"/>
      <c r="U33" s="1975"/>
      <c r="V33" s="1975"/>
      <c r="W33" s="1975"/>
      <c r="X33" s="1975"/>
      <c r="Y33" s="1975"/>
      <c r="Z33" s="1975"/>
      <c r="AA33" s="1975"/>
    </row>
    <row r="34" spans="1:27" x14ac:dyDescent="0.35">
      <c r="A34" s="2023">
        <v>1</v>
      </c>
      <c r="B34" s="2024" t="s">
        <v>556</v>
      </c>
      <c r="C34" s="2009">
        <v>436000</v>
      </c>
      <c r="D34" s="2009">
        <v>436000</v>
      </c>
      <c r="E34" s="1975"/>
      <c r="F34" s="1975"/>
      <c r="G34" s="1975"/>
      <c r="H34" s="1975"/>
      <c r="I34" s="1975"/>
      <c r="J34" s="1975"/>
      <c r="K34" s="1975"/>
      <c r="L34" s="1975"/>
    </row>
    <row r="35" spans="1:27" x14ac:dyDescent="0.35">
      <c r="A35" s="2015">
        <v>53214010000000</v>
      </c>
      <c r="B35" s="2016" t="s">
        <v>149</v>
      </c>
      <c r="C35" s="2017">
        <f>SUM(C36:C39)</f>
        <v>1080000</v>
      </c>
      <c r="D35" s="2017">
        <f>C35*$D$2</f>
        <v>1113480</v>
      </c>
      <c r="E35" s="1991"/>
      <c r="F35" s="1975"/>
      <c r="G35" s="1975"/>
      <c r="H35" s="1975"/>
      <c r="I35" s="1975"/>
      <c r="J35" s="1975"/>
      <c r="K35" s="1975"/>
      <c r="L35" s="1975"/>
    </row>
    <row r="36" spans="1:27" x14ac:dyDescent="0.35">
      <c r="A36" s="2023">
        <v>2</v>
      </c>
      <c r="B36" s="2024" t="s">
        <v>557</v>
      </c>
      <c r="C36" s="2009">
        <v>300000</v>
      </c>
      <c r="D36" s="1996">
        <v>600000</v>
      </c>
      <c r="E36" s="3210" t="s">
        <v>558</v>
      </c>
      <c r="F36" s="3211"/>
      <c r="G36" s="3212"/>
      <c r="H36" s="1975"/>
      <c r="I36" s="1975"/>
      <c r="J36" s="1975"/>
      <c r="K36" s="1975"/>
      <c r="L36" s="1975"/>
    </row>
    <row r="37" spans="1:27" x14ac:dyDescent="0.35">
      <c r="A37" s="2005">
        <v>6</v>
      </c>
      <c r="B37" s="2024" t="s">
        <v>559</v>
      </c>
      <c r="C37" s="1995">
        <v>300000</v>
      </c>
      <c r="D37" s="1999">
        <f>C37*A37</f>
        <v>1800000</v>
      </c>
      <c r="E37" s="1979" t="s">
        <v>554</v>
      </c>
      <c r="F37" s="2025"/>
      <c r="G37" s="2025"/>
      <c r="H37" s="1975"/>
      <c r="I37" s="1975"/>
      <c r="J37" s="1975"/>
      <c r="K37" s="1975"/>
      <c r="L37" s="1975"/>
    </row>
    <row r="38" spans="1:27" x14ac:dyDescent="0.35">
      <c r="A38" s="2012">
        <v>3</v>
      </c>
      <c r="B38" s="2024" t="s">
        <v>560</v>
      </c>
      <c r="C38" s="2009">
        <v>400000</v>
      </c>
      <c r="D38" s="1999">
        <f>C38*A38</f>
        <v>1200000</v>
      </c>
      <c r="E38" s="1979" t="s">
        <v>554</v>
      </c>
      <c r="F38" s="2025"/>
      <c r="G38" s="2025"/>
      <c r="H38" s="1975"/>
      <c r="I38" s="1975"/>
      <c r="J38" s="1975"/>
      <c r="K38" s="1975"/>
      <c r="L38" s="1975"/>
    </row>
    <row r="39" spans="1:27" x14ac:dyDescent="0.35">
      <c r="A39" s="1997">
        <v>10</v>
      </c>
      <c r="B39" s="2008" t="s">
        <v>561</v>
      </c>
      <c r="C39" s="2009">
        <v>80000</v>
      </c>
      <c r="D39" s="1999">
        <f>C39*A39</f>
        <v>800000</v>
      </c>
      <c r="E39" s="1979" t="s">
        <v>554</v>
      </c>
      <c r="F39" s="2025"/>
      <c r="G39" s="2025"/>
      <c r="H39" s="1975"/>
      <c r="I39" s="1975"/>
      <c r="J39" s="1975"/>
      <c r="K39" s="1975"/>
      <c r="L39" s="1975"/>
    </row>
    <row r="40" spans="1:27" x14ac:dyDescent="0.35">
      <c r="A40" s="2026"/>
      <c r="B40" s="2024"/>
      <c r="C40" s="2009"/>
      <c r="D40" s="1999"/>
      <c r="E40" s="1979"/>
      <c r="F40" s="2025"/>
      <c r="G40" s="2025"/>
      <c r="H40" s="1975"/>
      <c r="I40" s="1975"/>
      <c r="J40" s="1975"/>
      <c r="K40" s="1975"/>
      <c r="L40" s="1975"/>
    </row>
    <row r="41" spans="1:27" x14ac:dyDescent="0.35">
      <c r="A41" s="2015">
        <v>53206060000000</v>
      </c>
      <c r="B41" s="2016" t="s">
        <v>166</v>
      </c>
      <c r="C41" s="2017">
        <f>SUM(C42:C42)</f>
        <v>1320000</v>
      </c>
      <c r="D41" s="2017">
        <f>SUM(D42:D42)*$D$2</f>
        <v>1360920</v>
      </c>
      <c r="E41" s="1991"/>
      <c r="F41" s="1975"/>
      <c r="G41" s="1975"/>
      <c r="H41" s="1975"/>
      <c r="I41" s="1975"/>
      <c r="J41" s="1975"/>
      <c r="K41" s="1975"/>
      <c r="L41" s="1975"/>
    </row>
    <row r="42" spans="1:27" x14ac:dyDescent="0.35">
      <c r="A42" s="1997">
        <v>12</v>
      </c>
      <c r="B42" s="2027" t="s">
        <v>562</v>
      </c>
      <c r="C42" s="2009">
        <v>1320000</v>
      </c>
      <c r="D42" s="2009">
        <v>1320000</v>
      </c>
      <c r="E42" s="1975"/>
      <c r="F42" s="1975"/>
      <c r="G42" s="1975"/>
      <c r="H42" s="1975"/>
      <c r="I42" s="1975"/>
      <c r="J42" s="1975"/>
      <c r="K42" s="1975"/>
      <c r="L42" s="1975"/>
    </row>
    <row r="43" spans="1:27" x14ac:dyDescent="0.35">
      <c r="A43" s="2028">
        <v>53206990000000</v>
      </c>
      <c r="B43" s="2029" t="s">
        <v>168</v>
      </c>
      <c r="C43" s="2030">
        <v>1200000</v>
      </c>
      <c r="D43" s="2017">
        <f>D44*$D$2</f>
        <v>1237200</v>
      </c>
      <c r="E43" s="1975"/>
      <c r="F43" s="1975"/>
      <c r="G43" s="1975"/>
      <c r="H43" s="1975"/>
      <c r="I43" s="1975"/>
      <c r="J43" s="1975"/>
      <c r="K43" s="1975"/>
      <c r="L43" s="1975"/>
    </row>
    <row r="44" spans="1:27" x14ac:dyDescent="0.35">
      <c r="A44" s="2031">
        <v>3</v>
      </c>
      <c r="B44" s="2032" t="s">
        <v>563</v>
      </c>
      <c r="C44" s="2009">
        <v>400000</v>
      </c>
      <c r="D44" s="2009">
        <f>C44*A44</f>
        <v>1200000</v>
      </c>
      <c r="E44" s="1975"/>
      <c r="F44" s="1975"/>
      <c r="G44" s="1975"/>
      <c r="H44" s="1975"/>
      <c r="I44" s="1975"/>
      <c r="J44" s="1975"/>
      <c r="K44" s="1975"/>
      <c r="L44" s="1975"/>
    </row>
    <row r="45" spans="1:27" x14ac:dyDescent="0.35">
      <c r="A45" s="2015">
        <v>53212060000000</v>
      </c>
      <c r="B45" s="2016" t="s">
        <v>170</v>
      </c>
      <c r="C45" s="2017">
        <v>800000</v>
      </c>
      <c r="D45" s="2017">
        <f>D46*$D$2</f>
        <v>824799.99999999988</v>
      </c>
      <c r="E45" s="1991"/>
      <c r="F45" s="2033"/>
      <c r="G45" s="2033"/>
      <c r="H45" s="1975"/>
      <c r="I45" s="1975"/>
      <c r="J45" s="1975"/>
      <c r="K45" s="1975"/>
      <c r="L45" s="1975"/>
    </row>
    <row r="46" spans="1:27" x14ac:dyDescent="0.35">
      <c r="A46" s="2034"/>
      <c r="B46" s="2035"/>
      <c r="C46" s="1995">
        <v>800000</v>
      </c>
      <c r="D46" s="1995">
        <v>800000</v>
      </c>
      <c r="E46" s="1991"/>
      <c r="F46" s="1975"/>
      <c r="G46" s="1975"/>
      <c r="H46" s="1975"/>
      <c r="I46" s="1975"/>
      <c r="J46" s="1975"/>
      <c r="K46" s="1975"/>
      <c r="L46" s="1975"/>
    </row>
    <row r="47" spans="1:27" x14ac:dyDescent="0.35">
      <c r="A47" s="2015">
        <v>53204999000000</v>
      </c>
      <c r="B47" s="2016" t="s">
        <v>173</v>
      </c>
      <c r="C47" s="2017">
        <v>1800000</v>
      </c>
      <c r="D47" s="2017">
        <f>D48*$D$2</f>
        <v>1855799.9999999998</v>
      </c>
      <c r="E47" s="1991"/>
      <c r="F47" s="1975"/>
      <c r="G47" s="1975"/>
      <c r="H47" s="1975"/>
      <c r="I47" s="1975"/>
      <c r="J47" s="1975"/>
      <c r="K47" s="1975"/>
      <c r="L47" s="1975"/>
    </row>
    <row r="48" spans="1:27" x14ac:dyDescent="0.35">
      <c r="A48" s="2018"/>
      <c r="B48" s="2035" t="s">
        <v>564</v>
      </c>
      <c r="C48" s="1995">
        <v>1800000</v>
      </c>
      <c r="D48" s="1995">
        <v>1800000</v>
      </c>
      <c r="E48" s="1991"/>
      <c r="F48" s="1975"/>
      <c r="G48" s="1975"/>
      <c r="H48" s="1975"/>
      <c r="I48" s="1975"/>
      <c r="J48" s="1975"/>
      <c r="K48" s="1975"/>
      <c r="L48" s="1975"/>
    </row>
    <row r="50" spans="1:12" x14ac:dyDescent="0.35">
      <c r="A50" s="1979"/>
      <c r="B50" s="1979"/>
      <c r="C50" s="1979"/>
      <c r="D50" s="1975"/>
      <c r="E50" s="1975"/>
      <c r="F50" s="1975"/>
      <c r="G50" s="1975"/>
      <c r="H50" s="1975"/>
      <c r="I50" s="1975"/>
      <c r="J50" s="1975"/>
      <c r="K50" s="1975"/>
      <c r="L50" s="1975"/>
    </row>
    <row r="51" spans="1:12" ht="15" thickBot="1" x14ac:dyDescent="0.4">
      <c r="A51" s="1975"/>
      <c r="B51" s="1975"/>
      <c r="C51" s="2036"/>
      <c r="D51" s="1975"/>
      <c r="E51" s="1975"/>
      <c r="F51" s="1975"/>
      <c r="G51" s="1975"/>
      <c r="H51" s="1975"/>
      <c r="I51" s="1975"/>
      <c r="J51" s="1975"/>
      <c r="K51" s="1975"/>
      <c r="L51" s="1975"/>
    </row>
    <row r="52" spans="1:12" ht="15" thickBot="1" x14ac:dyDescent="0.4">
      <c r="A52" s="2037" t="s">
        <v>565</v>
      </c>
      <c r="B52" s="1975"/>
      <c r="C52" s="2036"/>
      <c r="D52" s="1975"/>
      <c r="E52" s="1975"/>
      <c r="F52" s="1975"/>
      <c r="G52" s="1975"/>
      <c r="H52" s="1975"/>
      <c r="I52" s="1975"/>
      <c r="J52" s="1975"/>
      <c r="K52" s="1975"/>
      <c r="L52" s="1975"/>
    </row>
    <row r="53" spans="1:12" x14ac:dyDescent="0.35">
      <c r="A53" s="1975"/>
      <c r="B53" s="1975"/>
      <c r="C53" s="2036"/>
      <c r="D53" s="1975"/>
      <c r="E53" s="1979"/>
      <c r="F53" s="1979"/>
      <c r="G53" s="1979"/>
      <c r="H53" s="1979"/>
      <c r="I53" s="1979"/>
      <c r="J53" s="1979"/>
      <c r="K53" s="1975"/>
      <c r="L53" s="1975"/>
    </row>
    <row r="54" spans="1:12" x14ac:dyDescent="0.35">
      <c r="A54" s="2015">
        <v>53204100100001</v>
      </c>
      <c r="B54" s="2016" t="s">
        <v>119</v>
      </c>
      <c r="C54" s="1989">
        <f>C55+C44+C57+C58+C59</f>
        <v>29587260</v>
      </c>
      <c r="D54" s="2038"/>
      <c r="E54" s="1979" t="s">
        <v>566</v>
      </c>
      <c r="F54" s="1979"/>
      <c r="G54" s="1979"/>
      <c r="H54" s="1979"/>
      <c r="I54" s="1979"/>
      <c r="J54" s="1979"/>
      <c r="K54" s="1975"/>
      <c r="L54" s="1975"/>
    </row>
    <row r="55" spans="1:12" x14ac:dyDescent="0.35">
      <c r="A55" s="2023">
        <v>1</v>
      </c>
      <c r="B55" s="2032" t="s">
        <v>567</v>
      </c>
      <c r="C55" s="2009">
        <v>24187260</v>
      </c>
      <c r="D55" s="2039"/>
      <c r="E55" s="1981"/>
      <c r="F55" s="1979"/>
      <c r="G55" s="1979"/>
      <c r="H55" s="1979"/>
      <c r="I55" s="1979"/>
      <c r="J55" s="1979"/>
      <c r="K55" s="1975"/>
      <c r="L55" s="1975"/>
    </row>
    <row r="56" spans="1:12" x14ac:dyDescent="0.35">
      <c r="D56" s="2040"/>
      <c r="E56" s="1979" t="s">
        <v>568</v>
      </c>
      <c r="F56" s="157"/>
      <c r="G56" s="157"/>
      <c r="H56" s="157"/>
      <c r="I56" s="157"/>
      <c r="J56" s="157"/>
    </row>
    <row r="57" spans="1:12" x14ac:dyDescent="0.35">
      <c r="A57" s="2040"/>
      <c r="B57" s="2032" t="s">
        <v>569</v>
      </c>
      <c r="C57" s="2009">
        <v>5000000</v>
      </c>
      <c r="D57" s="2040"/>
      <c r="E57" s="1979" t="s">
        <v>570</v>
      </c>
      <c r="F57" s="157"/>
      <c r="G57" s="157"/>
      <c r="H57" s="157"/>
      <c r="I57" s="157"/>
      <c r="J57" s="157"/>
    </row>
  </sheetData>
  <mergeCells count="1">
    <mergeCell ref="E36:G3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97"/>
  <sheetViews>
    <sheetView topLeftCell="B70" workbookViewId="0">
      <selection activeCell="R95" sqref="R95"/>
    </sheetView>
  </sheetViews>
  <sheetFormatPr baseColWidth="10" defaultRowHeight="14.5" x14ac:dyDescent="0.35"/>
  <cols>
    <col min="1" max="1" width="25.453125" style="1975" customWidth="1"/>
    <col min="2" max="2" width="43.453125" style="1975" customWidth="1"/>
    <col min="3" max="3" width="18.453125" style="1975" customWidth="1"/>
    <col min="4" max="4" width="20.453125" style="1975" customWidth="1"/>
  </cols>
  <sheetData>
    <row r="1" spans="1:6" x14ac:dyDescent="0.35">
      <c r="A1" s="1978"/>
      <c r="C1" s="1979"/>
    </row>
    <row r="2" spans="1:6" x14ac:dyDescent="0.35">
      <c r="A2" s="2524" t="s">
        <v>531</v>
      </c>
      <c r="B2" s="2525" t="s">
        <v>113</v>
      </c>
      <c r="C2" s="2526" t="s">
        <v>581</v>
      </c>
      <c r="D2" s="2527" t="s">
        <v>858</v>
      </c>
    </row>
    <row r="3" spans="1:6" x14ac:dyDescent="0.35">
      <c r="A3" s="2528">
        <v>53201010100000</v>
      </c>
      <c r="B3" s="2385" t="s">
        <v>534</v>
      </c>
      <c r="C3" s="2529">
        <v>0</v>
      </c>
      <c r="D3" s="2399">
        <v>0</v>
      </c>
    </row>
    <row r="4" spans="1:6" x14ac:dyDescent="0.35">
      <c r="A4" s="2530"/>
      <c r="B4" s="2531"/>
      <c r="C4" s="2138"/>
    </row>
    <row r="5" spans="1:6" x14ac:dyDescent="0.35">
      <c r="A5" s="2530"/>
      <c r="B5" s="2531"/>
      <c r="C5" s="2138"/>
    </row>
    <row r="6" spans="1:6" x14ac:dyDescent="0.35">
      <c r="A6" s="2532">
        <v>53202010100000</v>
      </c>
      <c r="B6" s="2300" t="s">
        <v>115</v>
      </c>
      <c r="C6" s="2294">
        <f>SUM(C7:C17)</f>
        <v>37800</v>
      </c>
      <c r="D6" s="2585">
        <f>SUM(D7:D15)</f>
        <v>836000</v>
      </c>
    </row>
    <row r="7" spans="1:6" x14ac:dyDescent="0.35">
      <c r="A7" s="2530">
        <v>20</v>
      </c>
      <c r="B7" s="2533" t="s">
        <v>1181</v>
      </c>
      <c r="C7" s="2128">
        <v>15000</v>
      </c>
      <c r="D7" s="2534">
        <f>C7*20</f>
        <v>300000</v>
      </c>
      <c r="F7" t="s">
        <v>1182</v>
      </c>
    </row>
    <row r="8" spans="1:6" x14ac:dyDescent="0.35">
      <c r="A8" s="2530">
        <v>20</v>
      </c>
      <c r="B8" s="2533" t="s">
        <v>1183</v>
      </c>
      <c r="C8" s="2128">
        <v>18800</v>
      </c>
      <c r="D8" s="2534">
        <f>C8*20</f>
        <v>376000</v>
      </c>
      <c r="F8" t="s">
        <v>1182</v>
      </c>
    </row>
    <row r="9" spans="1:6" x14ac:dyDescent="0.35">
      <c r="A9" s="2530"/>
      <c r="B9" s="2533" t="s">
        <v>1184</v>
      </c>
      <c r="C9" s="2128">
        <v>0</v>
      </c>
    </row>
    <row r="10" spans="1:6" x14ac:dyDescent="0.35">
      <c r="A10" s="2530"/>
      <c r="B10" s="2533" t="s">
        <v>1185</v>
      </c>
      <c r="C10" s="2128">
        <v>0</v>
      </c>
    </row>
    <row r="11" spans="1:6" x14ac:dyDescent="0.35">
      <c r="A11" s="2530"/>
      <c r="B11" s="2533" t="s">
        <v>1186</v>
      </c>
      <c r="C11" s="2128">
        <v>0</v>
      </c>
    </row>
    <row r="12" spans="1:6" x14ac:dyDescent="0.35">
      <c r="A12" s="2530"/>
      <c r="B12" s="2533" t="s">
        <v>1187</v>
      </c>
      <c r="C12" s="2128">
        <v>0</v>
      </c>
    </row>
    <row r="13" spans="1:6" x14ac:dyDescent="0.35">
      <c r="A13" s="2530"/>
      <c r="B13" s="2533" t="s">
        <v>1188</v>
      </c>
      <c r="C13" s="2128">
        <v>0</v>
      </c>
    </row>
    <row r="14" spans="1:6" x14ac:dyDescent="0.35">
      <c r="A14" s="2530">
        <v>40</v>
      </c>
      <c r="B14" s="2533" t="s">
        <v>1189</v>
      </c>
      <c r="C14" s="2128">
        <v>4000</v>
      </c>
      <c r="D14" s="2535">
        <v>160000</v>
      </c>
      <c r="F14" t="s">
        <v>1190</v>
      </c>
    </row>
    <row r="15" spans="1:6" x14ac:dyDescent="0.35">
      <c r="A15" s="2530"/>
      <c r="B15" s="2533" t="s">
        <v>1191</v>
      </c>
      <c r="C15" s="2128">
        <v>0</v>
      </c>
    </row>
    <row r="16" spans="1:6" x14ac:dyDescent="0.35">
      <c r="A16" s="2530"/>
      <c r="B16" s="2533" t="s">
        <v>1192</v>
      </c>
      <c r="C16" s="2128">
        <v>0</v>
      </c>
    </row>
    <row r="17" spans="1:6" x14ac:dyDescent="0.35">
      <c r="A17" s="2530"/>
      <c r="B17" s="2533" t="s">
        <v>1193</v>
      </c>
      <c r="C17" s="2128">
        <v>0</v>
      </c>
    </row>
    <row r="18" spans="1:6" x14ac:dyDescent="0.35">
      <c r="A18" s="2536">
        <v>53203010100000</v>
      </c>
      <c r="B18" s="2397" t="s">
        <v>116</v>
      </c>
      <c r="C18" s="2537">
        <f>SUM(C19)</f>
        <v>190000</v>
      </c>
      <c r="D18" s="2586">
        <f>C18*1.05</f>
        <v>199500</v>
      </c>
    </row>
    <row r="19" spans="1:6" x14ac:dyDescent="0.35">
      <c r="A19" s="2539"/>
      <c r="B19" s="2540" t="s">
        <v>1194</v>
      </c>
      <c r="C19" s="2541">
        <v>190000</v>
      </c>
      <c r="D19" s="2542"/>
    </row>
    <row r="20" spans="1:6" x14ac:dyDescent="0.35">
      <c r="A20" s="2532">
        <v>53203030000000</v>
      </c>
      <c r="B20" s="2543" t="s">
        <v>117</v>
      </c>
      <c r="C20" s="2529"/>
      <c r="D20" s="2542" t="s">
        <v>594</v>
      </c>
    </row>
    <row r="21" spans="1:6" ht="15" thickBot="1" x14ac:dyDescent="0.4">
      <c r="A21" s="2544">
        <v>53204030000000</v>
      </c>
      <c r="B21" s="2300" t="s">
        <v>118</v>
      </c>
      <c r="C21" s="2529">
        <v>0</v>
      </c>
      <c r="D21" s="2545"/>
    </row>
    <row r="22" spans="1:6" ht="15" thickBot="1" x14ac:dyDescent="0.4">
      <c r="A22" s="2546">
        <v>53211020000000</v>
      </c>
      <c r="B22" s="2547" t="s">
        <v>137</v>
      </c>
      <c r="C22" s="2548"/>
      <c r="D22" s="2426">
        <v>0</v>
      </c>
    </row>
    <row r="23" spans="1:6" x14ac:dyDescent="0.35">
      <c r="A23" s="2126"/>
      <c r="B23" s="2127"/>
      <c r="C23" s="2128">
        <v>0</v>
      </c>
      <c r="D23" s="2076"/>
    </row>
    <row r="24" spans="1:6" x14ac:dyDescent="0.35">
      <c r="A24" s="2126"/>
      <c r="B24" s="2137"/>
      <c r="C24" s="2128">
        <v>0</v>
      </c>
      <c r="D24" s="2076"/>
    </row>
    <row r="25" spans="1:6" x14ac:dyDescent="0.35">
      <c r="A25" s="2532">
        <v>53204100100001</v>
      </c>
      <c r="B25" s="2543" t="s">
        <v>119</v>
      </c>
      <c r="C25" s="2529">
        <f>SUM(C26:C27)</f>
        <v>1370000</v>
      </c>
      <c r="D25" s="2585">
        <f>+C25*1.05</f>
        <v>1438500</v>
      </c>
    </row>
    <row r="26" spans="1:6" x14ac:dyDescent="0.35">
      <c r="A26" s="2530">
        <v>1</v>
      </c>
      <c r="B26" s="2549" t="s">
        <v>910</v>
      </c>
      <c r="C26" s="2128">
        <v>750000</v>
      </c>
      <c r="D26" s="2070"/>
      <c r="F26" t="s">
        <v>1195</v>
      </c>
    </row>
    <row r="27" spans="1:6" x14ac:dyDescent="0.35">
      <c r="A27" s="2530">
        <v>1</v>
      </c>
      <c r="B27" s="2549" t="s">
        <v>600</v>
      </c>
      <c r="C27" s="2128">
        <v>620000</v>
      </c>
    </row>
    <row r="28" spans="1:6" x14ac:dyDescent="0.35">
      <c r="A28" s="2532">
        <v>53204130100000</v>
      </c>
      <c r="B28" s="2300" t="s">
        <v>120</v>
      </c>
      <c r="C28" s="2399">
        <f>SUM(C29:C32)</f>
        <v>59980</v>
      </c>
      <c r="D28" s="2585">
        <f>C28*1.05</f>
        <v>62979</v>
      </c>
    </row>
    <row r="29" spans="1:6" x14ac:dyDescent="0.35">
      <c r="A29" s="2530">
        <v>1</v>
      </c>
      <c r="B29" s="2533" t="s">
        <v>743</v>
      </c>
      <c r="C29" s="2138">
        <v>39990</v>
      </c>
      <c r="F29" t="s">
        <v>1196</v>
      </c>
    </row>
    <row r="30" spans="1:6" x14ac:dyDescent="0.35">
      <c r="A30" s="2530">
        <v>1</v>
      </c>
      <c r="B30" s="2533" t="s">
        <v>1197</v>
      </c>
      <c r="C30" s="2138">
        <v>19990</v>
      </c>
    </row>
    <row r="31" spans="1:6" x14ac:dyDescent="0.35">
      <c r="A31" s="2530">
        <v>0</v>
      </c>
      <c r="B31" s="2533" t="s">
        <v>1198</v>
      </c>
      <c r="C31" s="2138">
        <v>0</v>
      </c>
    </row>
    <row r="32" spans="1:6" x14ac:dyDescent="0.35">
      <c r="A32" s="2133"/>
      <c r="B32" s="2550"/>
      <c r="C32" s="2128"/>
    </row>
    <row r="33" spans="1:6" x14ac:dyDescent="0.35">
      <c r="A33" s="2551">
        <v>53214020000000</v>
      </c>
      <c r="B33" s="2552" t="s">
        <v>132</v>
      </c>
      <c r="C33" s="2399">
        <f>SUM(C34:C36)</f>
        <v>0</v>
      </c>
      <c r="D33" s="2399">
        <f>C33*1.05</f>
        <v>0</v>
      </c>
    </row>
    <row r="34" spans="1:6" x14ac:dyDescent="0.35">
      <c r="A34" s="2391"/>
      <c r="B34" s="2553"/>
      <c r="C34" s="2553"/>
      <c r="D34" s="2003"/>
    </row>
    <row r="35" spans="1:6" x14ac:dyDescent="0.35">
      <c r="A35" s="2391"/>
      <c r="B35" s="2553"/>
      <c r="C35" s="2553"/>
      <c r="D35" s="2003"/>
    </row>
    <row r="36" spans="1:6" x14ac:dyDescent="0.35">
      <c r="A36" s="2554"/>
      <c r="B36" s="2555"/>
      <c r="C36" s="2138"/>
    </row>
    <row r="37" spans="1:6" x14ac:dyDescent="0.35">
      <c r="A37" s="2556">
        <v>53202020100000</v>
      </c>
      <c r="B37" s="2557" t="s">
        <v>611</v>
      </c>
      <c r="C37" s="2558">
        <f>SUM(C38:C44)</f>
        <v>400000</v>
      </c>
      <c r="D37" s="2585">
        <f>C37*1.05</f>
        <v>420000</v>
      </c>
    </row>
    <row r="38" spans="1:6" x14ac:dyDescent="0.35">
      <c r="A38" s="2139">
        <v>1</v>
      </c>
      <c r="B38" s="2140" t="s">
        <v>612</v>
      </c>
      <c r="C38" s="2128">
        <v>50000</v>
      </c>
      <c r="F38" t="s">
        <v>1199</v>
      </c>
    </row>
    <row r="39" spans="1:6" x14ac:dyDescent="0.35">
      <c r="A39" s="2391">
        <v>3</v>
      </c>
      <c r="B39" s="2140" t="s">
        <v>1200</v>
      </c>
      <c r="C39" s="2128">
        <f>3*14000</f>
        <v>42000</v>
      </c>
    </row>
    <row r="40" spans="1:6" x14ac:dyDescent="0.35">
      <c r="A40" s="2391">
        <v>5</v>
      </c>
      <c r="B40" s="2140" t="s">
        <v>1201</v>
      </c>
      <c r="C40" s="2128">
        <f>5*14000</f>
        <v>70000</v>
      </c>
    </row>
    <row r="41" spans="1:6" x14ac:dyDescent="0.35">
      <c r="A41" s="2391">
        <v>3</v>
      </c>
      <c r="B41" s="2140" t="s">
        <v>1202</v>
      </c>
      <c r="C41" s="2128">
        <v>33000</v>
      </c>
    </row>
    <row r="42" spans="1:6" x14ac:dyDescent="0.35">
      <c r="A42" s="2391">
        <v>5</v>
      </c>
      <c r="B42" s="2140" t="s">
        <v>1203</v>
      </c>
      <c r="C42" s="2128">
        <v>70000</v>
      </c>
    </row>
    <row r="43" spans="1:6" x14ac:dyDescent="0.35">
      <c r="A43" s="2391">
        <v>5</v>
      </c>
      <c r="B43" s="2140" t="s">
        <v>1204</v>
      </c>
      <c r="C43" s="2128">
        <v>80000</v>
      </c>
    </row>
    <row r="44" spans="1:6" x14ac:dyDescent="0.35">
      <c r="A44" s="2391">
        <v>5</v>
      </c>
      <c r="B44" s="2140" t="s">
        <v>1205</v>
      </c>
      <c r="C44" s="2128">
        <v>55000</v>
      </c>
    </row>
    <row r="45" spans="1:6" x14ac:dyDescent="0.35">
      <c r="A45" s="2559">
        <v>53202030000000</v>
      </c>
      <c r="B45" s="2305" t="s">
        <v>136</v>
      </c>
      <c r="C45" s="2560">
        <f>SUM(C46:C47)</f>
        <v>390000</v>
      </c>
      <c r="D45" s="2585">
        <f>C45*1.05</f>
        <v>409500</v>
      </c>
    </row>
    <row r="46" spans="1:6" x14ac:dyDescent="0.35">
      <c r="A46" s="2561">
        <v>5</v>
      </c>
      <c r="B46" s="2140" t="s">
        <v>1206</v>
      </c>
      <c r="C46" s="2128">
        <v>350000</v>
      </c>
      <c r="F46" t="s">
        <v>1207</v>
      </c>
    </row>
    <row r="47" spans="1:6" x14ac:dyDescent="0.35">
      <c r="A47" s="2561">
        <v>1</v>
      </c>
      <c r="B47" s="2140" t="s">
        <v>1208</v>
      </c>
      <c r="C47" s="2128">
        <v>40000</v>
      </c>
    </row>
    <row r="48" spans="1:6" x14ac:dyDescent="0.35">
      <c r="A48" s="2559">
        <v>53204010000000</v>
      </c>
      <c r="B48" s="2562" t="s">
        <v>144</v>
      </c>
      <c r="C48" s="2563">
        <f>SUM(C49:C52)</f>
        <v>300000</v>
      </c>
      <c r="D48" s="2587">
        <f>C48*1.05</f>
        <v>315000</v>
      </c>
    </row>
    <row r="49" spans="1:6" x14ac:dyDescent="0.35">
      <c r="A49" s="2391"/>
      <c r="B49" s="2555" t="s">
        <v>922</v>
      </c>
      <c r="C49" s="2128">
        <v>200000</v>
      </c>
      <c r="F49" t="s">
        <v>1209</v>
      </c>
    </row>
    <row r="50" spans="1:6" x14ac:dyDescent="0.35">
      <c r="A50" s="2391"/>
      <c r="B50" s="2555" t="s">
        <v>1210</v>
      </c>
      <c r="C50" s="2128">
        <v>100000</v>
      </c>
      <c r="F50" t="s">
        <v>1211</v>
      </c>
    </row>
    <row r="51" spans="1:6" x14ac:dyDescent="0.35">
      <c r="A51" s="2391">
        <v>0</v>
      </c>
      <c r="B51" s="2555" t="s">
        <v>1212</v>
      </c>
      <c r="C51" s="2128">
        <v>0</v>
      </c>
    </row>
    <row r="52" spans="1:6" x14ac:dyDescent="0.35">
      <c r="A52" s="2391">
        <v>10</v>
      </c>
      <c r="B52" s="2555" t="s">
        <v>1213</v>
      </c>
      <c r="C52" s="2128">
        <v>0</v>
      </c>
    </row>
    <row r="53" spans="1:6" x14ac:dyDescent="0.35">
      <c r="A53" s="2559">
        <v>53204060000000</v>
      </c>
      <c r="B53" s="2562" t="s">
        <v>146</v>
      </c>
      <c r="C53" s="2560">
        <v>780000</v>
      </c>
      <c r="D53" s="2588">
        <f>C53*1.05</f>
        <v>819000</v>
      </c>
    </row>
    <row r="54" spans="1:6" x14ac:dyDescent="0.35">
      <c r="A54" s="2391">
        <v>1</v>
      </c>
      <c r="B54" s="2555" t="s">
        <v>623</v>
      </c>
      <c r="C54" s="2128">
        <v>780000</v>
      </c>
    </row>
    <row r="55" spans="1:6" x14ac:dyDescent="0.35">
      <c r="A55" s="2559">
        <v>53204070000000</v>
      </c>
      <c r="B55" s="2562" t="s">
        <v>147</v>
      </c>
      <c r="C55" s="2560">
        <v>1320000</v>
      </c>
      <c r="D55" s="2588">
        <f>C55*1.05</f>
        <v>1386000</v>
      </c>
    </row>
    <row r="56" spans="1:6" x14ac:dyDescent="0.35">
      <c r="A56" s="2564">
        <v>6</v>
      </c>
      <c r="B56" s="2565" t="s">
        <v>1214</v>
      </c>
      <c r="C56" s="2566">
        <f>220000*6</f>
        <v>1320000</v>
      </c>
    </row>
    <row r="57" spans="1:6" x14ac:dyDescent="0.35">
      <c r="A57" s="2559">
        <v>53204080000000</v>
      </c>
      <c r="B57" s="2562" t="s">
        <v>148</v>
      </c>
      <c r="C57" s="2560">
        <f>SUM(C58:C61)</f>
        <v>230000</v>
      </c>
      <c r="D57" s="2588">
        <f>C57*1.05</f>
        <v>241500</v>
      </c>
    </row>
    <row r="58" spans="1:6" x14ac:dyDescent="0.35">
      <c r="A58" s="2567"/>
      <c r="B58" s="2568" t="s">
        <v>1215</v>
      </c>
      <c r="C58" s="2138">
        <v>200000</v>
      </c>
      <c r="F58" t="s">
        <v>1216</v>
      </c>
    </row>
    <row r="59" spans="1:6" x14ac:dyDescent="0.35">
      <c r="A59" s="2139"/>
      <c r="B59" s="1975" t="s">
        <v>1217</v>
      </c>
      <c r="C59" s="2569">
        <v>30000</v>
      </c>
      <c r="F59" t="s">
        <v>1216</v>
      </c>
    </row>
    <row r="60" spans="1:6" x14ac:dyDescent="0.35">
      <c r="A60" s="2139"/>
      <c r="B60" s="2555"/>
      <c r="C60" s="2128"/>
    </row>
    <row r="61" spans="1:6" x14ac:dyDescent="0.35">
      <c r="A61" s="2139"/>
      <c r="B61" s="2555"/>
      <c r="C61" s="2128"/>
    </row>
    <row r="62" spans="1:6" x14ac:dyDescent="0.35">
      <c r="A62" s="2559">
        <v>53214010000000</v>
      </c>
      <c r="B62" s="2562" t="s">
        <v>149</v>
      </c>
      <c r="C62" s="2560"/>
    </row>
    <row r="63" spans="1:6" x14ac:dyDescent="0.35">
      <c r="A63" s="2570"/>
      <c r="B63" s="2533"/>
      <c r="C63" s="2128"/>
    </row>
    <row r="64" spans="1:6" x14ac:dyDescent="0.35">
      <c r="A64" s="2559"/>
      <c r="B64" s="2562" t="s">
        <v>150</v>
      </c>
      <c r="C64" s="2560">
        <f>SUM(C65:C67)</f>
        <v>0</v>
      </c>
      <c r="D64" s="2560">
        <f>C64*1.05</f>
        <v>0</v>
      </c>
    </row>
    <row r="65" spans="1:7" x14ac:dyDescent="0.35">
      <c r="A65" s="2099"/>
      <c r="B65" s="2571"/>
      <c r="C65" s="2138"/>
    </row>
    <row r="66" spans="1:7" x14ac:dyDescent="0.35">
      <c r="A66" s="2391"/>
      <c r="B66" s="2131"/>
      <c r="C66" s="2138"/>
    </row>
    <row r="67" spans="1:7" x14ac:dyDescent="0.35">
      <c r="A67" s="2391"/>
      <c r="B67" s="2555"/>
      <c r="C67" s="2128"/>
    </row>
    <row r="68" spans="1:7" x14ac:dyDescent="0.35">
      <c r="A68" s="2559">
        <v>53207020000000</v>
      </c>
      <c r="B68" s="2562" t="s">
        <v>155</v>
      </c>
      <c r="C68" s="2572">
        <v>0</v>
      </c>
    </row>
    <row r="69" spans="1:7" x14ac:dyDescent="0.35">
      <c r="A69" s="2559">
        <v>53206060000000</v>
      </c>
      <c r="B69" s="2562" t="s">
        <v>166</v>
      </c>
      <c r="C69" s="2560">
        <f>SUM(C70:C76)</f>
        <v>4480000</v>
      </c>
      <c r="D69" s="2588">
        <f>C69*1.05</f>
        <v>4704000</v>
      </c>
    </row>
    <row r="70" spans="1:7" x14ac:dyDescent="0.35">
      <c r="A70" s="2139">
        <v>1</v>
      </c>
      <c r="B70" s="2550" t="s">
        <v>1218</v>
      </c>
      <c r="C70" s="2128">
        <v>850000</v>
      </c>
      <c r="F70" t="s">
        <v>1219</v>
      </c>
    </row>
    <row r="71" spans="1:7" x14ac:dyDescent="0.35">
      <c r="A71" s="2139">
        <v>1</v>
      </c>
      <c r="B71" s="2550" t="s">
        <v>1220</v>
      </c>
      <c r="C71" s="2128">
        <v>120000</v>
      </c>
      <c r="F71" t="s">
        <v>1221</v>
      </c>
      <c r="G71" t="s">
        <v>1221</v>
      </c>
    </row>
    <row r="72" spans="1:7" x14ac:dyDescent="0.35">
      <c r="A72" s="2139">
        <v>1</v>
      </c>
      <c r="B72" s="2550" t="s">
        <v>1222</v>
      </c>
      <c r="C72" s="2128">
        <v>230000</v>
      </c>
      <c r="F72" t="s">
        <v>1221</v>
      </c>
      <c r="G72" t="s">
        <v>1221</v>
      </c>
    </row>
    <row r="73" spans="1:7" x14ac:dyDescent="0.35">
      <c r="A73" s="2139">
        <v>1</v>
      </c>
      <c r="B73" s="2573" t="s">
        <v>636</v>
      </c>
      <c r="C73" s="2128">
        <v>0</v>
      </c>
    </row>
    <row r="74" spans="1:7" x14ac:dyDescent="0.35">
      <c r="A74" s="2570">
        <v>3</v>
      </c>
      <c r="B74" s="2574" t="s">
        <v>1223</v>
      </c>
      <c r="C74" s="2541">
        <v>3000000</v>
      </c>
      <c r="F74" t="s">
        <v>1224</v>
      </c>
    </row>
    <row r="75" spans="1:7" x14ac:dyDescent="0.35">
      <c r="A75" s="2570">
        <v>5</v>
      </c>
      <c r="B75" s="2575" t="s">
        <v>637</v>
      </c>
      <c r="C75" s="2128">
        <v>100000</v>
      </c>
    </row>
    <row r="76" spans="1:7" x14ac:dyDescent="0.35">
      <c r="A76" s="2139">
        <v>1</v>
      </c>
      <c r="B76" s="2550" t="s">
        <v>1225</v>
      </c>
      <c r="C76" s="2128">
        <v>180000</v>
      </c>
      <c r="F76" t="s">
        <v>1224</v>
      </c>
    </row>
    <row r="77" spans="1:7" x14ac:dyDescent="0.35">
      <c r="A77" s="2559">
        <v>53206990000000</v>
      </c>
      <c r="B77" s="2562" t="s">
        <v>168</v>
      </c>
      <c r="C77" s="2560">
        <f>SUM(C78)</f>
        <v>1200000</v>
      </c>
      <c r="D77" s="2588">
        <f>C77*1.05</f>
        <v>1260000</v>
      </c>
    </row>
    <row r="78" spans="1:7" x14ac:dyDescent="0.35">
      <c r="A78" s="2139">
        <v>1</v>
      </c>
      <c r="B78" s="2555" t="s">
        <v>1242</v>
      </c>
      <c r="C78" s="2138">
        <v>1200000</v>
      </c>
    </row>
    <row r="79" spans="1:7" x14ac:dyDescent="0.35">
      <c r="A79" s="2559">
        <v>53208030000000</v>
      </c>
      <c r="B79" s="2562" t="s">
        <v>169</v>
      </c>
      <c r="C79" s="2560">
        <v>0</v>
      </c>
      <c r="D79" s="2560">
        <v>0</v>
      </c>
    </row>
    <row r="80" spans="1:7" x14ac:dyDescent="0.35">
      <c r="A80" s="2126"/>
      <c r="B80" s="2137"/>
      <c r="C80" s="2576"/>
      <c r="D80" s="2576"/>
    </row>
    <row r="81" spans="1:4" x14ac:dyDescent="0.35">
      <c r="A81" s="2559">
        <v>53212060000000</v>
      </c>
      <c r="B81" s="2562" t="s">
        <v>170</v>
      </c>
      <c r="C81" s="2560">
        <v>500000</v>
      </c>
      <c r="D81" s="2588">
        <f>C81*1.05</f>
        <v>525000</v>
      </c>
    </row>
    <row r="82" spans="1:4" x14ac:dyDescent="0.35">
      <c r="A82" s="2546"/>
      <c r="B82" s="2397"/>
      <c r="C82" s="2538"/>
      <c r="D82" s="2538"/>
    </row>
    <row r="83" spans="1:4" x14ac:dyDescent="0.35">
      <c r="A83" s="2559">
        <v>53204999000000</v>
      </c>
      <c r="B83" s="2562" t="s">
        <v>173</v>
      </c>
      <c r="C83" s="2560">
        <v>840000</v>
      </c>
      <c r="D83" s="2588">
        <f>C83*1.05</f>
        <v>882000</v>
      </c>
    </row>
    <row r="84" spans="1:4" x14ac:dyDescent="0.35">
      <c r="A84" s="2577"/>
      <c r="B84" s="2578" t="s">
        <v>1227</v>
      </c>
      <c r="C84" s="2579">
        <v>0</v>
      </c>
    </row>
    <row r="85" spans="1:4" x14ac:dyDescent="0.35">
      <c r="A85" s="2546">
        <v>53208010100000</v>
      </c>
      <c r="B85" s="2397" t="s">
        <v>127</v>
      </c>
      <c r="C85" s="2538">
        <f>SUM(C86:C88)</f>
        <v>4237013</v>
      </c>
      <c r="D85" s="2586">
        <f>C85*1.05</f>
        <v>4448863.6500000004</v>
      </c>
    </row>
    <row r="86" spans="1:4" x14ac:dyDescent="0.35">
      <c r="B86" s="2580" t="s">
        <v>643</v>
      </c>
      <c r="C86" s="2541">
        <v>960000</v>
      </c>
    </row>
    <row r="87" spans="1:4" x14ac:dyDescent="0.35">
      <c r="B87" s="2581" t="s">
        <v>644</v>
      </c>
      <c r="C87" s="2541">
        <v>2427013</v>
      </c>
    </row>
    <row r="88" spans="1:4" x14ac:dyDescent="0.35">
      <c r="B88" s="2581" t="s">
        <v>1228</v>
      </c>
      <c r="C88" s="2541">
        <v>850000</v>
      </c>
    </row>
    <row r="89" spans="1:4" x14ac:dyDescent="0.35">
      <c r="A89" s="2546">
        <v>53208020000000</v>
      </c>
      <c r="B89" s="2397" t="s">
        <v>156</v>
      </c>
      <c r="C89" s="2538">
        <v>0</v>
      </c>
      <c r="D89" s="2538">
        <v>0</v>
      </c>
    </row>
    <row r="90" spans="1:4" x14ac:dyDescent="0.35">
      <c r="B90" s="2582"/>
      <c r="C90" s="1979"/>
    </row>
    <row r="91" spans="1:4" x14ac:dyDescent="0.35">
      <c r="A91" s="2546">
        <v>53206070000000</v>
      </c>
      <c r="B91" s="2397" t="s">
        <v>167</v>
      </c>
      <c r="C91" s="2538">
        <v>0</v>
      </c>
      <c r="D91" s="2538">
        <f>C91*1.05</f>
        <v>0</v>
      </c>
    </row>
    <row r="92" spans="1:4" x14ac:dyDescent="0.35">
      <c r="C92" s="1979"/>
    </row>
    <row r="93" spans="1:4" x14ac:dyDescent="0.35">
      <c r="C93" s="1979"/>
    </row>
    <row r="94" spans="1:4" x14ac:dyDescent="0.35">
      <c r="A94" s="2583" t="s">
        <v>647</v>
      </c>
    </row>
    <row r="95" spans="1:4" x14ac:dyDescent="0.35">
      <c r="A95" s="2584"/>
    </row>
    <row r="96" spans="1:4" x14ac:dyDescent="0.35">
      <c r="A96" s="2114"/>
      <c r="B96" s="2562" t="s">
        <v>168</v>
      </c>
    </row>
    <row r="97" spans="2:4" x14ac:dyDescent="0.35">
      <c r="B97" s="2555" t="s">
        <v>1226</v>
      </c>
      <c r="D97" s="2138">
        <v>3700000</v>
      </c>
    </row>
  </sheetData>
  <pageMargins left="0.7" right="0.7" top="0.75" bottom="0.75" header="0.3" footer="0.3"/>
  <pageSetup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F87"/>
  <sheetViews>
    <sheetView topLeftCell="A64" workbookViewId="0">
      <selection activeCell="D80" sqref="D80"/>
    </sheetView>
  </sheetViews>
  <sheetFormatPr baseColWidth="10" defaultColWidth="11.453125" defaultRowHeight="13" x14ac:dyDescent="0.3"/>
  <cols>
    <col min="1" max="1" width="4.26953125" style="2051" customWidth="1"/>
    <col min="2" max="2" width="17.54296875" style="2051" customWidth="1"/>
    <col min="3" max="3" width="49.26953125" style="2051" customWidth="1"/>
    <col min="4" max="4" width="17.26953125" style="2051" customWidth="1"/>
    <col min="5" max="5" width="18.54296875" style="2051" customWidth="1"/>
    <col min="6" max="16384" width="11.453125" style="2051"/>
  </cols>
  <sheetData>
    <row r="2" spans="1:6" x14ac:dyDescent="0.3">
      <c r="C2" s="2420" t="s">
        <v>903</v>
      </c>
    </row>
    <row r="3" spans="1:6" x14ac:dyDescent="0.3">
      <c r="A3" s="2112"/>
      <c r="B3" s="2112"/>
      <c r="C3" s="2112"/>
      <c r="D3" s="2112"/>
      <c r="E3" s="2112">
        <v>1.05</v>
      </c>
      <c r="F3" s="2112"/>
    </row>
    <row r="4" spans="1:6" x14ac:dyDescent="0.3">
      <c r="A4" s="2112"/>
      <c r="B4" s="2112"/>
      <c r="C4" s="2112"/>
      <c r="D4" s="2112"/>
      <c r="E4" s="2112"/>
      <c r="F4" s="2112"/>
    </row>
    <row r="5" spans="1:6" x14ac:dyDescent="0.3">
      <c r="A5" s="2112"/>
      <c r="B5" s="1982" t="s">
        <v>531</v>
      </c>
      <c r="C5" s="1983" t="s">
        <v>113</v>
      </c>
      <c r="D5" s="1984" t="s">
        <v>581</v>
      </c>
      <c r="E5" s="2384" t="s">
        <v>858</v>
      </c>
      <c r="F5" s="2112"/>
    </row>
    <row r="6" spans="1:6" x14ac:dyDescent="0.3">
      <c r="A6" s="2112"/>
      <c r="B6" s="2061">
        <v>53202010100000</v>
      </c>
      <c r="C6" s="2300" t="s">
        <v>115</v>
      </c>
      <c r="D6" s="2057">
        <f>SUM(D7:D11)</f>
        <v>1512000</v>
      </c>
      <c r="E6" s="2067">
        <f>E3*D6</f>
        <v>1587600</v>
      </c>
      <c r="F6" s="2112"/>
    </row>
    <row r="7" spans="1:6" x14ac:dyDescent="0.3">
      <c r="A7" s="2112"/>
      <c r="B7" s="1997"/>
      <c r="C7" s="2301"/>
      <c r="D7" s="1995"/>
      <c r="F7" s="2112"/>
    </row>
    <row r="8" spans="1:6" x14ac:dyDescent="0.3">
      <c r="A8" s="2112"/>
      <c r="B8" s="1997">
        <v>1</v>
      </c>
      <c r="C8" s="2301" t="s">
        <v>904</v>
      </c>
      <c r="D8" s="1995">
        <v>60000</v>
      </c>
      <c r="F8" s="2112"/>
    </row>
    <row r="9" spans="1:6" x14ac:dyDescent="0.3">
      <c r="A9" s="2112"/>
      <c r="B9" s="1997">
        <v>12</v>
      </c>
      <c r="C9" s="2301" t="s">
        <v>863</v>
      </c>
      <c r="D9" s="1995">
        <v>300000</v>
      </c>
      <c r="F9" s="2112"/>
    </row>
    <row r="10" spans="1:6" x14ac:dyDescent="0.3">
      <c r="A10" s="2112"/>
      <c r="B10" s="1997">
        <v>12</v>
      </c>
      <c r="C10" s="2301" t="s">
        <v>905</v>
      </c>
      <c r="D10" s="1995">
        <v>312000</v>
      </c>
      <c r="F10" s="2112"/>
    </row>
    <row r="11" spans="1:6" x14ac:dyDescent="0.3">
      <c r="A11" s="2112"/>
      <c r="B11" s="1997">
        <v>40</v>
      </c>
      <c r="C11" s="2301" t="s">
        <v>906</v>
      </c>
      <c r="D11" s="1995">
        <v>840000</v>
      </c>
      <c r="F11" s="2112"/>
    </row>
    <row r="12" spans="1:6" ht="13.5" thickBot="1" x14ac:dyDescent="0.35">
      <c r="A12" s="2112"/>
      <c r="B12" s="2408">
        <v>53204030000000</v>
      </c>
      <c r="C12" s="2421" t="s">
        <v>907</v>
      </c>
      <c r="D12" s="2422">
        <v>0</v>
      </c>
      <c r="E12" s="2423">
        <v>1608809</v>
      </c>
      <c r="F12" s="2112" t="s">
        <v>908</v>
      </c>
    </row>
    <row r="13" spans="1:6" ht="13.5" thickBot="1" x14ac:dyDescent="0.35">
      <c r="A13" s="2112"/>
      <c r="B13" s="2073"/>
      <c r="C13" s="2424"/>
      <c r="D13" s="2425"/>
      <c r="E13" s="2426"/>
      <c r="F13" s="2112"/>
    </row>
    <row r="14" spans="1:6" x14ac:dyDescent="0.3">
      <c r="A14" s="2112"/>
      <c r="B14" s="2078"/>
      <c r="C14" s="2035"/>
      <c r="D14" s="1995"/>
      <c r="E14" s="2067"/>
      <c r="F14" s="2112"/>
    </row>
    <row r="15" spans="1:6" x14ac:dyDescent="0.3">
      <c r="A15" s="2112"/>
      <c r="B15" s="2061">
        <v>53204100100001</v>
      </c>
      <c r="C15" s="2071" t="s">
        <v>119</v>
      </c>
      <c r="D15" s="2057">
        <f>SUM(D16:D18)</f>
        <v>930000</v>
      </c>
      <c r="E15" s="2067">
        <f>D15*E3</f>
        <v>976500</v>
      </c>
      <c r="F15" s="2112"/>
    </row>
    <row r="16" spans="1:6" x14ac:dyDescent="0.3">
      <c r="A16" s="2427"/>
      <c r="B16" s="1997">
        <v>3</v>
      </c>
      <c r="C16" s="2299" t="s">
        <v>909</v>
      </c>
      <c r="D16" s="1995">
        <v>180000</v>
      </c>
      <c r="E16" s="2428"/>
      <c r="F16" s="2427"/>
    </row>
    <row r="17" spans="1:6" x14ac:dyDescent="0.3">
      <c r="A17" s="2112"/>
      <c r="B17" s="1997">
        <v>1</v>
      </c>
      <c r="C17" s="2299" t="s">
        <v>910</v>
      </c>
      <c r="D17" s="1995">
        <v>500000</v>
      </c>
      <c r="E17" s="2070"/>
      <c r="F17" s="2112"/>
    </row>
    <row r="18" spans="1:6" x14ac:dyDescent="0.3">
      <c r="A18" s="2112"/>
      <c r="B18" s="1997">
        <v>1</v>
      </c>
      <c r="C18" s="2299" t="s">
        <v>911</v>
      </c>
      <c r="D18" s="1995">
        <v>250000</v>
      </c>
      <c r="F18" s="2112"/>
    </row>
    <row r="19" spans="1:6" x14ac:dyDescent="0.3">
      <c r="A19" s="2112"/>
      <c r="B19" s="2061">
        <v>53204130100000</v>
      </c>
      <c r="C19" s="2300" t="s">
        <v>120</v>
      </c>
      <c r="D19" s="2058">
        <f>SUM(D20:D23)</f>
        <v>545000</v>
      </c>
      <c r="E19" s="2067">
        <f>D19*E3</f>
        <v>572250</v>
      </c>
      <c r="F19" s="2112"/>
    </row>
    <row r="20" spans="1:6" x14ac:dyDescent="0.3">
      <c r="A20" s="2112"/>
      <c r="B20" s="1997">
        <v>3</v>
      </c>
      <c r="C20" s="2301" t="s">
        <v>912</v>
      </c>
      <c r="D20" s="1995">
        <v>285000</v>
      </c>
      <c r="F20" s="2112"/>
    </row>
    <row r="21" spans="1:6" x14ac:dyDescent="0.3">
      <c r="A21" s="2112"/>
      <c r="B21" s="1997">
        <v>2</v>
      </c>
      <c r="C21" s="2301" t="s">
        <v>913</v>
      </c>
      <c r="D21" s="1995">
        <v>60000</v>
      </c>
      <c r="F21" s="2112"/>
    </row>
    <row r="22" spans="1:6" x14ac:dyDescent="0.3">
      <c r="A22" s="2112"/>
      <c r="B22" s="1997">
        <v>2</v>
      </c>
      <c r="C22" s="2301" t="s">
        <v>606</v>
      </c>
      <c r="D22" s="1995">
        <v>50000</v>
      </c>
      <c r="F22" s="2112"/>
    </row>
    <row r="23" spans="1:6" x14ac:dyDescent="0.3">
      <c r="A23" s="2112"/>
      <c r="B23" s="2133">
        <v>15</v>
      </c>
      <c r="C23" s="2388" t="s">
        <v>914</v>
      </c>
      <c r="D23" s="1995">
        <f>+B23*10000</f>
        <v>150000</v>
      </c>
      <c r="F23" s="2112"/>
    </row>
    <row r="24" spans="1:6" x14ac:dyDescent="0.3">
      <c r="A24" s="2112"/>
      <c r="B24" s="2302">
        <v>53214020000000</v>
      </c>
      <c r="C24" s="2303" t="s">
        <v>132</v>
      </c>
      <c r="D24" s="2058">
        <f>SUM(D25:D27)</f>
        <v>120000</v>
      </c>
      <c r="E24" s="2067">
        <f>D24*E3</f>
        <v>126000</v>
      </c>
      <c r="F24" s="2112"/>
    </row>
    <row r="25" spans="1:6" x14ac:dyDescent="0.3">
      <c r="A25" s="2112"/>
      <c r="B25" s="2304">
        <v>1</v>
      </c>
      <c r="C25" s="2301" t="s">
        <v>915</v>
      </c>
      <c r="D25" s="1995">
        <v>120000</v>
      </c>
      <c r="E25" s="2003"/>
      <c r="F25" s="2112"/>
    </row>
    <row r="26" spans="1:6" x14ac:dyDescent="0.3">
      <c r="A26" s="2112"/>
      <c r="B26" s="2133"/>
      <c r="C26" s="2301"/>
      <c r="D26" s="1995"/>
      <c r="E26" s="2003"/>
      <c r="F26" s="2112"/>
    </row>
    <row r="27" spans="1:6" x14ac:dyDescent="0.3">
      <c r="A27" s="2112"/>
      <c r="B27" s="2304"/>
      <c r="C27" s="2301"/>
      <c r="D27" s="1995"/>
      <c r="F27" s="2112"/>
    </row>
    <row r="28" spans="1:6" x14ac:dyDescent="0.3">
      <c r="A28" s="2112"/>
      <c r="B28" s="2084">
        <v>53202020100000</v>
      </c>
      <c r="C28" s="2305" t="s">
        <v>611</v>
      </c>
      <c r="D28" s="2086">
        <f>SUM(D29:D33)</f>
        <v>340000</v>
      </c>
      <c r="E28" s="2067">
        <f>D28*E3</f>
        <v>357000</v>
      </c>
      <c r="F28" s="2112"/>
    </row>
    <row r="29" spans="1:6" x14ac:dyDescent="0.3">
      <c r="A29" s="2112"/>
      <c r="B29" s="2078"/>
      <c r="C29" s="2306"/>
      <c r="D29" s="1995"/>
      <c r="F29" s="2112"/>
    </row>
    <row r="30" spans="1:6" x14ac:dyDescent="0.3">
      <c r="A30" s="2112"/>
      <c r="B30" s="2023">
        <v>5</v>
      </c>
      <c r="C30" s="2306" t="s">
        <v>916</v>
      </c>
      <c r="D30" s="1995">
        <v>70000</v>
      </c>
      <c r="F30" s="2112"/>
    </row>
    <row r="31" spans="1:6" x14ac:dyDescent="0.3">
      <c r="A31" s="2112"/>
      <c r="B31" s="2023">
        <v>10</v>
      </c>
      <c r="C31" s="2306" t="s">
        <v>917</v>
      </c>
      <c r="D31" s="1995">
        <v>110000</v>
      </c>
      <c r="F31" s="2112"/>
    </row>
    <row r="32" spans="1:6" x14ac:dyDescent="0.3">
      <c r="A32" s="2112"/>
      <c r="B32" s="2023">
        <v>10</v>
      </c>
      <c r="C32" s="2306" t="s">
        <v>918</v>
      </c>
      <c r="D32" s="1995">
        <v>160000</v>
      </c>
      <c r="F32" s="2112"/>
    </row>
    <row r="33" spans="1:6" x14ac:dyDescent="0.3">
      <c r="A33" s="2112"/>
      <c r="B33" s="2023"/>
      <c r="C33" s="2306"/>
      <c r="D33" s="1995"/>
      <c r="F33" s="2112"/>
    </row>
    <row r="34" spans="1:6" x14ac:dyDescent="0.3">
      <c r="A34" s="2112"/>
      <c r="B34" s="2084">
        <v>53202030000000</v>
      </c>
      <c r="C34" s="2305" t="s">
        <v>136</v>
      </c>
      <c r="D34" s="2088">
        <f>SUM(D35:D37)</f>
        <v>128000</v>
      </c>
      <c r="E34" s="2429">
        <f>D34*E3</f>
        <v>134400</v>
      </c>
      <c r="F34" s="2112"/>
    </row>
    <row r="35" spans="1:6" x14ac:dyDescent="0.3">
      <c r="A35" s="2112"/>
      <c r="B35" s="2023"/>
      <c r="C35" s="2306"/>
      <c r="D35" s="1995"/>
      <c r="F35" s="2112"/>
    </row>
    <row r="36" spans="1:6" x14ac:dyDescent="0.3">
      <c r="A36" s="2112"/>
      <c r="B36" s="2023">
        <v>1</v>
      </c>
      <c r="C36" s="2306" t="s">
        <v>919</v>
      </c>
      <c r="D36" s="1995">
        <v>32000</v>
      </c>
      <c r="F36" s="2112"/>
    </row>
    <row r="37" spans="1:6" x14ac:dyDescent="0.3">
      <c r="A37" s="2112"/>
      <c r="B37" s="2023">
        <v>3</v>
      </c>
      <c r="C37" s="2306" t="s">
        <v>920</v>
      </c>
      <c r="D37" s="1995">
        <v>96000</v>
      </c>
      <c r="F37" s="2112"/>
    </row>
    <row r="38" spans="1:6" x14ac:dyDescent="0.3">
      <c r="A38" s="2112"/>
      <c r="B38" s="2084">
        <v>53204010000000</v>
      </c>
      <c r="C38" s="2089" t="s">
        <v>144</v>
      </c>
      <c r="D38" s="2090">
        <f>SUM(D39:D40)</f>
        <v>210000</v>
      </c>
      <c r="E38" s="2430">
        <f>D38*E3</f>
        <v>220500</v>
      </c>
      <c r="F38" s="2112"/>
    </row>
    <row r="39" spans="1:6" x14ac:dyDescent="0.3">
      <c r="A39" s="2112"/>
      <c r="B39" s="2078">
        <v>2</v>
      </c>
      <c r="C39" s="2035" t="s">
        <v>921</v>
      </c>
      <c r="D39" s="1996">
        <v>60000</v>
      </c>
      <c r="E39" s="2431"/>
      <c r="F39" s="2112"/>
    </row>
    <row r="40" spans="1:6" x14ac:dyDescent="0.3">
      <c r="A40" s="2112"/>
      <c r="B40" s="2023">
        <v>1</v>
      </c>
      <c r="C40" s="2035" t="s">
        <v>922</v>
      </c>
      <c r="D40" s="1995">
        <v>150000</v>
      </c>
      <c r="F40" s="2112"/>
    </row>
    <row r="41" spans="1:6" x14ac:dyDescent="0.3">
      <c r="A41" s="2112"/>
      <c r="B41" s="2600"/>
      <c r="C41" s="2089" t="s">
        <v>145</v>
      </c>
      <c r="E41" s="2601">
        <v>36000</v>
      </c>
      <c r="F41" s="2112"/>
    </row>
    <row r="42" spans="1:6" x14ac:dyDescent="0.3">
      <c r="A42" s="2112"/>
      <c r="B42" s="2597"/>
      <c r="C42" s="2598"/>
      <c r="D42" s="2599"/>
      <c r="F42" s="2112"/>
    </row>
    <row r="43" spans="1:6" x14ac:dyDescent="0.3">
      <c r="A43" s="2112"/>
      <c r="B43" s="2084">
        <v>53204060000000</v>
      </c>
      <c r="C43" s="2089" t="s">
        <v>146</v>
      </c>
      <c r="D43" s="2088">
        <f>SUM(D44)</f>
        <v>420000</v>
      </c>
      <c r="E43" s="2429">
        <f>D43*E3</f>
        <v>441000</v>
      </c>
      <c r="F43" s="2112"/>
    </row>
    <row r="44" spans="1:6" x14ac:dyDescent="0.3">
      <c r="A44" s="2112"/>
      <c r="B44" s="2023">
        <v>1</v>
      </c>
      <c r="C44" s="2035" t="s">
        <v>623</v>
      </c>
      <c r="D44" s="1995">
        <v>420000</v>
      </c>
      <c r="F44" s="2112"/>
    </row>
    <row r="45" spans="1:6" x14ac:dyDescent="0.3">
      <c r="A45" s="2112"/>
      <c r="B45" s="2084">
        <v>53204070000000</v>
      </c>
      <c r="C45" s="2089" t="s">
        <v>147</v>
      </c>
      <c r="D45" s="2088">
        <f>SUM(D46)</f>
        <v>1260000</v>
      </c>
      <c r="E45" s="2429">
        <f>D45*E3</f>
        <v>1323000</v>
      </c>
      <c r="F45" s="2112"/>
    </row>
    <row r="46" spans="1:6" x14ac:dyDescent="0.3">
      <c r="A46" s="2112"/>
      <c r="B46" s="2309">
        <v>3</v>
      </c>
      <c r="C46" s="2310" t="s">
        <v>923</v>
      </c>
      <c r="D46" s="2311">
        <v>1260000</v>
      </c>
      <c r="F46" s="2112"/>
    </row>
    <row r="47" spans="1:6" x14ac:dyDescent="0.3">
      <c r="A47" s="2112"/>
      <c r="B47" s="2084">
        <v>53204080000000</v>
      </c>
      <c r="C47" s="2089" t="s">
        <v>148</v>
      </c>
      <c r="D47" s="2088">
        <v>420000</v>
      </c>
      <c r="E47" s="2429">
        <f>D47*E3</f>
        <v>441000</v>
      </c>
      <c r="F47" s="2112"/>
    </row>
    <row r="48" spans="1:6" x14ac:dyDescent="0.3">
      <c r="A48" s="2112"/>
      <c r="B48" s="2095"/>
      <c r="C48" s="2096" t="s">
        <v>924</v>
      </c>
      <c r="D48" s="2097"/>
      <c r="F48" s="2112"/>
    </row>
    <row r="49" spans="1:6" x14ac:dyDescent="0.3">
      <c r="A49" s="2112"/>
      <c r="B49" s="2078"/>
      <c r="C49" s="2035"/>
      <c r="D49" s="1995"/>
      <c r="F49" s="2112"/>
    </row>
    <row r="50" spans="1:6" x14ac:dyDescent="0.3">
      <c r="A50" s="2112"/>
      <c r="B50" s="2078"/>
      <c r="C50" s="2035"/>
      <c r="D50" s="1995"/>
      <c r="F50" s="2112"/>
    </row>
    <row r="51" spans="1:6" x14ac:dyDescent="0.3">
      <c r="A51" s="2112"/>
      <c r="B51" s="2084">
        <v>53214010000000</v>
      </c>
      <c r="C51" s="2089" t="s">
        <v>149</v>
      </c>
      <c r="D51" s="2088">
        <f>SUM(D52:D53)</f>
        <v>980000</v>
      </c>
      <c r="E51" s="2429">
        <f>D51*E3</f>
        <v>1029000</v>
      </c>
      <c r="F51" s="2112"/>
    </row>
    <row r="52" spans="1:6" x14ac:dyDescent="0.3">
      <c r="A52" s="2112"/>
      <c r="B52" s="2023">
        <v>1</v>
      </c>
      <c r="C52" s="2035" t="s">
        <v>925</v>
      </c>
      <c r="D52" s="1995">
        <v>80000</v>
      </c>
      <c r="F52" s="2112"/>
    </row>
    <row r="53" spans="1:6" x14ac:dyDescent="0.3">
      <c r="A53" s="2112"/>
      <c r="B53" s="2023">
        <v>3</v>
      </c>
      <c r="C53" s="2035" t="s">
        <v>926</v>
      </c>
      <c r="D53" s="1995">
        <v>900000</v>
      </c>
      <c r="F53" s="2112"/>
    </row>
    <row r="54" spans="1:6" x14ac:dyDescent="0.3">
      <c r="A54" s="2112"/>
      <c r="B54" s="2023"/>
      <c r="C54" s="2035"/>
      <c r="D54" s="1995"/>
      <c r="F54" s="2112"/>
    </row>
    <row r="55" spans="1:6" x14ac:dyDescent="0.3">
      <c r="A55" s="2112"/>
      <c r="B55" s="2084">
        <v>53206060000000</v>
      </c>
      <c r="C55" s="2089" t="s">
        <v>166</v>
      </c>
      <c r="D55" s="2088">
        <f>SUM(D56:D59)</f>
        <v>3066998</v>
      </c>
      <c r="E55" s="2429">
        <f>D55*E3</f>
        <v>3220347.9</v>
      </c>
      <c r="F55" s="2112"/>
    </row>
    <row r="56" spans="1:6" x14ac:dyDescent="0.3">
      <c r="A56" s="2112"/>
      <c r="B56" s="2078">
        <v>1</v>
      </c>
      <c r="C56" s="2100" t="s">
        <v>927</v>
      </c>
      <c r="D56" s="1995">
        <v>2316998</v>
      </c>
      <c r="F56" s="2112"/>
    </row>
    <row r="57" spans="1:6" x14ac:dyDescent="0.3">
      <c r="A57" s="2112"/>
      <c r="B57" s="2078">
        <v>1</v>
      </c>
      <c r="C57" s="2101" t="s">
        <v>636</v>
      </c>
      <c r="D57" s="1995">
        <v>250000</v>
      </c>
      <c r="F57" s="2112"/>
    </row>
    <row r="58" spans="1:6" x14ac:dyDescent="0.3">
      <c r="A58" s="2112"/>
      <c r="B58" s="1997">
        <v>7</v>
      </c>
      <c r="C58" s="2312" t="s">
        <v>637</v>
      </c>
      <c r="D58" s="1995">
        <v>350000</v>
      </c>
      <c r="F58" s="2112"/>
    </row>
    <row r="59" spans="1:6" x14ac:dyDescent="0.3">
      <c r="A59" s="2112"/>
      <c r="B59" s="2078">
        <v>15</v>
      </c>
      <c r="C59" s="2100" t="s">
        <v>928</v>
      </c>
      <c r="D59" s="1995">
        <v>150000</v>
      </c>
      <c r="F59" s="2112"/>
    </row>
    <row r="60" spans="1:6" x14ac:dyDescent="0.3">
      <c r="A60" s="2112"/>
      <c r="B60" s="2084">
        <v>53206990000000</v>
      </c>
      <c r="C60" s="2089" t="s">
        <v>168</v>
      </c>
      <c r="D60" s="2088">
        <f>SUM(D61)</f>
        <v>500000</v>
      </c>
      <c r="E60" s="2429">
        <f>D60*E3</f>
        <v>525000</v>
      </c>
      <c r="F60" s="2112"/>
    </row>
    <row r="61" spans="1:6" x14ac:dyDescent="0.3">
      <c r="A61" s="2112"/>
      <c r="B61" s="2078">
        <v>1</v>
      </c>
      <c r="C61" s="2035"/>
      <c r="D61" s="1995">
        <v>500000</v>
      </c>
      <c r="E61" s="2103"/>
      <c r="F61" s="2112"/>
    </row>
    <row r="62" spans="1:6" x14ac:dyDescent="0.3">
      <c r="A62" s="2112"/>
      <c r="B62" s="2084">
        <v>53208030000000</v>
      </c>
      <c r="C62" s="2089" t="s">
        <v>169</v>
      </c>
      <c r="D62" s="2088">
        <f>SUM(D63:D64)</f>
        <v>400000</v>
      </c>
      <c r="E62" s="2429">
        <f>D62*E3</f>
        <v>420000</v>
      </c>
      <c r="F62" s="2112"/>
    </row>
    <row r="63" spans="1:6" x14ac:dyDescent="0.3">
      <c r="A63" s="2112"/>
      <c r="B63" s="2078">
        <v>1</v>
      </c>
      <c r="C63" s="2035" t="s">
        <v>929</v>
      </c>
      <c r="D63" s="1996">
        <v>400000</v>
      </c>
      <c r="E63" s="1996"/>
      <c r="F63" s="2112"/>
    </row>
    <row r="64" spans="1:6" x14ac:dyDescent="0.3">
      <c r="A64" s="2112"/>
      <c r="B64" s="2078">
        <v>1</v>
      </c>
      <c r="C64" s="2035"/>
      <c r="D64" s="1996"/>
      <c r="E64" s="1996"/>
      <c r="F64" s="2112"/>
    </row>
    <row r="65" spans="1:6" x14ac:dyDescent="0.3">
      <c r="A65" s="2112"/>
      <c r="B65" s="2073">
        <v>53210020500000</v>
      </c>
      <c r="C65" s="2065" t="s">
        <v>641</v>
      </c>
      <c r="D65" s="2104">
        <v>657219</v>
      </c>
      <c r="E65" s="2432">
        <f>D65*E3</f>
        <v>690079.95000000007</v>
      </c>
      <c r="F65" s="2112"/>
    </row>
    <row r="66" spans="1:6" x14ac:dyDescent="0.3">
      <c r="A66" s="2112"/>
      <c r="B66" s="2073">
        <v>53208010100000</v>
      </c>
      <c r="C66" s="2065" t="s">
        <v>127</v>
      </c>
      <c r="D66" s="2104">
        <f>SUM(D67:D69)</f>
        <v>6413971</v>
      </c>
      <c r="E66" s="2432">
        <f>D66*E3</f>
        <v>6734669.5500000007</v>
      </c>
      <c r="F66" s="2112"/>
    </row>
    <row r="67" spans="1:6" x14ac:dyDescent="0.3">
      <c r="A67" s="2112"/>
      <c r="B67" s="2433"/>
      <c r="C67" s="2035" t="s">
        <v>930</v>
      </c>
      <c r="D67" s="1996">
        <v>3200000</v>
      </c>
      <c r="E67" s="2003"/>
      <c r="F67" s="2112"/>
    </row>
    <row r="68" spans="1:6" x14ac:dyDescent="0.3">
      <c r="A68" s="2112"/>
      <c r="C68" s="2106" t="s">
        <v>931</v>
      </c>
      <c r="D68" s="1995">
        <v>2613971</v>
      </c>
      <c r="F68" s="2112"/>
    </row>
    <row r="69" spans="1:6" x14ac:dyDescent="0.3">
      <c r="A69" s="2112"/>
      <c r="C69" s="2106" t="s">
        <v>932</v>
      </c>
      <c r="D69" s="1995">
        <v>600000</v>
      </c>
      <c r="F69" s="2112"/>
    </row>
    <row r="70" spans="1:6" x14ac:dyDescent="0.3">
      <c r="A70" s="2112"/>
      <c r="B70" s="2073"/>
      <c r="C70" s="2065"/>
      <c r="D70" s="2104"/>
      <c r="E70" s="2104"/>
      <c r="F70" s="2112"/>
    </row>
    <row r="71" spans="1:6" x14ac:dyDescent="0.3">
      <c r="A71" s="2112"/>
      <c r="C71" s="2106"/>
      <c r="D71" s="2434"/>
      <c r="F71" s="2112"/>
    </row>
    <row r="72" spans="1:6" x14ac:dyDescent="0.3">
      <c r="A72" s="2112"/>
      <c r="D72" s="2052"/>
      <c r="F72" s="2112"/>
    </row>
    <row r="73" spans="1:6" x14ac:dyDescent="0.3">
      <c r="A73" s="2112"/>
      <c r="B73" s="2111" t="s">
        <v>647</v>
      </c>
      <c r="C73" s="2035" t="s">
        <v>933</v>
      </c>
      <c r="D73" s="2435">
        <v>2660000</v>
      </c>
      <c r="F73" s="2112"/>
    </row>
    <row r="74" spans="1:6" x14ac:dyDescent="0.3">
      <c r="A74" s="2112"/>
      <c r="C74" s="2113" t="s">
        <v>934</v>
      </c>
      <c r="D74" s="2435">
        <v>4299900</v>
      </c>
      <c r="F74" s="2112"/>
    </row>
    <row r="75" spans="1:6" x14ac:dyDescent="0.3">
      <c r="A75" s="2112"/>
      <c r="F75" s="2112"/>
    </row>
    <row r="78" spans="1:6" x14ac:dyDescent="0.3">
      <c r="C78" s="2603" t="s">
        <v>1238</v>
      </c>
    </row>
    <row r="80" spans="1:6" ht="14" x14ac:dyDescent="0.3">
      <c r="C80" s="2595"/>
      <c r="D80" s="1995"/>
    </row>
    <row r="81" spans="3:4" x14ac:dyDescent="0.3">
      <c r="C81" s="2594" t="s">
        <v>907</v>
      </c>
      <c r="D81" s="2596">
        <v>1608809</v>
      </c>
    </row>
    <row r="82" spans="3:4" x14ac:dyDescent="0.3">
      <c r="C82" s="2594"/>
      <c r="D82" s="2596"/>
    </row>
    <row r="83" spans="3:4" x14ac:dyDescent="0.3">
      <c r="C83" s="2594" t="s">
        <v>122</v>
      </c>
      <c r="D83" s="2601">
        <v>3359967</v>
      </c>
    </row>
    <row r="84" spans="3:4" x14ac:dyDescent="0.3">
      <c r="C84" s="2406"/>
      <c r="D84" s="2601"/>
    </row>
    <row r="85" spans="3:4" x14ac:dyDescent="0.3">
      <c r="C85" s="2594"/>
      <c r="D85" s="2594"/>
    </row>
    <row r="86" spans="3:4" x14ac:dyDescent="0.3">
      <c r="C86" s="2594"/>
      <c r="D86" s="2594"/>
    </row>
    <row r="87" spans="3:4" x14ac:dyDescent="0.3">
      <c r="C87" s="2594"/>
      <c r="D87" s="2602">
        <f>SUM(D80:D86)</f>
        <v>4968776</v>
      </c>
    </row>
  </sheetData>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106"/>
  <sheetViews>
    <sheetView workbookViewId="0">
      <selection activeCell="M40" sqref="M40"/>
    </sheetView>
  </sheetViews>
  <sheetFormatPr baseColWidth="10" defaultRowHeight="13" x14ac:dyDescent="0.3"/>
  <cols>
    <col min="1" max="1" width="4.26953125" style="2051" customWidth="1"/>
    <col min="2" max="2" width="23" style="2051" bestFit="1" customWidth="1"/>
    <col min="3" max="3" width="56.7265625" style="2051" customWidth="1"/>
    <col min="4" max="4" width="14.7265625" style="2052" customWidth="1"/>
    <col min="5" max="5" width="14.7265625" style="2051" customWidth="1"/>
    <col min="6" max="256" width="11.453125" style="2051"/>
    <col min="257" max="257" width="4.26953125" style="2051" customWidth="1"/>
    <col min="258" max="258" width="16.26953125" style="2051" customWidth="1"/>
    <col min="259" max="259" width="49" style="2051" customWidth="1"/>
    <col min="260" max="260" width="14.7265625" style="2051" customWidth="1"/>
    <col min="261" max="261" width="16.7265625" style="2051" customWidth="1"/>
    <col min="262" max="512" width="11.453125" style="2051"/>
    <col min="513" max="513" width="4.26953125" style="2051" customWidth="1"/>
    <col min="514" max="514" width="16.26953125" style="2051" customWidth="1"/>
    <col min="515" max="515" width="49" style="2051" customWidth="1"/>
    <col min="516" max="516" width="14.7265625" style="2051" customWidth="1"/>
    <col min="517" max="517" width="16.7265625" style="2051" customWidth="1"/>
    <col min="518" max="768" width="11.453125" style="2051"/>
    <col min="769" max="769" width="4.26953125" style="2051" customWidth="1"/>
    <col min="770" max="770" width="16.26953125" style="2051" customWidth="1"/>
    <col min="771" max="771" width="49" style="2051" customWidth="1"/>
    <col min="772" max="772" width="14.7265625" style="2051" customWidth="1"/>
    <col min="773" max="773" width="16.7265625" style="2051" customWidth="1"/>
    <col min="774" max="1024" width="11.453125" style="2051"/>
    <col min="1025" max="1025" width="4.26953125" style="2051" customWidth="1"/>
    <col min="1026" max="1026" width="16.26953125" style="2051" customWidth="1"/>
    <col min="1027" max="1027" width="49" style="2051" customWidth="1"/>
    <col min="1028" max="1028" width="14.7265625" style="2051" customWidth="1"/>
    <col min="1029" max="1029" width="16.7265625" style="2051" customWidth="1"/>
    <col min="1030" max="1280" width="11.453125" style="2051"/>
    <col min="1281" max="1281" width="4.26953125" style="2051" customWidth="1"/>
    <col min="1282" max="1282" width="16.26953125" style="2051" customWidth="1"/>
    <col min="1283" max="1283" width="49" style="2051" customWidth="1"/>
    <col min="1284" max="1284" width="14.7265625" style="2051" customWidth="1"/>
    <col min="1285" max="1285" width="16.7265625" style="2051" customWidth="1"/>
    <col min="1286" max="1536" width="11.453125" style="2051"/>
    <col min="1537" max="1537" width="4.26953125" style="2051" customWidth="1"/>
    <col min="1538" max="1538" width="16.26953125" style="2051" customWidth="1"/>
    <col min="1539" max="1539" width="49" style="2051" customWidth="1"/>
    <col min="1540" max="1540" width="14.7265625" style="2051" customWidth="1"/>
    <col min="1541" max="1541" width="16.7265625" style="2051" customWidth="1"/>
    <col min="1542" max="1792" width="11.453125" style="2051"/>
    <col min="1793" max="1793" width="4.26953125" style="2051" customWidth="1"/>
    <col min="1794" max="1794" width="16.26953125" style="2051" customWidth="1"/>
    <col min="1795" max="1795" width="49" style="2051" customWidth="1"/>
    <col min="1796" max="1796" width="14.7265625" style="2051" customWidth="1"/>
    <col min="1797" max="1797" width="16.7265625" style="2051" customWidth="1"/>
    <col min="1798" max="2048" width="11.453125" style="2051"/>
    <col min="2049" max="2049" width="4.26953125" style="2051" customWidth="1"/>
    <col min="2050" max="2050" width="16.26953125" style="2051" customWidth="1"/>
    <col min="2051" max="2051" width="49" style="2051" customWidth="1"/>
    <col min="2052" max="2052" width="14.7265625" style="2051" customWidth="1"/>
    <col min="2053" max="2053" width="16.7265625" style="2051" customWidth="1"/>
    <col min="2054" max="2304" width="11.453125" style="2051"/>
    <col min="2305" max="2305" width="4.26953125" style="2051" customWidth="1"/>
    <col min="2306" max="2306" width="16.26953125" style="2051" customWidth="1"/>
    <col min="2307" max="2307" width="49" style="2051" customWidth="1"/>
    <col min="2308" max="2308" width="14.7265625" style="2051" customWidth="1"/>
    <col min="2309" max="2309" width="16.7265625" style="2051" customWidth="1"/>
    <col min="2310" max="2560" width="11.453125" style="2051"/>
    <col min="2561" max="2561" width="4.26953125" style="2051" customWidth="1"/>
    <col min="2562" max="2562" width="16.26953125" style="2051" customWidth="1"/>
    <col min="2563" max="2563" width="49" style="2051" customWidth="1"/>
    <col min="2564" max="2564" width="14.7265625" style="2051" customWidth="1"/>
    <col min="2565" max="2565" width="16.7265625" style="2051" customWidth="1"/>
    <col min="2566" max="2816" width="11.453125" style="2051"/>
    <col min="2817" max="2817" width="4.26953125" style="2051" customWidth="1"/>
    <col min="2818" max="2818" width="16.26953125" style="2051" customWidth="1"/>
    <col min="2819" max="2819" width="49" style="2051" customWidth="1"/>
    <col min="2820" max="2820" width="14.7265625" style="2051" customWidth="1"/>
    <col min="2821" max="2821" width="16.7265625" style="2051" customWidth="1"/>
    <col min="2822" max="3072" width="11.453125" style="2051"/>
    <col min="3073" max="3073" width="4.26953125" style="2051" customWidth="1"/>
    <col min="3074" max="3074" width="16.26953125" style="2051" customWidth="1"/>
    <col min="3075" max="3075" width="49" style="2051" customWidth="1"/>
    <col min="3076" max="3076" width="14.7265625" style="2051" customWidth="1"/>
    <col min="3077" max="3077" width="16.7265625" style="2051" customWidth="1"/>
    <col min="3078" max="3328" width="11.453125" style="2051"/>
    <col min="3329" max="3329" width="4.26953125" style="2051" customWidth="1"/>
    <col min="3330" max="3330" width="16.26953125" style="2051" customWidth="1"/>
    <col min="3331" max="3331" width="49" style="2051" customWidth="1"/>
    <col min="3332" max="3332" width="14.7265625" style="2051" customWidth="1"/>
    <col min="3333" max="3333" width="16.7265625" style="2051" customWidth="1"/>
    <col min="3334" max="3584" width="11.453125" style="2051"/>
    <col min="3585" max="3585" width="4.26953125" style="2051" customWidth="1"/>
    <col min="3586" max="3586" width="16.26953125" style="2051" customWidth="1"/>
    <col min="3587" max="3587" width="49" style="2051" customWidth="1"/>
    <col min="3588" max="3588" width="14.7265625" style="2051" customWidth="1"/>
    <col min="3589" max="3589" width="16.7265625" style="2051" customWidth="1"/>
    <col min="3590" max="3840" width="11.453125" style="2051"/>
    <col min="3841" max="3841" width="4.26953125" style="2051" customWidth="1"/>
    <col min="3842" max="3842" width="16.26953125" style="2051" customWidth="1"/>
    <col min="3843" max="3843" width="49" style="2051" customWidth="1"/>
    <col min="3844" max="3844" width="14.7265625" style="2051" customWidth="1"/>
    <col min="3845" max="3845" width="16.7265625" style="2051" customWidth="1"/>
    <col min="3846" max="4096" width="11.453125" style="2051"/>
    <col min="4097" max="4097" width="4.26953125" style="2051" customWidth="1"/>
    <col min="4098" max="4098" width="16.26953125" style="2051" customWidth="1"/>
    <col min="4099" max="4099" width="49" style="2051" customWidth="1"/>
    <col min="4100" max="4100" width="14.7265625" style="2051" customWidth="1"/>
    <col min="4101" max="4101" width="16.7265625" style="2051" customWidth="1"/>
    <col min="4102" max="4352" width="11.453125" style="2051"/>
    <col min="4353" max="4353" width="4.26953125" style="2051" customWidth="1"/>
    <col min="4354" max="4354" width="16.26953125" style="2051" customWidth="1"/>
    <col min="4355" max="4355" width="49" style="2051" customWidth="1"/>
    <col min="4356" max="4356" width="14.7265625" style="2051" customWidth="1"/>
    <col min="4357" max="4357" width="16.7265625" style="2051" customWidth="1"/>
    <col min="4358" max="4608" width="11.453125" style="2051"/>
    <col min="4609" max="4609" width="4.26953125" style="2051" customWidth="1"/>
    <col min="4610" max="4610" width="16.26953125" style="2051" customWidth="1"/>
    <col min="4611" max="4611" width="49" style="2051" customWidth="1"/>
    <col min="4612" max="4612" width="14.7265625" style="2051" customWidth="1"/>
    <col min="4613" max="4613" width="16.7265625" style="2051" customWidth="1"/>
    <col min="4614" max="4864" width="11.453125" style="2051"/>
    <col min="4865" max="4865" width="4.26953125" style="2051" customWidth="1"/>
    <col min="4866" max="4866" width="16.26953125" style="2051" customWidth="1"/>
    <col min="4867" max="4867" width="49" style="2051" customWidth="1"/>
    <col min="4868" max="4868" width="14.7265625" style="2051" customWidth="1"/>
    <col min="4869" max="4869" width="16.7265625" style="2051" customWidth="1"/>
    <col min="4870" max="5120" width="11.453125" style="2051"/>
    <col min="5121" max="5121" width="4.26953125" style="2051" customWidth="1"/>
    <col min="5122" max="5122" width="16.26953125" style="2051" customWidth="1"/>
    <col min="5123" max="5123" width="49" style="2051" customWidth="1"/>
    <col min="5124" max="5124" width="14.7265625" style="2051" customWidth="1"/>
    <col min="5125" max="5125" width="16.7265625" style="2051" customWidth="1"/>
    <col min="5126" max="5376" width="11.453125" style="2051"/>
    <col min="5377" max="5377" width="4.26953125" style="2051" customWidth="1"/>
    <col min="5378" max="5378" width="16.26953125" style="2051" customWidth="1"/>
    <col min="5379" max="5379" width="49" style="2051" customWidth="1"/>
    <col min="5380" max="5380" width="14.7265625" style="2051" customWidth="1"/>
    <col min="5381" max="5381" width="16.7265625" style="2051" customWidth="1"/>
    <col min="5382" max="5632" width="11.453125" style="2051"/>
    <col min="5633" max="5633" width="4.26953125" style="2051" customWidth="1"/>
    <col min="5634" max="5634" width="16.26953125" style="2051" customWidth="1"/>
    <col min="5635" max="5635" width="49" style="2051" customWidth="1"/>
    <col min="5636" max="5636" width="14.7265625" style="2051" customWidth="1"/>
    <col min="5637" max="5637" width="16.7265625" style="2051" customWidth="1"/>
    <col min="5638" max="5888" width="11.453125" style="2051"/>
    <col min="5889" max="5889" width="4.26953125" style="2051" customWidth="1"/>
    <col min="5890" max="5890" width="16.26953125" style="2051" customWidth="1"/>
    <col min="5891" max="5891" width="49" style="2051" customWidth="1"/>
    <col min="5892" max="5892" width="14.7265625" style="2051" customWidth="1"/>
    <col min="5893" max="5893" width="16.7265625" style="2051" customWidth="1"/>
    <col min="5894" max="6144" width="11.453125" style="2051"/>
    <col min="6145" max="6145" width="4.26953125" style="2051" customWidth="1"/>
    <col min="6146" max="6146" width="16.26953125" style="2051" customWidth="1"/>
    <col min="6147" max="6147" width="49" style="2051" customWidth="1"/>
    <col min="6148" max="6148" width="14.7265625" style="2051" customWidth="1"/>
    <col min="6149" max="6149" width="16.7265625" style="2051" customWidth="1"/>
    <col min="6150" max="6400" width="11.453125" style="2051"/>
    <col min="6401" max="6401" width="4.26953125" style="2051" customWidth="1"/>
    <col min="6402" max="6402" width="16.26953125" style="2051" customWidth="1"/>
    <col min="6403" max="6403" width="49" style="2051" customWidth="1"/>
    <col min="6404" max="6404" width="14.7265625" style="2051" customWidth="1"/>
    <col min="6405" max="6405" width="16.7265625" style="2051" customWidth="1"/>
    <col min="6406" max="6656" width="11.453125" style="2051"/>
    <col min="6657" max="6657" width="4.26953125" style="2051" customWidth="1"/>
    <col min="6658" max="6658" width="16.26953125" style="2051" customWidth="1"/>
    <col min="6659" max="6659" width="49" style="2051" customWidth="1"/>
    <col min="6660" max="6660" width="14.7265625" style="2051" customWidth="1"/>
    <col min="6661" max="6661" width="16.7265625" style="2051" customWidth="1"/>
    <col min="6662" max="6912" width="11.453125" style="2051"/>
    <col min="6913" max="6913" width="4.26953125" style="2051" customWidth="1"/>
    <col min="6914" max="6914" width="16.26953125" style="2051" customWidth="1"/>
    <col min="6915" max="6915" width="49" style="2051" customWidth="1"/>
    <col min="6916" max="6916" width="14.7265625" style="2051" customWidth="1"/>
    <col min="6917" max="6917" width="16.7265625" style="2051" customWidth="1"/>
    <col min="6918" max="7168" width="11.453125" style="2051"/>
    <col min="7169" max="7169" width="4.26953125" style="2051" customWidth="1"/>
    <col min="7170" max="7170" width="16.26953125" style="2051" customWidth="1"/>
    <col min="7171" max="7171" width="49" style="2051" customWidth="1"/>
    <col min="7172" max="7172" width="14.7265625" style="2051" customWidth="1"/>
    <col min="7173" max="7173" width="16.7265625" style="2051" customWidth="1"/>
    <col min="7174" max="7424" width="11.453125" style="2051"/>
    <col min="7425" max="7425" width="4.26953125" style="2051" customWidth="1"/>
    <col min="7426" max="7426" width="16.26953125" style="2051" customWidth="1"/>
    <col min="7427" max="7427" width="49" style="2051" customWidth="1"/>
    <col min="7428" max="7428" width="14.7265625" style="2051" customWidth="1"/>
    <col min="7429" max="7429" width="16.7265625" style="2051" customWidth="1"/>
    <col min="7430" max="7680" width="11.453125" style="2051"/>
    <col min="7681" max="7681" width="4.26953125" style="2051" customWidth="1"/>
    <col min="7682" max="7682" width="16.26953125" style="2051" customWidth="1"/>
    <col min="7683" max="7683" width="49" style="2051" customWidth="1"/>
    <col min="7684" max="7684" width="14.7265625" style="2051" customWidth="1"/>
    <col min="7685" max="7685" width="16.7265625" style="2051" customWidth="1"/>
    <col min="7686" max="7936" width="11.453125" style="2051"/>
    <col min="7937" max="7937" width="4.26953125" style="2051" customWidth="1"/>
    <col min="7938" max="7938" width="16.26953125" style="2051" customWidth="1"/>
    <col min="7939" max="7939" width="49" style="2051" customWidth="1"/>
    <col min="7940" max="7940" width="14.7265625" style="2051" customWidth="1"/>
    <col min="7941" max="7941" width="16.7265625" style="2051" customWidth="1"/>
    <col min="7942" max="8192" width="11.453125" style="2051"/>
    <col min="8193" max="8193" width="4.26953125" style="2051" customWidth="1"/>
    <col min="8194" max="8194" width="16.26953125" style="2051" customWidth="1"/>
    <col min="8195" max="8195" width="49" style="2051" customWidth="1"/>
    <col min="8196" max="8196" width="14.7265625" style="2051" customWidth="1"/>
    <col min="8197" max="8197" width="16.7265625" style="2051" customWidth="1"/>
    <col min="8198" max="8448" width="11.453125" style="2051"/>
    <col min="8449" max="8449" width="4.26953125" style="2051" customWidth="1"/>
    <col min="8450" max="8450" width="16.26953125" style="2051" customWidth="1"/>
    <col min="8451" max="8451" width="49" style="2051" customWidth="1"/>
    <col min="8452" max="8452" width="14.7265625" style="2051" customWidth="1"/>
    <col min="8453" max="8453" width="16.7265625" style="2051" customWidth="1"/>
    <col min="8454" max="8704" width="11.453125" style="2051"/>
    <col min="8705" max="8705" width="4.26953125" style="2051" customWidth="1"/>
    <col min="8706" max="8706" width="16.26953125" style="2051" customWidth="1"/>
    <col min="8707" max="8707" width="49" style="2051" customWidth="1"/>
    <col min="8708" max="8708" width="14.7265625" style="2051" customWidth="1"/>
    <col min="8709" max="8709" width="16.7265625" style="2051" customWidth="1"/>
    <col min="8710" max="8960" width="11.453125" style="2051"/>
    <col min="8961" max="8961" width="4.26953125" style="2051" customWidth="1"/>
    <col min="8962" max="8962" width="16.26953125" style="2051" customWidth="1"/>
    <col min="8963" max="8963" width="49" style="2051" customWidth="1"/>
    <col min="8964" max="8964" width="14.7265625" style="2051" customWidth="1"/>
    <col min="8965" max="8965" width="16.7265625" style="2051" customWidth="1"/>
    <col min="8966" max="9216" width="11.453125" style="2051"/>
    <col min="9217" max="9217" width="4.26953125" style="2051" customWidth="1"/>
    <col min="9218" max="9218" width="16.26953125" style="2051" customWidth="1"/>
    <col min="9219" max="9219" width="49" style="2051" customWidth="1"/>
    <col min="9220" max="9220" width="14.7265625" style="2051" customWidth="1"/>
    <col min="9221" max="9221" width="16.7265625" style="2051" customWidth="1"/>
    <col min="9222" max="9472" width="11.453125" style="2051"/>
    <col min="9473" max="9473" width="4.26953125" style="2051" customWidth="1"/>
    <col min="9474" max="9474" width="16.26953125" style="2051" customWidth="1"/>
    <col min="9475" max="9475" width="49" style="2051" customWidth="1"/>
    <col min="9476" max="9476" width="14.7265625" style="2051" customWidth="1"/>
    <col min="9477" max="9477" width="16.7265625" style="2051" customWidth="1"/>
    <col min="9478" max="9728" width="11.453125" style="2051"/>
    <col min="9729" max="9729" width="4.26953125" style="2051" customWidth="1"/>
    <col min="9730" max="9730" width="16.26953125" style="2051" customWidth="1"/>
    <col min="9731" max="9731" width="49" style="2051" customWidth="1"/>
    <col min="9732" max="9732" width="14.7265625" style="2051" customWidth="1"/>
    <col min="9733" max="9733" width="16.7265625" style="2051" customWidth="1"/>
    <col min="9734" max="9984" width="11.453125" style="2051"/>
    <col min="9985" max="9985" width="4.26953125" style="2051" customWidth="1"/>
    <col min="9986" max="9986" width="16.26953125" style="2051" customWidth="1"/>
    <col min="9987" max="9987" width="49" style="2051" customWidth="1"/>
    <col min="9988" max="9988" width="14.7265625" style="2051" customWidth="1"/>
    <col min="9989" max="9989" width="16.7265625" style="2051" customWidth="1"/>
    <col min="9990" max="10240" width="11.453125" style="2051"/>
    <col min="10241" max="10241" width="4.26953125" style="2051" customWidth="1"/>
    <col min="10242" max="10242" width="16.26953125" style="2051" customWidth="1"/>
    <col min="10243" max="10243" width="49" style="2051" customWidth="1"/>
    <col min="10244" max="10244" width="14.7265625" style="2051" customWidth="1"/>
    <col min="10245" max="10245" width="16.7265625" style="2051" customWidth="1"/>
    <col min="10246" max="10496" width="11.453125" style="2051"/>
    <col min="10497" max="10497" width="4.26953125" style="2051" customWidth="1"/>
    <col min="10498" max="10498" width="16.26953125" style="2051" customWidth="1"/>
    <col min="10499" max="10499" width="49" style="2051" customWidth="1"/>
    <col min="10500" max="10500" width="14.7265625" style="2051" customWidth="1"/>
    <col min="10501" max="10501" width="16.7265625" style="2051" customWidth="1"/>
    <col min="10502" max="10752" width="11.453125" style="2051"/>
    <col min="10753" max="10753" width="4.26953125" style="2051" customWidth="1"/>
    <col min="10754" max="10754" width="16.26953125" style="2051" customWidth="1"/>
    <col min="10755" max="10755" width="49" style="2051" customWidth="1"/>
    <col min="10756" max="10756" width="14.7265625" style="2051" customWidth="1"/>
    <col min="10757" max="10757" width="16.7265625" style="2051" customWidth="1"/>
    <col min="10758" max="11008" width="11.453125" style="2051"/>
    <col min="11009" max="11009" width="4.26953125" style="2051" customWidth="1"/>
    <col min="11010" max="11010" width="16.26953125" style="2051" customWidth="1"/>
    <col min="11011" max="11011" width="49" style="2051" customWidth="1"/>
    <col min="11012" max="11012" width="14.7265625" style="2051" customWidth="1"/>
    <col min="11013" max="11013" width="16.7265625" style="2051" customWidth="1"/>
    <col min="11014" max="11264" width="11.453125" style="2051"/>
    <col min="11265" max="11265" width="4.26953125" style="2051" customWidth="1"/>
    <col min="11266" max="11266" width="16.26953125" style="2051" customWidth="1"/>
    <col min="11267" max="11267" width="49" style="2051" customWidth="1"/>
    <col min="11268" max="11268" width="14.7265625" style="2051" customWidth="1"/>
    <col min="11269" max="11269" width="16.7265625" style="2051" customWidth="1"/>
    <col min="11270" max="11520" width="11.453125" style="2051"/>
    <col min="11521" max="11521" width="4.26953125" style="2051" customWidth="1"/>
    <col min="11522" max="11522" width="16.26953125" style="2051" customWidth="1"/>
    <col min="11523" max="11523" width="49" style="2051" customWidth="1"/>
    <col min="11524" max="11524" width="14.7265625" style="2051" customWidth="1"/>
    <col min="11525" max="11525" width="16.7265625" style="2051" customWidth="1"/>
    <col min="11526" max="11776" width="11.453125" style="2051"/>
    <col min="11777" max="11777" width="4.26953125" style="2051" customWidth="1"/>
    <col min="11778" max="11778" width="16.26953125" style="2051" customWidth="1"/>
    <col min="11779" max="11779" width="49" style="2051" customWidth="1"/>
    <col min="11780" max="11780" width="14.7265625" style="2051" customWidth="1"/>
    <col min="11781" max="11781" width="16.7265625" style="2051" customWidth="1"/>
    <col min="11782" max="12032" width="11.453125" style="2051"/>
    <col min="12033" max="12033" width="4.26953125" style="2051" customWidth="1"/>
    <col min="12034" max="12034" width="16.26953125" style="2051" customWidth="1"/>
    <col min="12035" max="12035" width="49" style="2051" customWidth="1"/>
    <col min="12036" max="12036" width="14.7265625" style="2051" customWidth="1"/>
    <col min="12037" max="12037" width="16.7265625" style="2051" customWidth="1"/>
    <col min="12038" max="12288" width="11.453125" style="2051"/>
    <col min="12289" max="12289" width="4.26953125" style="2051" customWidth="1"/>
    <col min="12290" max="12290" width="16.26953125" style="2051" customWidth="1"/>
    <col min="12291" max="12291" width="49" style="2051" customWidth="1"/>
    <col min="12292" max="12292" width="14.7265625" style="2051" customWidth="1"/>
    <col min="12293" max="12293" width="16.7265625" style="2051" customWidth="1"/>
    <col min="12294" max="12544" width="11.453125" style="2051"/>
    <col min="12545" max="12545" width="4.26953125" style="2051" customWidth="1"/>
    <col min="12546" max="12546" width="16.26953125" style="2051" customWidth="1"/>
    <col min="12547" max="12547" width="49" style="2051" customWidth="1"/>
    <col min="12548" max="12548" width="14.7265625" style="2051" customWidth="1"/>
    <col min="12549" max="12549" width="16.7265625" style="2051" customWidth="1"/>
    <col min="12550" max="12800" width="11.453125" style="2051"/>
    <col min="12801" max="12801" width="4.26953125" style="2051" customWidth="1"/>
    <col min="12802" max="12802" width="16.26953125" style="2051" customWidth="1"/>
    <col min="12803" max="12803" width="49" style="2051" customWidth="1"/>
    <col min="12804" max="12804" width="14.7265625" style="2051" customWidth="1"/>
    <col min="12805" max="12805" width="16.7265625" style="2051" customWidth="1"/>
    <col min="12806" max="13056" width="11.453125" style="2051"/>
    <col min="13057" max="13057" width="4.26953125" style="2051" customWidth="1"/>
    <col min="13058" max="13058" width="16.26953125" style="2051" customWidth="1"/>
    <col min="13059" max="13059" width="49" style="2051" customWidth="1"/>
    <col min="13060" max="13060" width="14.7265625" style="2051" customWidth="1"/>
    <col min="13061" max="13061" width="16.7265625" style="2051" customWidth="1"/>
    <col min="13062" max="13312" width="11.453125" style="2051"/>
    <col min="13313" max="13313" width="4.26953125" style="2051" customWidth="1"/>
    <col min="13314" max="13314" width="16.26953125" style="2051" customWidth="1"/>
    <col min="13315" max="13315" width="49" style="2051" customWidth="1"/>
    <col min="13316" max="13316" width="14.7265625" style="2051" customWidth="1"/>
    <col min="13317" max="13317" width="16.7265625" style="2051" customWidth="1"/>
    <col min="13318" max="13568" width="11.453125" style="2051"/>
    <col min="13569" max="13569" width="4.26953125" style="2051" customWidth="1"/>
    <col min="13570" max="13570" width="16.26953125" style="2051" customWidth="1"/>
    <col min="13571" max="13571" width="49" style="2051" customWidth="1"/>
    <col min="13572" max="13572" width="14.7265625" style="2051" customWidth="1"/>
    <col min="13573" max="13573" width="16.7265625" style="2051" customWidth="1"/>
    <col min="13574" max="13824" width="11.453125" style="2051"/>
    <col min="13825" max="13825" width="4.26953125" style="2051" customWidth="1"/>
    <col min="13826" max="13826" width="16.26953125" style="2051" customWidth="1"/>
    <col min="13827" max="13827" width="49" style="2051" customWidth="1"/>
    <col min="13828" max="13828" width="14.7265625" style="2051" customWidth="1"/>
    <col min="13829" max="13829" width="16.7265625" style="2051" customWidth="1"/>
    <col min="13830" max="14080" width="11.453125" style="2051"/>
    <col min="14081" max="14081" width="4.26953125" style="2051" customWidth="1"/>
    <col min="14082" max="14082" width="16.26953125" style="2051" customWidth="1"/>
    <col min="14083" max="14083" width="49" style="2051" customWidth="1"/>
    <col min="14084" max="14084" width="14.7265625" style="2051" customWidth="1"/>
    <col min="14085" max="14085" width="16.7265625" style="2051" customWidth="1"/>
    <col min="14086" max="14336" width="11.453125" style="2051"/>
    <col min="14337" max="14337" width="4.26953125" style="2051" customWidth="1"/>
    <col min="14338" max="14338" width="16.26953125" style="2051" customWidth="1"/>
    <col min="14339" max="14339" width="49" style="2051" customWidth="1"/>
    <col min="14340" max="14340" width="14.7265625" style="2051" customWidth="1"/>
    <col min="14341" max="14341" width="16.7265625" style="2051" customWidth="1"/>
    <col min="14342" max="14592" width="11.453125" style="2051"/>
    <col min="14593" max="14593" width="4.26953125" style="2051" customWidth="1"/>
    <col min="14594" max="14594" width="16.26953125" style="2051" customWidth="1"/>
    <col min="14595" max="14595" width="49" style="2051" customWidth="1"/>
    <col min="14596" max="14596" width="14.7265625" style="2051" customWidth="1"/>
    <col min="14597" max="14597" width="16.7265625" style="2051" customWidth="1"/>
    <col min="14598" max="14848" width="11.453125" style="2051"/>
    <col min="14849" max="14849" width="4.26953125" style="2051" customWidth="1"/>
    <col min="14850" max="14850" width="16.26953125" style="2051" customWidth="1"/>
    <col min="14851" max="14851" width="49" style="2051" customWidth="1"/>
    <col min="14852" max="14852" width="14.7265625" style="2051" customWidth="1"/>
    <col min="14853" max="14853" width="16.7265625" style="2051" customWidth="1"/>
    <col min="14854" max="15104" width="11.453125" style="2051"/>
    <col min="15105" max="15105" width="4.26953125" style="2051" customWidth="1"/>
    <col min="15106" max="15106" width="16.26953125" style="2051" customWidth="1"/>
    <col min="15107" max="15107" width="49" style="2051" customWidth="1"/>
    <col min="15108" max="15108" width="14.7265625" style="2051" customWidth="1"/>
    <col min="15109" max="15109" width="16.7265625" style="2051" customWidth="1"/>
    <col min="15110" max="15360" width="11.453125" style="2051"/>
    <col min="15361" max="15361" width="4.26953125" style="2051" customWidth="1"/>
    <col min="15362" max="15362" width="16.26953125" style="2051" customWidth="1"/>
    <col min="15363" max="15363" width="49" style="2051" customWidth="1"/>
    <col min="15364" max="15364" width="14.7265625" style="2051" customWidth="1"/>
    <col min="15365" max="15365" width="16.7265625" style="2051" customWidth="1"/>
    <col min="15366" max="15616" width="11.453125" style="2051"/>
    <col min="15617" max="15617" width="4.26953125" style="2051" customWidth="1"/>
    <col min="15618" max="15618" width="16.26953125" style="2051" customWidth="1"/>
    <col min="15619" max="15619" width="49" style="2051" customWidth="1"/>
    <col min="15620" max="15620" width="14.7265625" style="2051" customWidth="1"/>
    <col min="15621" max="15621" width="16.7265625" style="2051" customWidth="1"/>
    <col min="15622" max="15872" width="11.453125" style="2051"/>
    <col min="15873" max="15873" width="4.26953125" style="2051" customWidth="1"/>
    <col min="15874" max="15874" width="16.26953125" style="2051" customWidth="1"/>
    <col min="15875" max="15875" width="49" style="2051" customWidth="1"/>
    <col min="15876" max="15876" width="14.7265625" style="2051" customWidth="1"/>
    <col min="15877" max="15877" width="16.7265625" style="2051" customWidth="1"/>
    <col min="15878" max="16128" width="11.453125" style="2051"/>
    <col min="16129" max="16129" width="4.26953125" style="2051" customWidth="1"/>
    <col min="16130" max="16130" width="16.26953125" style="2051" customWidth="1"/>
    <col min="16131" max="16131" width="49" style="2051" customWidth="1"/>
    <col min="16132" max="16132" width="14.7265625" style="2051" customWidth="1"/>
    <col min="16133" max="16133" width="16.7265625" style="2051" customWidth="1"/>
    <col min="16134" max="16384" width="11.453125" style="2051"/>
  </cols>
  <sheetData>
    <row r="2" spans="2:10" x14ac:dyDescent="0.3">
      <c r="B2" s="1978" t="s">
        <v>380</v>
      </c>
    </row>
    <row r="3" spans="2:10" x14ac:dyDescent="0.3">
      <c r="B3" s="1982" t="s">
        <v>531</v>
      </c>
      <c r="C3" s="1983" t="s">
        <v>113</v>
      </c>
      <c r="D3" s="1984" t="s">
        <v>581</v>
      </c>
      <c r="E3" s="2053">
        <v>1.05</v>
      </c>
      <c r="H3" s="2054"/>
      <c r="I3" s="2052"/>
      <c r="J3" s="2052"/>
    </row>
    <row r="4" spans="2:10" x14ac:dyDescent="0.3">
      <c r="B4" s="2055">
        <v>53201010100000</v>
      </c>
      <c r="C4" s="2056" t="s">
        <v>534</v>
      </c>
      <c r="D4" s="2057"/>
      <c r="E4" s="2058">
        <v>0</v>
      </c>
      <c r="H4" s="2059"/>
      <c r="I4" s="2052"/>
      <c r="J4" s="2052"/>
    </row>
    <row r="5" spans="2:10" x14ac:dyDescent="0.3">
      <c r="B5" s="1997"/>
      <c r="C5" s="2060"/>
      <c r="D5" s="1995"/>
      <c r="H5" s="2059"/>
      <c r="I5" s="2052"/>
      <c r="J5" s="2052"/>
    </row>
    <row r="6" spans="2:10" x14ac:dyDescent="0.3">
      <c r="B6" s="1997"/>
      <c r="C6" s="2060"/>
      <c r="D6" s="1995"/>
      <c r="H6" s="2059"/>
      <c r="I6" s="2052"/>
      <c r="J6" s="2052"/>
    </row>
    <row r="7" spans="2:10" x14ac:dyDescent="0.3">
      <c r="B7" s="2061">
        <v>53202010100000</v>
      </c>
      <c r="C7" s="2062" t="s">
        <v>115</v>
      </c>
      <c r="D7" s="2057">
        <f>SUM(D8:D17)</f>
        <v>1647000</v>
      </c>
      <c r="E7" s="2063">
        <f>+D7*E3</f>
        <v>1729350</v>
      </c>
      <c r="H7" s="2059"/>
      <c r="I7" s="2052"/>
      <c r="J7" s="2052"/>
    </row>
    <row r="8" spans="2:10" x14ac:dyDescent="0.3">
      <c r="B8" s="1997">
        <v>4</v>
      </c>
      <c r="C8" s="2006" t="s">
        <v>582</v>
      </c>
      <c r="D8" s="1995">
        <f>22000*B8</f>
        <v>88000</v>
      </c>
      <c r="H8" s="2059"/>
      <c r="I8" s="2052"/>
      <c r="J8" s="2052"/>
    </row>
    <row r="9" spans="2:10" x14ac:dyDescent="0.3">
      <c r="B9" s="1997">
        <v>6</v>
      </c>
      <c r="C9" s="2006" t="s">
        <v>583</v>
      </c>
      <c r="D9" s="1995">
        <f>B9*18000</f>
        <v>108000</v>
      </c>
      <c r="H9" s="2059"/>
      <c r="I9" s="2052"/>
      <c r="J9" s="2052"/>
    </row>
    <row r="10" spans="2:10" x14ac:dyDescent="0.3">
      <c r="B10" s="1997">
        <v>30</v>
      </c>
      <c r="C10" s="2006" t="s">
        <v>584</v>
      </c>
      <c r="D10" s="1995">
        <v>240000</v>
      </c>
      <c r="H10" s="2059"/>
      <c r="I10" s="2052"/>
      <c r="J10" s="2052"/>
    </row>
    <row r="11" spans="2:10" x14ac:dyDescent="0.3">
      <c r="B11" s="1997">
        <v>7</v>
      </c>
      <c r="C11" s="2006" t="s">
        <v>585</v>
      </c>
      <c r="D11" s="1995">
        <f>B11*25000</f>
        <v>175000</v>
      </c>
      <c r="H11" s="2059"/>
      <c r="I11" s="2052"/>
      <c r="J11" s="2052"/>
    </row>
    <row r="12" spans="2:10" x14ac:dyDescent="0.3">
      <c r="B12" s="1997">
        <v>2</v>
      </c>
      <c r="C12" s="2006" t="s">
        <v>586</v>
      </c>
      <c r="D12" s="1995">
        <f>22000*B12</f>
        <v>44000</v>
      </c>
      <c r="H12" s="2059"/>
      <c r="I12" s="2052"/>
      <c r="J12" s="2052"/>
    </row>
    <row r="13" spans="2:10" x14ac:dyDescent="0.3">
      <c r="B13" s="1997">
        <v>7</v>
      </c>
      <c r="C13" s="2006" t="s">
        <v>587</v>
      </c>
      <c r="D13" s="1995">
        <f>B13*26000</f>
        <v>182000</v>
      </c>
      <c r="H13" s="2059"/>
      <c r="I13" s="2052"/>
      <c r="J13" s="2052"/>
    </row>
    <row r="14" spans="2:10" x14ac:dyDescent="0.3">
      <c r="B14" s="1997">
        <v>10</v>
      </c>
      <c r="C14" s="2006" t="s">
        <v>588</v>
      </c>
      <c r="D14" s="1995">
        <f>B14*22000</f>
        <v>220000</v>
      </c>
      <c r="H14" s="2059"/>
      <c r="I14" s="2052"/>
      <c r="J14" s="2052"/>
    </row>
    <row r="15" spans="2:10" x14ac:dyDescent="0.3">
      <c r="B15" s="1997">
        <v>40</v>
      </c>
      <c r="C15" s="2006" t="s">
        <v>589</v>
      </c>
      <c r="D15" s="1995">
        <f>B15*9000</f>
        <v>360000</v>
      </c>
      <c r="H15" s="2059"/>
      <c r="I15" s="2052"/>
      <c r="J15" s="2052"/>
    </row>
    <row r="16" spans="2:10" x14ac:dyDescent="0.3">
      <c r="B16" s="1997">
        <v>20</v>
      </c>
      <c r="C16" s="2006" t="s">
        <v>590</v>
      </c>
      <c r="D16" s="1995">
        <f>B16*6000</f>
        <v>120000</v>
      </c>
      <c r="H16" s="2059"/>
      <c r="I16" s="2052"/>
      <c r="J16" s="2052"/>
    </row>
    <row r="17" spans="2:10" x14ac:dyDescent="0.3">
      <c r="B17" s="1997">
        <v>20</v>
      </c>
      <c r="C17" s="2006" t="s">
        <v>591</v>
      </c>
      <c r="D17" s="1995">
        <f>B17*5500</f>
        <v>110000</v>
      </c>
      <c r="H17" s="2059"/>
      <c r="I17" s="2052"/>
      <c r="J17" s="2052"/>
    </row>
    <row r="18" spans="2:10" x14ac:dyDescent="0.3">
      <c r="B18" s="2064">
        <v>53203010100000</v>
      </c>
      <c r="C18" s="2065" t="s">
        <v>116</v>
      </c>
      <c r="D18" s="2066">
        <f>SUM(D19:D20)</f>
        <v>70000</v>
      </c>
      <c r="E18" s="2067">
        <f>+D18*E3</f>
        <v>73500</v>
      </c>
      <c r="H18" s="2059"/>
      <c r="I18" s="2052"/>
      <c r="J18" s="2052"/>
    </row>
    <row r="19" spans="2:10" x14ac:dyDescent="0.3">
      <c r="B19" s="2068"/>
      <c r="C19" s="2069" t="s">
        <v>592</v>
      </c>
      <c r="D19" s="1995">
        <v>45000</v>
      </c>
      <c r="E19" s="2070"/>
      <c r="H19" s="2059"/>
      <c r="I19" s="2052"/>
      <c r="J19" s="2052"/>
    </row>
    <row r="20" spans="2:10" x14ac:dyDescent="0.3">
      <c r="B20" s="2068"/>
      <c r="C20" s="2069" t="s">
        <v>593</v>
      </c>
      <c r="D20" s="1995">
        <v>25000</v>
      </c>
      <c r="E20" s="2070"/>
      <c r="H20" s="2059"/>
      <c r="I20" s="2052"/>
      <c r="J20" s="2052"/>
    </row>
    <row r="21" spans="2:10" x14ac:dyDescent="0.3">
      <c r="B21" s="2061">
        <v>53203030000000</v>
      </c>
      <c r="C21" s="2071" t="s">
        <v>117</v>
      </c>
      <c r="D21" s="2057"/>
      <c r="E21" s="2070" t="s">
        <v>594</v>
      </c>
      <c r="H21" s="2059"/>
      <c r="I21" s="2052"/>
      <c r="J21" s="2052"/>
    </row>
    <row r="22" spans="2:10" x14ac:dyDescent="0.3">
      <c r="B22" s="2072">
        <v>53204030000000</v>
      </c>
      <c r="C22" s="2062" t="s">
        <v>118</v>
      </c>
      <c r="D22" s="2057">
        <v>0</v>
      </c>
      <c r="E22" s="2051" t="s">
        <v>594</v>
      </c>
      <c r="H22" s="2059"/>
      <c r="I22" s="2052"/>
      <c r="J22" s="2052"/>
    </row>
    <row r="23" spans="2:10" s="2076" customFormat="1" x14ac:dyDescent="0.3">
      <c r="B23" s="2073">
        <v>53211020000000</v>
      </c>
      <c r="C23" s="2074" t="s">
        <v>137</v>
      </c>
      <c r="D23" s="2075">
        <f>SUM(D24:D25)</f>
        <v>450000</v>
      </c>
      <c r="E23" s="2063">
        <f>+D23*E3</f>
        <v>472500</v>
      </c>
      <c r="H23" s="2059"/>
      <c r="I23" s="2077"/>
      <c r="J23" s="2077"/>
    </row>
    <row r="24" spans="2:10" s="2076" customFormat="1" x14ac:dyDescent="0.3">
      <c r="B24" s="2078"/>
      <c r="C24" s="2079" t="s">
        <v>595</v>
      </c>
      <c r="D24" s="1995">
        <v>200000</v>
      </c>
      <c r="H24" s="2059"/>
      <c r="I24" s="2077"/>
      <c r="J24" s="2077"/>
    </row>
    <row r="25" spans="2:10" s="2076" customFormat="1" x14ac:dyDescent="0.3">
      <c r="B25" s="2078"/>
      <c r="C25" s="2035" t="s">
        <v>596</v>
      </c>
      <c r="D25" s="1995">
        <v>250000</v>
      </c>
      <c r="H25" s="2059"/>
      <c r="I25" s="2077"/>
      <c r="J25" s="2077"/>
    </row>
    <row r="26" spans="2:10" x14ac:dyDescent="0.3">
      <c r="B26" s="2061">
        <v>53204100100001</v>
      </c>
      <c r="C26" s="2071" t="s">
        <v>119</v>
      </c>
      <c r="D26" s="2057">
        <f>SUM(D27:D31)</f>
        <v>4085000</v>
      </c>
      <c r="E26" s="2063">
        <f>+D26*E3</f>
        <v>4289250</v>
      </c>
      <c r="H26" s="2059"/>
      <c r="I26" s="2052"/>
      <c r="J26" s="2052"/>
    </row>
    <row r="27" spans="2:10" x14ac:dyDescent="0.3">
      <c r="B27" s="1997">
        <v>14</v>
      </c>
      <c r="C27" s="2080" t="s">
        <v>597</v>
      </c>
      <c r="D27" s="1995">
        <f>B27*110000</f>
        <v>1540000</v>
      </c>
      <c r="E27" s="2070"/>
      <c r="H27" s="2054"/>
      <c r="I27" s="2052"/>
      <c r="J27" s="2052"/>
    </row>
    <row r="28" spans="2:10" x14ac:dyDescent="0.3">
      <c r="B28" s="1997">
        <v>1</v>
      </c>
      <c r="C28" s="2080" t="s">
        <v>598</v>
      </c>
      <c r="D28" s="1995">
        <v>95000</v>
      </c>
      <c r="E28" s="2070"/>
      <c r="H28" s="2054"/>
      <c r="I28" s="2052"/>
      <c r="J28" s="2052"/>
    </row>
    <row r="29" spans="2:10" x14ac:dyDescent="0.3">
      <c r="B29" s="1997">
        <v>1</v>
      </c>
      <c r="C29" s="2080" t="s">
        <v>599</v>
      </c>
      <c r="D29" s="1995">
        <v>500000</v>
      </c>
      <c r="E29" s="2070"/>
      <c r="H29" s="2054"/>
      <c r="I29" s="2052"/>
      <c r="J29" s="2052"/>
    </row>
    <row r="30" spans="2:10" x14ac:dyDescent="0.3">
      <c r="B30" s="1997">
        <v>1</v>
      </c>
      <c r="C30" s="2080" t="s">
        <v>600</v>
      </c>
      <c r="D30" s="1995">
        <v>450000</v>
      </c>
      <c r="H30" s="2059"/>
      <c r="I30" s="2052"/>
      <c r="J30" s="2052"/>
    </row>
    <row r="31" spans="2:10" x14ac:dyDescent="0.3">
      <c r="B31" s="1997">
        <v>3</v>
      </c>
      <c r="C31" s="2080" t="s">
        <v>601</v>
      </c>
      <c r="D31" s="1995">
        <v>1500000</v>
      </c>
      <c r="H31" s="2059"/>
      <c r="I31" s="2052"/>
      <c r="J31" s="2052"/>
    </row>
    <row r="32" spans="2:10" x14ac:dyDescent="0.3">
      <c r="B32" s="2061">
        <v>53204130100000</v>
      </c>
      <c r="C32" s="2062" t="s">
        <v>120</v>
      </c>
      <c r="D32" s="2058">
        <f>SUM(D33:D41)</f>
        <v>3218000</v>
      </c>
      <c r="E32" s="2063">
        <f>D32*E3</f>
        <v>3378900</v>
      </c>
      <c r="H32" s="2059"/>
      <c r="I32" s="2052"/>
      <c r="J32" s="2052"/>
    </row>
    <row r="33" spans="2:10" x14ac:dyDescent="0.3">
      <c r="B33" s="1997">
        <v>2</v>
      </c>
      <c r="C33" s="2006" t="s">
        <v>602</v>
      </c>
      <c r="D33" s="1995">
        <v>300000</v>
      </c>
      <c r="H33" s="2054"/>
      <c r="I33" s="2052"/>
      <c r="J33" s="2052"/>
    </row>
    <row r="34" spans="2:10" x14ac:dyDescent="0.3">
      <c r="B34" s="1997">
        <v>2</v>
      </c>
      <c r="C34" s="2006" t="s">
        <v>603</v>
      </c>
      <c r="D34" s="1995">
        <v>160000</v>
      </c>
      <c r="H34" s="2059"/>
      <c r="I34" s="2052"/>
      <c r="J34" s="2052"/>
    </row>
    <row r="35" spans="2:10" x14ac:dyDescent="0.3">
      <c r="B35" s="1997">
        <v>1</v>
      </c>
      <c r="C35" s="2006" t="s">
        <v>604</v>
      </c>
      <c r="D35" s="1995">
        <v>18000</v>
      </c>
      <c r="H35" s="2059"/>
      <c r="I35" s="2052"/>
      <c r="J35" s="2052"/>
    </row>
    <row r="36" spans="2:10" x14ac:dyDescent="0.3">
      <c r="B36" s="1997">
        <v>4</v>
      </c>
      <c r="C36" s="2006" t="s">
        <v>605</v>
      </c>
      <c r="D36" s="1995">
        <v>180000</v>
      </c>
      <c r="H36" s="2059"/>
      <c r="I36" s="2052"/>
      <c r="J36" s="2052"/>
    </row>
    <row r="37" spans="2:10" x14ac:dyDescent="0.3">
      <c r="B37" s="1997">
        <v>3</v>
      </c>
      <c r="C37" s="2006" t="s">
        <v>606</v>
      </c>
      <c r="D37" s="1995">
        <v>75000</v>
      </c>
      <c r="H37" s="2059"/>
      <c r="I37" s="2052"/>
      <c r="J37" s="2052"/>
    </row>
    <row r="38" spans="2:10" x14ac:dyDescent="0.3">
      <c r="B38" s="1997">
        <v>2</v>
      </c>
      <c r="C38" s="2006" t="s">
        <v>607</v>
      </c>
      <c r="D38" s="1995">
        <v>800000</v>
      </c>
      <c r="H38" s="2059"/>
      <c r="I38" s="2052"/>
      <c r="J38" s="2052"/>
    </row>
    <row r="39" spans="2:10" x14ac:dyDescent="0.3">
      <c r="B39" s="1997">
        <v>20</v>
      </c>
      <c r="C39" s="2006" t="s">
        <v>608</v>
      </c>
      <c r="D39" s="1995">
        <v>800000</v>
      </c>
      <c r="H39" s="2059"/>
      <c r="I39" s="2052"/>
      <c r="J39" s="2052"/>
    </row>
    <row r="40" spans="2:10" x14ac:dyDescent="0.3">
      <c r="B40" s="1997">
        <v>2</v>
      </c>
      <c r="C40" s="2006" t="s">
        <v>609</v>
      </c>
      <c r="D40" s="1995">
        <v>780000</v>
      </c>
      <c r="H40" s="2059"/>
      <c r="I40" s="2052"/>
      <c r="J40" s="2052"/>
    </row>
    <row r="41" spans="2:10" x14ac:dyDescent="0.3">
      <c r="B41" s="2081">
        <v>7</v>
      </c>
      <c r="C41" s="2082" t="s">
        <v>610</v>
      </c>
      <c r="D41" s="2083">
        <f>B41*15000</f>
        <v>105000</v>
      </c>
      <c r="H41" s="2059"/>
      <c r="I41" s="2052"/>
      <c r="J41" s="2052"/>
    </row>
    <row r="42" spans="2:10" x14ac:dyDescent="0.3">
      <c r="B42" s="2084">
        <v>53202020100000</v>
      </c>
      <c r="C42" s="2085" t="s">
        <v>611</v>
      </c>
      <c r="D42" s="2086">
        <f>SUM(D43:D49)</f>
        <v>416000</v>
      </c>
      <c r="E42" s="2063">
        <f>D42*E3</f>
        <v>436800</v>
      </c>
      <c r="H42" s="2059"/>
      <c r="I42" s="2052"/>
      <c r="J42" s="2052"/>
    </row>
    <row r="43" spans="2:10" x14ac:dyDescent="0.3">
      <c r="B43" s="2078">
        <v>2</v>
      </c>
      <c r="C43" s="2087" t="s">
        <v>612</v>
      </c>
      <c r="D43" s="1995">
        <v>100000</v>
      </c>
      <c r="H43" s="2059"/>
      <c r="I43" s="2052"/>
      <c r="J43" s="2052"/>
    </row>
    <row r="44" spans="2:10" x14ac:dyDescent="0.3">
      <c r="B44" s="2023">
        <v>4</v>
      </c>
      <c r="C44" s="2087" t="s">
        <v>613</v>
      </c>
      <c r="D44" s="1995">
        <v>60000</v>
      </c>
      <c r="H44" s="2059"/>
      <c r="I44" s="2052"/>
      <c r="J44" s="2052"/>
    </row>
    <row r="45" spans="2:10" x14ac:dyDescent="0.3">
      <c r="B45" s="2023">
        <v>2</v>
      </c>
      <c r="C45" s="2087" t="s">
        <v>614</v>
      </c>
      <c r="D45" s="1995">
        <v>30000</v>
      </c>
      <c r="H45" s="2059"/>
      <c r="I45" s="2052"/>
      <c r="J45" s="2052"/>
    </row>
    <row r="46" spans="2:10" x14ac:dyDescent="0.3">
      <c r="B46" s="2023">
        <v>10</v>
      </c>
      <c r="C46" s="2087" t="s">
        <v>615</v>
      </c>
      <c r="D46" s="1995">
        <v>120000</v>
      </c>
      <c r="H46" s="2059"/>
      <c r="I46" s="2052"/>
      <c r="J46" s="2052"/>
    </row>
    <row r="47" spans="2:10" x14ac:dyDescent="0.3">
      <c r="B47" s="2023">
        <v>2</v>
      </c>
      <c r="C47" s="2087" t="s">
        <v>616</v>
      </c>
      <c r="D47" s="1995">
        <v>34000</v>
      </c>
      <c r="H47" s="2059"/>
      <c r="I47" s="2052"/>
      <c r="J47" s="2052"/>
    </row>
    <row r="48" spans="2:10" x14ac:dyDescent="0.3">
      <c r="B48" s="2023">
        <v>3</v>
      </c>
      <c r="C48" s="2087" t="s">
        <v>617</v>
      </c>
      <c r="D48" s="1995">
        <v>48000</v>
      </c>
      <c r="H48" s="2059"/>
      <c r="I48" s="2052"/>
      <c r="J48" s="2052"/>
    </row>
    <row r="49" spans="2:11" x14ac:dyDescent="0.3">
      <c r="B49" s="2023">
        <v>2</v>
      </c>
      <c r="C49" s="2087" t="s">
        <v>618</v>
      </c>
      <c r="D49" s="1995">
        <v>24000</v>
      </c>
      <c r="H49" s="2059"/>
      <c r="I49" s="2052"/>
      <c r="J49" s="2052"/>
    </row>
    <row r="50" spans="2:11" x14ac:dyDescent="0.3">
      <c r="B50" s="2084">
        <v>53202030000000</v>
      </c>
      <c r="C50" s="2085" t="s">
        <v>136</v>
      </c>
      <c r="D50" s="2088">
        <f>SUM(D51:D52)</f>
        <v>143000</v>
      </c>
      <c r="E50" s="2063">
        <f>D50*E3</f>
        <v>150150</v>
      </c>
      <c r="H50" s="2054"/>
      <c r="I50" s="2052"/>
      <c r="J50" s="2052"/>
    </row>
    <row r="51" spans="2:11" x14ac:dyDescent="0.3">
      <c r="B51" s="2023">
        <v>1</v>
      </c>
      <c r="C51" s="2087" t="s">
        <v>619</v>
      </c>
      <c r="D51" s="1995">
        <v>38000</v>
      </c>
      <c r="H51" s="2059"/>
      <c r="I51" s="2052"/>
      <c r="J51" s="2052"/>
    </row>
    <row r="52" spans="2:11" x14ac:dyDescent="0.3">
      <c r="B52" s="2023">
        <v>3</v>
      </c>
      <c r="C52" s="2087" t="s">
        <v>620</v>
      </c>
      <c r="D52" s="1995">
        <v>105000</v>
      </c>
      <c r="H52" s="2059"/>
      <c r="I52" s="2052"/>
      <c r="J52" s="2052"/>
    </row>
    <row r="53" spans="2:11" x14ac:dyDescent="0.3">
      <c r="B53" s="2084">
        <v>53204010000000</v>
      </c>
      <c r="C53" s="2089" t="s">
        <v>144</v>
      </c>
      <c r="D53" s="2090">
        <f>SUM(D54:D55)</f>
        <v>350000</v>
      </c>
      <c r="E53" s="2063">
        <f>+D53*E3</f>
        <v>367500</v>
      </c>
      <c r="H53" s="2059"/>
      <c r="I53" s="2052"/>
      <c r="J53" s="2052"/>
    </row>
    <row r="54" spans="2:11" x14ac:dyDescent="0.3">
      <c r="B54" s="2023">
        <v>1</v>
      </c>
      <c r="C54" s="2035" t="s">
        <v>621</v>
      </c>
      <c r="D54" s="1995">
        <v>250000</v>
      </c>
      <c r="H54" s="2059"/>
      <c r="I54" s="2052"/>
      <c r="J54" s="2052"/>
    </row>
    <row r="55" spans="2:11" x14ac:dyDescent="0.3">
      <c r="B55" s="2023">
        <v>1</v>
      </c>
      <c r="C55" s="2035" t="s">
        <v>622</v>
      </c>
      <c r="D55" s="1995">
        <v>100000</v>
      </c>
      <c r="H55" s="2059"/>
      <c r="I55" s="2052"/>
      <c r="J55" s="2052"/>
    </row>
    <row r="56" spans="2:11" x14ac:dyDescent="0.3">
      <c r="B56" s="2084">
        <v>53204060000000</v>
      </c>
      <c r="C56" s="2089" t="s">
        <v>146</v>
      </c>
      <c r="D56" s="2088">
        <f>SUM(D57)</f>
        <v>400000</v>
      </c>
      <c r="E56" s="2063">
        <f>D56*E3</f>
        <v>420000</v>
      </c>
      <c r="H56" s="2059"/>
      <c r="I56" s="2052"/>
      <c r="J56" s="2052"/>
    </row>
    <row r="57" spans="2:11" x14ac:dyDescent="0.3">
      <c r="B57" s="2023">
        <v>1</v>
      </c>
      <c r="C57" s="2035" t="s">
        <v>623</v>
      </c>
      <c r="D57" s="1995">
        <v>400000</v>
      </c>
      <c r="E57" s="2091"/>
      <c r="H57" s="2054"/>
      <c r="I57" s="2052"/>
      <c r="J57" s="2052"/>
    </row>
    <row r="58" spans="2:11" x14ac:dyDescent="0.3">
      <c r="B58" s="2084">
        <v>53204070000000</v>
      </c>
      <c r="C58" s="2089" t="s">
        <v>147</v>
      </c>
      <c r="D58" s="2088">
        <f>SUM(D59)</f>
        <v>1200000</v>
      </c>
      <c r="E58" s="2063">
        <f>+D58*E3</f>
        <v>1260000</v>
      </c>
      <c r="H58" s="2059"/>
      <c r="I58" s="2052"/>
      <c r="J58" s="2052"/>
    </row>
    <row r="59" spans="2:11" x14ac:dyDescent="0.3">
      <c r="B59" s="2092">
        <v>4</v>
      </c>
      <c r="C59" s="2093" t="s">
        <v>624</v>
      </c>
      <c r="D59" s="2094">
        <v>1200000</v>
      </c>
      <c r="H59" s="2059"/>
      <c r="I59" s="2052"/>
      <c r="J59" s="2052"/>
      <c r="K59" s="2052"/>
    </row>
    <row r="60" spans="2:11" x14ac:dyDescent="0.3">
      <c r="B60" s="2084">
        <v>53204080000000</v>
      </c>
      <c r="C60" s="2089" t="s">
        <v>148</v>
      </c>
      <c r="D60" s="2088">
        <f>SUM(D61:D64)</f>
        <v>462000</v>
      </c>
      <c r="E60" s="2063">
        <f>+D60*E3</f>
        <v>485100</v>
      </c>
      <c r="H60" s="2059"/>
      <c r="I60" s="2052"/>
      <c r="J60" s="2052"/>
      <c r="K60" s="2052"/>
    </row>
    <row r="61" spans="2:11" x14ac:dyDescent="0.3">
      <c r="B61" s="2095">
        <v>6</v>
      </c>
      <c r="C61" s="2096" t="s">
        <v>625</v>
      </c>
      <c r="D61" s="2097">
        <v>78000</v>
      </c>
      <c r="H61" s="2059"/>
      <c r="I61" s="2052"/>
      <c r="J61" s="2052"/>
      <c r="K61" s="2052"/>
    </row>
    <row r="62" spans="2:11" x14ac:dyDescent="0.3">
      <c r="B62" s="2078">
        <v>2</v>
      </c>
      <c r="C62" s="2035" t="s">
        <v>626</v>
      </c>
      <c r="D62" s="1995">
        <v>90000</v>
      </c>
      <c r="H62" s="2059"/>
      <c r="I62" s="2052"/>
      <c r="J62" s="2052"/>
    </row>
    <row r="63" spans="2:11" x14ac:dyDescent="0.3">
      <c r="B63" s="2078">
        <v>3</v>
      </c>
      <c r="C63" s="2035" t="s">
        <v>627</v>
      </c>
      <c r="D63" s="1995">
        <v>84000</v>
      </c>
      <c r="H63" s="2059"/>
      <c r="I63" s="2052"/>
      <c r="J63" s="2052"/>
    </row>
    <row r="64" spans="2:11" x14ac:dyDescent="0.3">
      <c r="B64" s="2078">
        <v>6</v>
      </c>
      <c r="C64" s="2035" t="s">
        <v>628</v>
      </c>
      <c r="D64" s="1995">
        <v>210000</v>
      </c>
      <c r="H64" s="2054"/>
      <c r="I64" s="2052"/>
      <c r="J64" s="2052"/>
    </row>
    <row r="65" spans="2:10" x14ac:dyDescent="0.3">
      <c r="B65" s="2084">
        <v>53214010000000</v>
      </c>
      <c r="C65" s="2089" t="s">
        <v>149</v>
      </c>
      <c r="D65" s="2088">
        <f>SUM(D66:D68)</f>
        <v>3010000</v>
      </c>
      <c r="E65" s="2063">
        <f>+D65*E3</f>
        <v>3160500</v>
      </c>
      <c r="H65" s="2054"/>
      <c r="I65" s="2052"/>
      <c r="J65" s="2052"/>
    </row>
    <row r="66" spans="2:10" x14ac:dyDescent="0.3">
      <c r="B66" s="1997">
        <v>6</v>
      </c>
      <c r="C66" s="2098" t="s">
        <v>629</v>
      </c>
      <c r="D66" s="1995">
        <v>1200000</v>
      </c>
      <c r="H66" s="2059"/>
      <c r="I66" s="2052"/>
      <c r="J66" s="2052"/>
    </row>
    <row r="67" spans="2:10" x14ac:dyDescent="0.3">
      <c r="B67" s="2099">
        <v>1</v>
      </c>
      <c r="C67" s="2035" t="s">
        <v>630</v>
      </c>
      <c r="D67" s="1995">
        <v>610000</v>
      </c>
      <c r="H67" s="2059"/>
      <c r="I67" s="2052"/>
      <c r="J67" s="2052"/>
    </row>
    <row r="68" spans="2:10" x14ac:dyDescent="0.3">
      <c r="B68" s="2023">
        <v>6</v>
      </c>
      <c r="C68" s="2035" t="s">
        <v>631</v>
      </c>
      <c r="D68" s="1995">
        <v>1200000</v>
      </c>
      <c r="H68" s="2054"/>
      <c r="I68" s="2052"/>
      <c r="J68" s="2052"/>
    </row>
    <row r="69" spans="2:10" x14ac:dyDescent="0.3">
      <c r="B69" s="2084">
        <v>53207020000000</v>
      </c>
      <c r="C69" s="2089" t="s">
        <v>155</v>
      </c>
      <c r="D69" s="2088">
        <f>SUM(D70:D70)</f>
        <v>135000</v>
      </c>
      <c r="E69" s="2067">
        <f>+D69*E3</f>
        <v>141750</v>
      </c>
      <c r="H69" s="2059"/>
      <c r="I69" s="2052"/>
      <c r="J69" s="2052"/>
    </row>
    <row r="70" spans="2:10" x14ac:dyDescent="0.3">
      <c r="B70" s="2023">
        <v>30</v>
      </c>
      <c r="C70" s="2035" t="s">
        <v>632</v>
      </c>
      <c r="D70" s="1995">
        <v>135000</v>
      </c>
      <c r="H70" s="2059"/>
      <c r="I70" s="2052"/>
      <c r="J70" s="2052"/>
    </row>
    <row r="71" spans="2:10" x14ac:dyDescent="0.3">
      <c r="B71" s="2084">
        <v>53206060000000</v>
      </c>
      <c r="C71" s="2089" t="s">
        <v>166</v>
      </c>
      <c r="D71" s="2088">
        <f>SUM(D72:D78)</f>
        <v>2102000</v>
      </c>
      <c r="E71" s="2063">
        <f>+D71*E3</f>
        <v>2207100</v>
      </c>
      <c r="H71" s="2059"/>
      <c r="I71" s="2052"/>
      <c r="J71" s="2052"/>
    </row>
    <row r="72" spans="2:10" x14ac:dyDescent="0.3">
      <c r="B72" s="2078">
        <v>15</v>
      </c>
      <c r="C72" s="2100" t="s">
        <v>633</v>
      </c>
      <c r="D72" s="1995">
        <v>720000</v>
      </c>
      <c r="H72" s="2059"/>
      <c r="I72" s="2052"/>
      <c r="J72" s="2052"/>
    </row>
    <row r="73" spans="2:10" x14ac:dyDescent="0.3">
      <c r="B73" s="2078">
        <v>1</v>
      </c>
      <c r="C73" s="2100" t="s">
        <v>634</v>
      </c>
      <c r="D73" s="1995">
        <v>70000</v>
      </c>
      <c r="H73" s="2059"/>
      <c r="I73" s="2052"/>
      <c r="J73" s="2052"/>
    </row>
    <row r="74" spans="2:10" x14ac:dyDescent="0.3">
      <c r="B74" s="2078">
        <v>1</v>
      </c>
      <c r="C74" s="2100" t="s">
        <v>635</v>
      </c>
      <c r="D74" s="1995">
        <v>70000</v>
      </c>
      <c r="H74" s="2059"/>
      <c r="I74" s="2052"/>
      <c r="J74" s="2052"/>
    </row>
    <row r="75" spans="2:10" x14ac:dyDescent="0.3">
      <c r="B75" s="2078">
        <v>1</v>
      </c>
      <c r="C75" s="2101" t="s">
        <v>636</v>
      </c>
      <c r="D75" s="1995">
        <v>100000</v>
      </c>
      <c r="H75" s="2059"/>
      <c r="I75" s="2052"/>
      <c r="J75" s="2052"/>
    </row>
    <row r="76" spans="2:10" x14ac:dyDescent="0.3">
      <c r="B76" s="1997">
        <v>15</v>
      </c>
      <c r="C76" s="2102" t="s">
        <v>637</v>
      </c>
      <c r="D76" s="1995">
        <v>750000</v>
      </c>
      <c r="H76" s="2059"/>
      <c r="I76" s="2052"/>
      <c r="J76" s="2052"/>
    </row>
    <row r="77" spans="2:10" x14ac:dyDescent="0.3">
      <c r="B77" s="2078">
        <v>1</v>
      </c>
      <c r="C77" s="2100" t="s">
        <v>638</v>
      </c>
      <c r="D77" s="1995">
        <v>200000</v>
      </c>
      <c r="H77" s="2059"/>
      <c r="I77" s="2052"/>
      <c r="J77" s="2052"/>
    </row>
    <row r="78" spans="2:10" x14ac:dyDescent="0.3">
      <c r="B78" s="2078">
        <v>1</v>
      </c>
      <c r="C78" s="2100" t="s">
        <v>639</v>
      </c>
      <c r="D78" s="1995">
        <v>192000</v>
      </c>
      <c r="H78" s="2059"/>
      <c r="I78" s="2052"/>
      <c r="J78" s="2052"/>
    </row>
    <row r="79" spans="2:10" x14ac:dyDescent="0.3">
      <c r="B79" s="2084">
        <v>53206990000000</v>
      </c>
      <c r="C79" s="2089" t="s">
        <v>168</v>
      </c>
      <c r="D79" s="2088">
        <f>SUM(D80)</f>
        <v>1600000</v>
      </c>
      <c r="E79" s="2063">
        <f>+D79*E3</f>
        <v>1680000</v>
      </c>
      <c r="H79" s="2059"/>
      <c r="I79" s="2052"/>
      <c r="J79" s="2052"/>
    </row>
    <row r="80" spans="2:10" x14ac:dyDescent="0.3">
      <c r="B80" s="2078">
        <v>1</v>
      </c>
      <c r="C80" s="2035" t="s">
        <v>640</v>
      </c>
      <c r="D80" s="1995">
        <v>1600000</v>
      </c>
      <c r="E80" s="2103"/>
      <c r="H80" s="2059"/>
      <c r="I80" s="2052"/>
      <c r="J80" s="2052"/>
    </row>
    <row r="81" spans="1:10" x14ac:dyDescent="0.3">
      <c r="A81" s="2052"/>
      <c r="B81" s="2084">
        <v>53208030000000</v>
      </c>
      <c r="C81" s="2089" t="s">
        <v>169</v>
      </c>
      <c r="D81" s="2088">
        <v>0</v>
      </c>
      <c r="E81" s="2088">
        <v>0</v>
      </c>
      <c r="H81" s="2059"/>
      <c r="I81" s="2052"/>
      <c r="J81" s="2052"/>
    </row>
    <row r="82" spans="1:10" x14ac:dyDescent="0.3">
      <c r="A82" s="2052"/>
      <c r="B82" s="2078"/>
      <c r="C82" s="2035"/>
      <c r="D82" s="1996"/>
      <c r="E82" s="1996"/>
      <c r="H82" s="2059"/>
      <c r="I82" s="2052"/>
      <c r="J82" s="2052"/>
    </row>
    <row r="83" spans="1:10" x14ac:dyDescent="0.3">
      <c r="A83" s="2052"/>
      <c r="B83" s="2084">
        <v>53212060000000</v>
      </c>
      <c r="C83" s="2089" t="s">
        <v>170</v>
      </c>
      <c r="D83" s="2088">
        <v>0</v>
      </c>
      <c r="E83" s="2058">
        <f>D83*31%+D83</f>
        <v>0</v>
      </c>
      <c r="H83" s="2054"/>
      <c r="I83" s="2052"/>
      <c r="J83" s="2052"/>
    </row>
    <row r="84" spans="1:10" x14ac:dyDescent="0.3">
      <c r="A84" s="2052"/>
      <c r="B84" s="2073">
        <v>53210020500000</v>
      </c>
      <c r="C84" s="2065" t="s">
        <v>641</v>
      </c>
      <c r="D84" s="2104"/>
      <c r="E84" s="2067">
        <v>1816408</v>
      </c>
      <c r="H84" s="2059"/>
      <c r="I84" s="2052"/>
      <c r="J84" s="2052"/>
    </row>
    <row r="85" spans="1:10" x14ac:dyDescent="0.3">
      <c r="B85" s="2084">
        <v>53204999000000</v>
      </c>
      <c r="C85" s="2089" t="s">
        <v>173</v>
      </c>
      <c r="D85" s="2088">
        <f>SUM(D86)</f>
        <v>1110000</v>
      </c>
      <c r="E85" s="2067">
        <f>+D85*E3</f>
        <v>1165500</v>
      </c>
      <c r="H85" s="2059"/>
      <c r="I85" s="2052"/>
      <c r="J85" s="2052"/>
    </row>
    <row r="86" spans="1:10" x14ac:dyDescent="0.3">
      <c r="B86" s="2105"/>
      <c r="C86" s="2105" t="s">
        <v>642</v>
      </c>
      <c r="D86" s="2083">
        <v>1110000</v>
      </c>
    </row>
    <row r="87" spans="1:10" x14ac:dyDescent="0.3">
      <c r="B87" s="2073">
        <v>53208010100000</v>
      </c>
      <c r="C87" s="2065" t="s">
        <v>127</v>
      </c>
      <c r="D87" s="2104">
        <v>11800000</v>
      </c>
      <c r="E87" s="2063">
        <f>+D87*E3</f>
        <v>12390000</v>
      </c>
    </row>
    <row r="88" spans="1:10" x14ac:dyDescent="0.3">
      <c r="B88" s="2106"/>
      <c r="C88" s="2107" t="s">
        <v>643</v>
      </c>
      <c r="D88" s="1995">
        <v>1800000</v>
      </c>
      <c r="E88" s="2106"/>
    </row>
    <row r="89" spans="1:10" x14ac:dyDescent="0.3">
      <c r="B89" s="2106"/>
      <c r="C89" s="2106" t="s">
        <v>644</v>
      </c>
      <c r="D89" s="1995">
        <v>10000000</v>
      </c>
      <c r="E89" s="2106"/>
    </row>
    <row r="90" spans="1:10" x14ac:dyDescent="0.3">
      <c r="B90" s="2073">
        <v>53205080000000</v>
      </c>
      <c r="C90" s="2065" t="s">
        <v>140</v>
      </c>
      <c r="D90" s="2104">
        <f>SUM(D91:D92)</f>
        <v>3060000</v>
      </c>
      <c r="E90" s="2067">
        <f>+D90*E3</f>
        <v>3213000</v>
      </c>
    </row>
    <row r="91" spans="1:10" x14ac:dyDescent="0.3">
      <c r="B91" s="2106"/>
      <c r="C91" s="2106" t="s">
        <v>645</v>
      </c>
      <c r="D91" s="2083">
        <v>2940000</v>
      </c>
    </row>
    <row r="92" spans="1:10" x14ac:dyDescent="0.3">
      <c r="B92" s="2073">
        <v>53208020000000</v>
      </c>
      <c r="C92" s="2065" t="s">
        <v>156</v>
      </c>
      <c r="D92" s="2104">
        <v>120000</v>
      </c>
      <c r="E92" s="2063">
        <v>121787</v>
      </c>
    </row>
    <row r="93" spans="1:10" x14ac:dyDescent="0.3">
      <c r="B93" s="2108"/>
      <c r="C93" s="2109" t="s">
        <v>646</v>
      </c>
      <c r="D93" s="2109"/>
      <c r="E93" s="2110">
        <v>3460965</v>
      </c>
    </row>
    <row r="94" spans="1:10" x14ac:dyDescent="0.3">
      <c r="B94" s="2073">
        <v>53206070000000</v>
      </c>
      <c r="C94" s="2065" t="s">
        <v>167</v>
      </c>
      <c r="D94" s="2104">
        <v>80000</v>
      </c>
      <c r="E94" s="2063">
        <f>+D94*E3</f>
        <v>84000</v>
      </c>
    </row>
    <row r="97" spans="2:4" x14ac:dyDescent="0.3">
      <c r="B97" s="2111" t="s">
        <v>647</v>
      </c>
      <c r="C97" s="2100" t="s">
        <v>648</v>
      </c>
      <c r="D97" s="1995">
        <v>8000000</v>
      </c>
    </row>
    <row r="98" spans="2:4" x14ac:dyDescent="0.3">
      <c r="B98" s="2112"/>
      <c r="C98" s="2035" t="s">
        <v>649</v>
      </c>
      <c r="D98" s="1995">
        <v>5200000</v>
      </c>
    </row>
    <row r="99" spans="2:4" x14ac:dyDescent="0.3">
      <c r="B99" s="2112"/>
      <c r="C99" s="2113" t="s">
        <v>650</v>
      </c>
      <c r="D99" s="1995">
        <v>6500000</v>
      </c>
    </row>
    <row r="100" spans="2:4" x14ac:dyDescent="0.3">
      <c r="C100" s="2113" t="s">
        <v>651</v>
      </c>
      <c r="D100" s="1995">
        <v>5000000</v>
      </c>
    </row>
    <row r="101" spans="2:4" x14ac:dyDescent="0.3">
      <c r="C101" s="2035" t="s">
        <v>652</v>
      </c>
      <c r="D101" s="1995">
        <v>2096000</v>
      </c>
    </row>
    <row r="102" spans="2:4" x14ac:dyDescent="0.3">
      <c r="B102" s="2114"/>
      <c r="D102" s="2051"/>
    </row>
    <row r="103" spans="2:4" x14ac:dyDescent="0.3">
      <c r="B103" s="2114"/>
      <c r="D103" s="2051"/>
    </row>
    <row r="104" spans="2:4" x14ac:dyDescent="0.3">
      <c r="B104" s="2114"/>
      <c r="D104" s="2051"/>
    </row>
    <row r="105" spans="2:4" x14ac:dyDescent="0.3">
      <c r="B105" s="2114"/>
      <c r="D105" s="2051"/>
    </row>
    <row r="106" spans="2:4" x14ac:dyDescent="0.3">
      <c r="B106" s="2115"/>
      <c r="D106" s="205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E66"/>
  <sheetViews>
    <sheetView workbookViewId="0">
      <selection activeCell="C6" sqref="C6"/>
    </sheetView>
  </sheetViews>
  <sheetFormatPr baseColWidth="10" defaultColWidth="11.453125" defaultRowHeight="14" x14ac:dyDescent="0.3"/>
  <cols>
    <col min="1" max="1" width="3.26953125" style="1975" customWidth="1"/>
    <col min="2" max="2" width="15.453125" style="1975" customWidth="1"/>
    <col min="3" max="3" width="40.81640625" style="1975" customWidth="1"/>
    <col min="4" max="4" width="15.1796875" style="1975" customWidth="1"/>
    <col min="5" max="5" width="19.1796875" style="1975" customWidth="1"/>
    <col min="6" max="16384" width="11.453125" style="1975"/>
  </cols>
  <sheetData>
    <row r="1" spans="2:5" x14ac:dyDescent="0.3">
      <c r="D1" s="1976">
        <v>1.05</v>
      </c>
    </row>
    <row r="2" spans="2:5" x14ac:dyDescent="0.3">
      <c r="B2" s="1978"/>
      <c r="D2" s="1979"/>
      <c r="E2" s="2116">
        <v>2025</v>
      </c>
    </row>
    <row r="3" spans="2:5" ht="23.5" x14ac:dyDescent="0.3">
      <c r="B3" s="1982" t="s">
        <v>531</v>
      </c>
      <c r="C3" s="1983" t="s">
        <v>113</v>
      </c>
      <c r="D3" s="1984" t="s">
        <v>653</v>
      </c>
      <c r="E3" s="2117" t="s">
        <v>654</v>
      </c>
    </row>
    <row r="4" spans="2:5" ht="14.5" x14ac:dyDescent="0.3">
      <c r="B4" s="2028">
        <v>53203010100000</v>
      </c>
      <c r="C4" s="2118" t="s">
        <v>116</v>
      </c>
      <c r="D4" s="2048">
        <f>SUM(D5:D7)</f>
        <v>460000</v>
      </c>
      <c r="E4" s="2119">
        <f>D4*$D$1</f>
        <v>483000</v>
      </c>
    </row>
    <row r="5" spans="2:5" x14ac:dyDescent="0.3">
      <c r="B5" s="1993"/>
      <c r="C5" s="1994" t="s">
        <v>655</v>
      </c>
      <c r="D5" s="1995">
        <v>360000</v>
      </c>
      <c r="E5" s="1996"/>
    </row>
    <row r="6" spans="2:5" x14ac:dyDescent="0.3">
      <c r="B6" s="1997"/>
      <c r="C6" s="2060" t="s">
        <v>656</v>
      </c>
      <c r="D6" s="1995">
        <v>60000</v>
      </c>
      <c r="E6" s="1996"/>
    </row>
    <row r="7" spans="2:5" x14ac:dyDescent="0.3">
      <c r="B7" s="1997"/>
      <c r="C7" s="2060" t="s">
        <v>657</v>
      </c>
      <c r="D7" s="1995">
        <v>40000</v>
      </c>
      <c r="E7" s="1996"/>
    </row>
    <row r="8" spans="2:5" ht="14.5" x14ac:dyDescent="0.3">
      <c r="B8" s="2028">
        <v>53204030000000</v>
      </c>
      <c r="C8" s="2118" t="s">
        <v>118</v>
      </c>
      <c r="D8" s="2048">
        <v>13278706</v>
      </c>
      <c r="E8" s="2119">
        <f t="shared" ref="E8:E54" si="0">D8*$D$1</f>
        <v>13942641.300000001</v>
      </c>
    </row>
    <row r="9" spans="2:5" ht="23" x14ac:dyDescent="0.3">
      <c r="B9" s="1997"/>
      <c r="C9" s="2120" t="s">
        <v>658</v>
      </c>
      <c r="D9" s="1995">
        <v>13278706</v>
      </c>
      <c r="E9" s="1999"/>
    </row>
    <row r="10" spans="2:5" ht="14.5" x14ac:dyDescent="0.3">
      <c r="B10" s="2028">
        <v>53204100100001</v>
      </c>
      <c r="C10" s="2118" t="s">
        <v>119</v>
      </c>
      <c r="D10" s="2048">
        <f>SUM(D11:D20)</f>
        <v>13800000</v>
      </c>
      <c r="E10" s="2119">
        <f>D10*$D$1</f>
        <v>14490000</v>
      </c>
    </row>
    <row r="11" spans="2:5" ht="23.5" x14ac:dyDescent="0.3">
      <c r="B11" s="1997">
        <v>10</v>
      </c>
      <c r="C11" s="2121" t="s">
        <v>659</v>
      </c>
      <c r="D11" s="2009">
        <v>1500000</v>
      </c>
      <c r="E11" s="1999"/>
    </row>
    <row r="12" spans="2:5" x14ac:dyDescent="0.3">
      <c r="B12" s="1997">
        <v>1</v>
      </c>
      <c r="C12" s="2122" t="s">
        <v>660</v>
      </c>
      <c r="D12" s="2009">
        <v>2000000</v>
      </c>
      <c r="E12" s="1999"/>
    </row>
    <row r="13" spans="2:5" x14ac:dyDescent="0.3">
      <c r="B13" s="1997">
        <v>1</v>
      </c>
      <c r="C13" s="2122" t="s">
        <v>661</v>
      </c>
      <c r="D13" s="2009">
        <v>3000000</v>
      </c>
      <c r="E13" s="1999"/>
    </row>
    <row r="14" spans="2:5" x14ac:dyDescent="0.3">
      <c r="B14" s="1997">
        <v>8</v>
      </c>
      <c r="C14" s="2122" t="s">
        <v>662</v>
      </c>
      <c r="D14" s="2009">
        <v>600000</v>
      </c>
      <c r="E14" s="1999"/>
    </row>
    <row r="15" spans="2:5" x14ac:dyDescent="0.3">
      <c r="B15" s="1997">
        <v>1</v>
      </c>
      <c r="C15" s="2122" t="s">
        <v>663</v>
      </c>
      <c r="D15" s="2009">
        <v>1000000</v>
      </c>
      <c r="E15" s="1999"/>
    </row>
    <row r="16" spans="2:5" x14ac:dyDescent="0.3">
      <c r="B16" s="1997">
        <v>5</v>
      </c>
      <c r="C16" s="2122" t="s">
        <v>664</v>
      </c>
      <c r="D16" s="2009">
        <v>1800000</v>
      </c>
      <c r="E16" s="1999"/>
    </row>
    <row r="17" spans="2:5" ht="23.5" x14ac:dyDescent="0.3">
      <c r="B17" s="1997">
        <v>1</v>
      </c>
      <c r="C17" s="2121" t="s">
        <v>665</v>
      </c>
      <c r="D17" s="2009">
        <v>2000000</v>
      </c>
      <c r="E17" s="1999"/>
    </row>
    <row r="18" spans="2:5" x14ac:dyDescent="0.3">
      <c r="B18" s="1997">
        <v>2</v>
      </c>
      <c r="C18" s="2122" t="s">
        <v>666</v>
      </c>
      <c r="D18" s="2009">
        <v>1000000</v>
      </c>
      <c r="E18" s="1999"/>
    </row>
    <row r="19" spans="2:5" x14ac:dyDescent="0.3">
      <c r="B19" s="1997">
        <v>1</v>
      </c>
      <c r="C19" s="2122" t="s">
        <v>667</v>
      </c>
      <c r="D19" s="2009">
        <v>300000</v>
      </c>
      <c r="E19" s="1999"/>
    </row>
    <row r="20" spans="2:5" x14ac:dyDescent="0.3">
      <c r="B20" s="1997">
        <v>2</v>
      </c>
      <c r="C20" s="2122" t="s">
        <v>668</v>
      </c>
      <c r="D20" s="2009">
        <v>600000</v>
      </c>
      <c r="E20" s="1999"/>
    </row>
    <row r="21" spans="2:5" ht="14.5" x14ac:dyDescent="0.3">
      <c r="B21" s="2028">
        <v>53205010100000</v>
      </c>
      <c r="C21" s="2123" t="s">
        <v>121</v>
      </c>
      <c r="D21" s="2124">
        <v>5805741</v>
      </c>
      <c r="E21" s="2125">
        <f t="shared" si="0"/>
        <v>6096028.0499999998</v>
      </c>
    </row>
    <row r="22" spans="2:5" x14ac:dyDescent="0.3">
      <c r="B22" s="2126"/>
      <c r="C22" s="2127" t="s">
        <v>121</v>
      </c>
      <c r="D22" s="2128">
        <v>5805741</v>
      </c>
      <c r="E22" s="2129"/>
    </row>
    <row r="23" spans="2:5" ht="14.5" x14ac:dyDescent="0.3">
      <c r="B23" s="2028">
        <v>53205020100000</v>
      </c>
      <c r="C23" s="2123" t="s">
        <v>122</v>
      </c>
      <c r="D23" s="2124">
        <v>33735154</v>
      </c>
      <c r="E23" s="2125">
        <f t="shared" si="0"/>
        <v>35421911.700000003</v>
      </c>
    </row>
    <row r="24" spans="2:5" x14ac:dyDescent="0.3">
      <c r="B24" s="1997">
        <v>1</v>
      </c>
      <c r="C24" s="2130" t="s">
        <v>122</v>
      </c>
      <c r="D24" s="2009">
        <v>33735154</v>
      </c>
      <c r="E24" s="1999"/>
    </row>
    <row r="25" spans="2:5" ht="14.5" x14ac:dyDescent="0.3">
      <c r="B25" s="2028">
        <v>53205030100000</v>
      </c>
      <c r="C25" s="2123" t="s">
        <v>123</v>
      </c>
      <c r="D25" s="2124">
        <f>SUM(D26:D27)</f>
        <v>1217000</v>
      </c>
      <c r="E25" s="2125">
        <f>D25*$D$1</f>
        <v>1277850</v>
      </c>
    </row>
    <row r="26" spans="2:5" x14ac:dyDescent="0.3">
      <c r="B26" s="1997">
        <v>3</v>
      </c>
      <c r="C26" s="2131" t="s">
        <v>669</v>
      </c>
      <c r="D26" s="2097">
        <v>700000</v>
      </c>
      <c r="E26" s="2129"/>
    </row>
    <row r="27" spans="2:5" x14ac:dyDescent="0.3">
      <c r="B27" s="1997">
        <v>20</v>
      </c>
      <c r="C27" s="2122" t="s">
        <v>670</v>
      </c>
      <c r="D27" s="1995">
        <v>517000</v>
      </c>
      <c r="E27" s="1999"/>
    </row>
    <row r="28" spans="2:5" ht="14.5" x14ac:dyDescent="0.3">
      <c r="B28" s="2028">
        <v>53205050100000</v>
      </c>
      <c r="C28" s="2118" t="s">
        <v>124</v>
      </c>
      <c r="D28" s="2048">
        <f>+B29*D29</f>
        <v>613548</v>
      </c>
      <c r="E28" s="2119">
        <f>D28*$D$1</f>
        <v>644225.4</v>
      </c>
    </row>
    <row r="29" spans="2:5" x14ac:dyDescent="0.3">
      <c r="B29" s="1997">
        <v>12</v>
      </c>
      <c r="C29" s="2122" t="s">
        <v>671</v>
      </c>
      <c r="D29" s="1995">
        <v>51129</v>
      </c>
      <c r="E29" s="1999"/>
    </row>
    <row r="30" spans="2:5" ht="14.5" x14ac:dyDescent="0.3">
      <c r="B30" s="2028">
        <v>53205060100000</v>
      </c>
      <c r="C30" s="2118" t="s">
        <v>125</v>
      </c>
      <c r="D30" s="2048">
        <v>303317</v>
      </c>
      <c r="E30" s="2132">
        <f t="shared" si="0"/>
        <v>318482.85000000003</v>
      </c>
    </row>
    <row r="31" spans="2:5" x14ac:dyDescent="0.3">
      <c r="B31" s="2133">
        <v>12</v>
      </c>
      <c r="C31" s="2134" t="s">
        <v>672</v>
      </c>
      <c r="D31" s="1995">
        <v>25276</v>
      </c>
      <c r="E31" s="1990"/>
    </row>
    <row r="32" spans="2:5" ht="14.5" x14ac:dyDescent="0.3">
      <c r="B32" s="2028">
        <v>53208010100000</v>
      </c>
      <c r="C32" s="2123" t="s">
        <v>127</v>
      </c>
      <c r="D32" s="2124">
        <f>+B33*D33</f>
        <v>804240</v>
      </c>
      <c r="E32" s="2135">
        <f>+D32*D1</f>
        <v>844452</v>
      </c>
    </row>
    <row r="33" spans="2:5" x14ac:dyDescent="0.3">
      <c r="B33" s="2136">
        <v>12</v>
      </c>
      <c r="C33" s="2137" t="s">
        <v>673</v>
      </c>
      <c r="D33" s="2138">
        <v>67020</v>
      </c>
    </row>
    <row r="34" spans="2:5" ht="14.5" x14ac:dyDescent="0.3">
      <c r="B34" s="2028">
        <v>53212020100000</v>
      </c>
      <c r="C34" s="2123" t="s">
        <v>131</v>
      </c>
      <c r="D34" s="2124">
        <v>1835060</v>
      </c>
      <c r="E34" s="2125">
        <f t="shared" si="0"/>
        <v>1926813</v>
      </c>
    </row>
    <row r="35" spans="2:5" x14ac:dyDescent="0.3">
      <c r="B35" s="2139">
        <v>1</v>
      </c>
      <c r="C35" s="2140" t="s">
        <v>674</v>
      </c>
      <c r="D35" s="2009">
        <v>1835060</v>
      </c>
      <c r="E35" s="1999"/>
    </row>
    <row r="36" spans="2:5" x14ac:dyDescent="0.3">
      <c r="B36" s="2141"/>
      <c r="C36" s="2142" t="s">
        <v>134</v>
      </c>
      <c r="D36" s="2143">
        <f>SUM(D37:D38)</f>
        <v>965101</v>
      </c>
      <c r="E36" s="1999">
        <f t="shared" si="0"/>
        <v>1013356.05</v>
      </c>
    </row>
    <row r="37" spans="2:5" ht="14.5" x14ac:dyDescent="0.3">
      <c r="B37" s="2144">
        <v>53202020100000</v>
      </c>
      <c r="C37" s="2145" t="s">
        <v>135</v>
      </c>
      <c r="D37" s="2146">
        <v>551486</v>
      </c>
      <c r="E37" s="1999"/>
    </row>
    <row r="38" spans="2:5" ht="14.5" x14ac:dyDescent="0.3">
      <c r="B38" s="2144">
        <v>53202030000000</v>
      </c>
      <c r="C38" s="2145" t="s">
        <v>136</v>
      </c>
      <c r="D38" s="2146">
        <v>413615</v>
      </c>
      <c r="E38" s="1999"/>
    </row>
    <row r="39" spans="2:5" x14ac:dyDescent="0.3">
      <c r="B39" s="2147"/>
      <c r="C39" s="2148" t="s">
        <v>142</v>
      </c>
      <c r="D39" s="2149">
        <f>SUM(D40:D50)</f>
        <v>11729591</v>
      </c>
      <c r="E39" s="1999">
        <f t="shared" si="0"/>
        <v>12316070.550000001</v>
      </c>
    </row>
    <row r="40" spans="2:5" ht="25.5" x14ac:dyDescent="0.3">
      <c r="B40" s="2028">
        <v>53204010000000</v>
      </c>
      <c r="C40" s="2150" t="s">
        <v>675</v>
      </c>
      <c r="D40" s="2048">
        <v>459572</v>
      </c>
      <c r="E40" s="1999">
        <f t="shared" si="0"/>
        <v>482550.60000000003</v>
      </c>
    </row>
    <row r="41" spans="2:5" ht="14.5" x14ac:dyDescent="0.3">
      <c r="B41" s="2028">
        <v>53204040200000</v>
      </c>
      <c r="C41" s="2118" t="s">
        <v>145</v>
      </c>
      <c r="D41" s="2048">
        <v>344679</v>
      </c>
      <c r="E41" s="1999">
        <f t="shared" si="0"/>
        <v>361912.95</v>
      </c>
    </row>
    <row r="42" spans="2:5" ht="14.5" x14ac:dyDescent="0.3">
      <c r="B42" s="2151">
        <v>3</v>
      </c>
      <c r="C42" s="2145" t="s">
        <v>676</v>
      </c>
      <c r="D42" s="2146">
        <v>344679</v>
      </c>
      <c r="E42" s="1990">
        <f t="shared" si="0"/>
        <v>361912.95</v>
      </c>
    </row>
    <row r="43" spans="2:5" ht="14.5" x14ac:dyDescent="0.3">
      <c r="B43" s="2028">
        <v>53204070000000</v>
      </c>
      <c r="C43" s="2118" t="s">
        <v>147</v>
      </c>
      <c r="D43" s="2048">
        <v>2580496</v>
      </c>
      <c r="E43" s="1999">
        <f t="shared" si="0"/>
        <v>2709520.8000000003</v>
      </c>
    </row>
    <row r="44" spans="2:5" ht="14.5" x14ac:dyDescent="0.3">
      <c r="B44" s="2151">
        <v>3</v>
      </c>
      <c r="C44" s="2145" t="s">
        <v>677</v>
      </c>
      <c r="D44" s="2146">
        <v>860165</v>
      </c>
      <c r="E44" s="1990">
        <f t="shared" si="0"/>
        <v>903173.25</v>
      </c>
    </row>
    <row r="45" spans="2:5" ht="14.5" x14ac:dyDescent="0.3">
      <c r="B45" s="2028">
        <v>53214010000000</v>
      </c>
      <c r="C45" s="2118" t="s">
        <v>149</v>
      </c>
      <c r="D45" s="2048">
        <v>3570000</v>
      </c>
      <c r="E45" s="1999">
        <f t="shared" si="0"/>
        <v>3748500</v>
      </c>
    </row>
    <row r="46" spans="2:5" ht="14.5" x14ac:dyDescent="0.3">
      <c r="B46" s="2144">
        <v>10</v>
      </c>
      <c r="C46" s="2145" t="s">
        <v>678</v>
      </c>
      <c r="D46" s="2146">
        <v>2000000</v>
      </c>
      <c r="E46" s="1999"/>
    </row>
    <row r="47" spans="2:5" ht="14.5" x14ac:dyDescent="0.3">
      <c r="B47" s="2144">
        <v>1</v>
      </c>
      <c r="C47" s="2145" t="s">
        <v>679</v>
      </c>
      <c r="D47" s="2146">
        <v>420000</v>
      </c>
      <c r="E47" s="1999"/>
    </row>
    <row r="48" spans="2:5" ht="14.5" x14ac:dyDescent="0.3">
      <c r="B48" s="2144">
        <v>2</v>
      </c>
      <c r="C48" s="2145" t="s">
        <v>680</v>
      </c>
      <c r="D48" s="2146">
        <v>500000</v>
      </c>
      <c r="E48" s="1999"/>
    </row>
    <row r="49" spans="2:5" ht="14.5" x14ac:dyDescent="0.3">
      <c r="B49" s="2151">
        <v>1</v>
      </c>
      <c r="C49" s="2145" t="s">
        <v>681</v>
      </c>
      <c r="D49" s="2146">
        <v>200000</v>
      </c>
      <c r="E49" s="1999"/>
    </row>
    <row r="50" spans="2:5" ht="14.5" x14ac:dyDescent="0.3">
      <c r="B50" s="2151">
        <v>1</v>
      </c>
      <c r="C50" s="2152" t="s">
        <v>682</v>
      </c>
      <c r="D50" s="2146">
        <v>450000</v>
      </c>
      <c r="E50" s="1999"/>
    </row>
    <row r="51" spans="2:5" ht="14.5" x14ac:dyDescent="0.3">
      <c r="B51" s="2028">
        <v>53214040000000</v>
      </c>
      <c r="C51" s="2118" t="s">
        <v>150</v>
      </c>
      <c r="D51" s="2048">
        <v>600000</v>
      </c>
      <c r="E51" s="1999"/>
    </row>
    <row r="52" spans="2:5" ht="14.5" x14ac:dyDescent="0.3">
      <c r="B52" s="2144">
        <v>1</v>
      </c>
      <c r="C52" s="2145" t="s">
        <v>683</v>
      </c>
      <c r="D52" s="2146">
        <v>600000</v>
      </c>
      <c r="E52" s="1999"/>
    </row>
    <row r="53" spans="2:5" x14ac:dyDescent="0.3">
      <c r="B53" s="2147"/>
      <c r="C53" s="2148" t="s">
        <v>153</v>
      </c>
      <c r="D53" s="2149">
        <f>SUM(D54:D57)</f>
        <v>16274072</v>
      </c>
      <c r="E53" s="1999">
        <f t="shared" si="0"/>
        <v>17087775.600000001</v>
      </c>
    </row>
    <row r="54" spans="2:5" ht="14.5" x14ac:dyDescent="0.3">
      <c r="B54" s="2028">
        <v>53208020000000</v>
      </c>
      <c r="C54" s="2118" t="s">
        <v>156</v>
      </c>
      <c r="D54" s="2048">
        <v>1000000</v>
      </c>
      <c r="E54" s="1999">
        <f t="shared" si="0"/>
        <v>1050000</v>
      </c>
    </row>
    <row r="55" spans="2:5" ht="14.5" x14ac:dyDescent="0.3">
      <c r="B55" s="2144">
        <v>4</v>
      </c>
      <c r="C55" s="2145" t="s">
        <v>684</v>
      </c>
      <c r="D55" s="2146">
        <v>1000000</v>
      </c>
      <c r="E55" s="1999"/>
    </row>
    <row r="56" spans="2:5" ht="14.5" x14ac:dyDescent="0.3">
      <c r="B56" s="2028">
        <v>53208990000000</v>
      </c>
      <c r="C56" s="2118" t="s">
        <v>157</v>
      </c>
      <c r="D56" s="2048">
        <v>1930202</v>
      </c>
      <c r="E56" s="1990">
        <f>D56*$D$1</f>
        <v>2026712.1</v>
      </c>
    </row>
    <row r="57" spans="2:5" ht="14.5" x14ac:dyDescent="0.3">
      <c r="B57" s="2028">
        <v>53210020100000</v>
      </c>
      <c r="C57" s="2118" t="s">
        <v>162</v>
      </c>
      <c r="D57" s="2048">
        <v>12343870</v>
      </c>
    </row>
    <row r="58" spans="2:5" x14ac:dyDescent="0.3">
      <c r="B58" s="2147"/>
      <c r="C58" s="2148" t="s">
        <v>163</v>
      </c>
      <c r="D58" s="2149">
        <f>SUM(D59:D64)</f>
        <v>18464000</v>
      </c>
    </row>
    <row r="59" spans="2:5" ht="14.5" x14ac:dyDescent="0.3">
      <c r="B59" s="2028">
        <v>53206060000000</v>
      </c>
      <c r="C59" s="2118" t="s">
        <v>166</v>
      </c>
      <c r="D59" s="2048">
        <v>460000</v>
      </c>
    </row>
    <row r="60" spans="2:5" ht="14.5" x14ac:dyDescent="0.3">
      <c r="B60" s="2151">
        <v>4</v>
      </c>
      <c r="C60" s="2152" t="s">
        <v>685</v>
      </c>
      <c r="D60" s="2146">
        <v>60000</v>
      </c>
    </row>
    <row r="61" spans="2:5" ht="14.5" x14ac:dyDescent="0.3">
      <c r="B61" s="2151">
        <v>4</v>
      </c>
      <c r="C61" s="2152" t="s">
        <v>686</v>
      </c>
      <c r="D61" s="2146">
        <v>120000</v>
      </c>
    </row>
    <row r="62" spans="2:5" ht="14.5" x14ac:dyDescent="0.3">
      <c r="B62" s="2151">
        <v>2</v>
      </c>
      <c r="C62" s="2152" t="s">
        <v>687</v>
      </c>
      <c r="D62" s="2146">
        <v>280000</v>
      </c>
    </row>
    <row r="63" spans="2:5" ht="14.5" x14ac:dyDescent="0.3">
      <c r="B63" s="2028">
        <v>53206990000000</v>
      </c>
      <c r="C63" s="2118" t="s">
        <v>168</v>
      </c>
      <c r="D63" s="2048">
        <v>17340000</v>
      </c>
    </row>
    <row r="64" spans="2:5" ht="14.5" x14ac:dyDescent="0.3">
      <c r="B64" s="2028">
        <v>53212060000000</v>
      </c>
      <c r="C64" s="2118" t="s">
        <v>170</v>
      </c>
      <c r="D64" s="2048">
        <v>204000</v>
      </c>
    </row>
    <row r="65" spans="2:4" x14ac:dyDescent="0.3">
      <c r="B65" s="2147"/>
      <c r="C65" s="2148" t="s">
        <v>171</v>
      </c>
      <c r="D65" s="2149">
        <f>SUM(D66:D66)</f>
        <v>2297860</v>
      </c>
    </row>
    <row r="66" spans="2:4" ht="14.5" x14ac:dyDescent="0.3">
      <c r="B66" s="2153">
        <v>53204999000000</v>
      </c>
      <c r="C66" s="2118" t="s">
        <v>173</v>
      </c>
      <c r="D66" s="2048">
        <v>2297860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8"/>
  <sheetViews>
    <sheetView showGridLines="0" workbookViewId="0">
      <selection activeCell="J4" sqref="J4"/>
    </sheetView>
  </sheetViews>
  <sheetFormatPr baseColWidth="10" defaultRowHeight="14.5" x14ac:dyDescent="0.35"/>
  <cols>
    <col min="11" max="11" width="31" customWidth="1"/>
  </cols>
  <sheetData>
    <row r="1" spans="2:12" ht="18" x14ac:dyDescent="0.35">
      <c r="B1" s="5"/>
      <c r="C1" s="5"/>
      <c r="D1" s="5"/>
      <c r="E1" s="5"/>
      <c r="F1" s="5"/>
      <c r="G1" s="5"/>
      <c r="H1" s="285" t="s">
        <v>294</v>
      </c>
      <c r="I1" s="5"/>
      <c r="J1" s="5"/>
      <c r="K1" s="5"/>
      <c r="L1" s="5"/>
    </row>
    <row r="2" spans="2:12" x14ac:dyDescent="0.35">
      <c r="B2" s="5"/>
      <c r="C2" s="5"/>
      <c r="D2" s="5"/>
      <c r="E2" s="5"/>
      <c r="F2" s="5"/>
      <c r="G2" s="5"/>
      <c r="H2" s="5"/>
      <c r="I2" s="5"/>
      <c r="J2" s="5"/>
      <c r="K2" s="5"/>
      <c r="L2" s="5"/>
    </row>
    <row r="3" spans="2:12" x14ac:dyDescent="0.35">
      <c r="B3" s="5"/>
      <c r="C3" s="5"/>
      <c r="D3" s="5"/>
      <c r="E3" s="5"/>
      <c r="F3" s="5"/>
      <c r="G3" s="5"/>
      <c r="H3" s="5"/>
      <c r="I3" s="5"/>
      <c r="J3" s="5"/>
      <c r="K3" s="5"/>
      <c r="L3" s="5"/>
    </row>
    <row r="4" spans="2:12" ht="18" x14ac:dyDescent="0.35">
      <c r="B4" s="2672" t="s">
        <v>295</v>
      </c>
      <c r="C4" s="2672"/>
      <c r="D4" s="2672"/>
      <c r="E4" s="2672"/>
      <c r="F4" s="286"/>
      <c r="G4" s="286"/>
      <c r="H4" s="286"/>
      <c r="I4" s="286"/>
      <c r="J4" s="286"/>
      <c r="K4" s="286"/>
      <c r="L4" s="286"/>
    </row>
    <row r="5" spans="2:12" x14ac:dyDescent="0.35">
      <c r="B5" s="5"/>
      <c r="C5" s="2672" t="s">
        <v>2</v>
      </c>
      <c r="D5" s="2672"/>
      <c r="E5" s="2672"/>
      <c r="F5" s="2672"/>
      <c r="G5" s="2672"/>
      <c r="H5" s="2672"/>
      <c r="I5" s="2672"/>
      <c r="J5" s="2672"/>
      <c r="K5" s="2672"/>
      <c r="L5" s="5"/>
    </row>
    <row r="6" spans="2:12" x14ac:dyDescent="0.35">
      <c r="B6" s="5"/>
      <c r="C6" s="2672" t="s">
        <v>296</v>
      </c>
      <c r="D6" s="2672"/>
      <c r="E6" s="2672"/>
      <c r="F6" s="2672"/>
      <c r="G6" s="2672"/>
      <c r="H6" s="2672"/>
      <c r="I6" s="2672"/>
      <c r="J6" s="2672"/>
      <c r="K6" s="2672"/>
      <c r="L6" s="5" t="s">
        <v>512</v>
      </c>
    </row>
    <row r="7" spans="2:12" x14ac:dyDescent="0.35">
      <c r="B7" s="5"/>
      <c r="C7" s="5"/>
      <c r="D7" s="5"/>
      <c r="E7" s="5"/>
      <c r="F7" s="5"/>
      <c r="G7" s="5"/>
      <c r="H7" s="5"/>
      <c r="I7" s="5"/>
      <c r="J7" s="5"/>
      <c r="K7" s="5"/>
      <c r="L7" s="5"/>
    </row>
    <row r="8" spans="2:12" ht="18" x14ac:dyDescent="0.35">
      <c r="B8" s="2672" t="s">
        <v>297</v>
      </c>
      <c r="C8" s="2672"/>
      <c r="D8" s="2672"/>
      <c r="E8" s="2672"/>
      <c r="F8" s="286"/>
      <c r="G8" s="286"/>
      <c r="H8" s="286"/>
      <c r="I8" s="286"/>
      <c r="J8" s="286"/>
      <c r="K8" s="286"/>
      <c r="L8" s="286"/>
    </row>
    <row r="9" spans="2:12" x14ac:dyDescent="0.35">
      <c r="B9" s="5"/>
      <c r="C9" s="2672" t="s">
        <v>35</v>
      </c>
      <c r="D9" s="2672"/>
      <c r="E9" s="2672"/>
      <c r="F9" s="2672"/>
      <c r="G9" s="2672"/>
      <c r="H9" s="2672"/>
      <c r="I9" s="2672"/>
      <c r="J9" s="2672"/>
      <c r="K9" s="2672"/>
      <c r="L9" s="5"/>
    </row>
    <row r="10" spans="2:12" x14ac:dyDescent="0.35">
      <c r="B10" s="5"/>
      <c r="C10" s="2672" t="s">
        <v>36</v>
      </c>
      <c r="D10" s="2672"/>
      <c r="E10" s="2672"/>
      <c r="F10" s="2672"/>
      <c r="G10" s="2672"/>
      <c r="H10" s="2672"/>
      <c r="I10" s="5"/>
      <c r="J10" s="5"/>
      <c r="K10" s="5"/>
      <c r="L10" s="5"/>
    </row>
    <row r="11" spans="2:12" x14ac:dyDescent="0.35">
      <c r="B11" s="5"/>
      <c r="C11" s="5"/>
      <c r="D11" s="5"/>
      <c r="E11" s="5"/>
      <c r="F11" s="5"/>
      <c r="G11" s="5"/>
      <c r="H11" s="5"/>
      <c r="I11" s="5"/>
      <c r="J11" s="5"/>
      <c r="K11" s="5"/>
      <c r="L11" s="5"/>
    </row>
    <row r="12" spans="2:12" ht="18" x14ac:dyDescent="0.35">
      <c r="B12" s="2672" t="s">
        <v>298</v>
      </c>
      <c r="C12" s="2672"/>
      <c r="D12" s="2672"/>
      <c r="E12" s="2672"/>
      <c r="F12" s="2672"/>
      <c r="G12" s="286"/>
      <c r="H12" s="286"/>
      <c r="I12" s="286"/>
      <c r="J12" s="286"/>
      <c r="K12" s="286"/>
      <c r="L12" s="286"/>
    </row>
    <row r="13" spans="2:12" x14ac:dyDescent="0.35">
      <c r="B13" s="5"/>
      <c r="C13" s="2672" t="s">
        <v>299</v>
      </c>
      <c r="D13" s="2672"/>
      <c r="E13" s="2672"/>
      <c r="F13" s="2672"/>
      <c r="G13" s="2672"/>
      <c r="H13" s="2672"/>
      <c r="I13" s="2672"/>
      <c r="J13" s="2672"/>
      <c r="K13" s="2672"/>
      <c r="L13" s="5"/>
    </row>
    <row r="14" spans="2:12" x14ac:dyDescent="0.35">
      <c r="B14" s="5"/>
      <c r="C14" s="5"/>
      <c r="D14" s="5"/>
      <c r="E14" s="5"/>
      <c r="F14" s="5"/>
      <c r="G14" s="5"/>
      <c r="H14" s="5"/>
      <c r="I14" s="5"/>
      <c r="J14" s="5"/>
      <c r="K14" s="5"/>
      <c r="L14" s="5"/>
    </row>
    <row r="15" spans="2:12" ht="18" x14ac:dyDescent="0.35">
      <c r="B15" s="2672" t="s">
        <v>300</v>
      </c>
      <c r="C15" s="2672"/>
      <c r="D15" s="2672"/>
      <c r="E15" s="2672"/>
      <c r="F15" s="2672"/>
      <c r="G15" s="286"/>
      <c r="H15" s="286"/>
      <c r="I15" s="286"/>
      <c r="J15" s="286"/>
      <c r="K15" s="286"/>
      <c r="L15" s="286"/>
    </row>
    <row r="16" spans="2:12" x14ac:dyDescent="0.35">
      <c r="B16" s="5"/>
      <c r="C16" s="2672" t="s">
        <v>175</v>
      </c>
      <c r="D16" s="2672"/>
      <c r="E16" s="2672"/>
      <c r="F16" s="2672"/>
      <c r="G16" s="2672"/>
      <c r="H16" s="2672"/>
      <c r="I16" s="2672"/>
      <c r="J16" s="2672"/>
      <c r="K16" s="2672"/>
      <c r="L16" s="5"/>
    </row>
    <row r="17" spans="2:12" x14ac:dyDescent="0.35">
      <c r="B17" s="5"/>
      <c r="C17" s="2672" t="s">
        <v>176</v>
      </c>
      <c r="D17" s="2672"/>
      <c r="E17" s="2672"/>
      <c r="F17" s="2672"/>
      <c r="G17" s="2672"/>
      <c r="H17" s="2672"/>
      <c r="I17" s="2672"/>
      <c r="J17" s="2672"/>
      <c r="K17" s="2672"/>
      <c r="L17" s="5"/>
    </row>
    <row r="18" spans="2:12" x14ac:dyDescent="0.35">
      <c r="B18" s="5"/>
      <c r="C18" s="2672" t="s">
        <v>177</v>
      </c>
      <c r="D18" s="2672"/>
      <c r="E18" s="2672"/>
      <c r="F18" s="2672"/>
      <c r="G18" s="2672"/>
      <c r="H18" s="2672"/>
      <c r="I18" s="2672"/>
      <c r="J18" s="2672"/>
      <c r="K18" s="2672"/>
      <c r="L18" s="5"/>
    </row>
    <row r="19" spans="2:12" x14ac:dyDescent="0.35">
      <c r="B19" s="5"/>
      <c r="C19" s="2672" t="s">
        <v>178</v>
      </c>
      <c r="D19" s="2672"/>
      <c r="E19" s="2672"/>
      <c r="F19" s="2672"/>
      <c r="G19" s="2672"/>
      <c r="H19" s="2672"/>
      <c r="I19" s="2672"/>
      <c r="J19" s="2672"/>
      <c r="K19" s="2672"/>
      <c r="L19" s="5"/>
    </row>
    <row r="20" spans="2:12" x14ac:dyDescent="0.35">
      <c r="B20" s="5"/>
      <c r="C20" s="2672" t="s">
        <v>179</v>
      </c>
      <c r="D20" s="2672"/>
      <c r="E20" s="2672"/>
      <c r="F20" s="2672"/>
      <c r="G20" s="2672"/>
      <c r="H20" s="2672"/>
      <c r="I20" s="2672"/>
      <c r="J20" s="2672"/>
      <c r="K20" s="2672"/>
      <c r="L20" s="5"/>
    </row>
    <row r="21" spans="2:12" x14ac:dyDescent="0.35">
      <c r="B21" s="5"/>
      <c r="C21" s="2673" t="s">
        <v>180</v>
      </c>
      <c r="D21" s="2672"/>
      <c r="E21" s="2672"/>
      <c r="F21" s="2672"/>
      <c r="G21" s="2672"/>
      <c r="H21" s="2672"/>
      <c r="I21" s="2672"/>
      <c r="J21" s="2672"/>
      <c r="K21" s="2672"/>
      <c r="L21" s="5"/>
    </row>
    <row r="22" spans="2:12" x14ac:dyDescent="0.35">
      <c r="B22" s="5"/>
      <c r="C22" s="5"/>
      <c r="D22" s="5"/>
      <c r="E22" s="5"/>
      <c r="F22" s="5"/>
      <c r="G22" s="5"/>
      <c r="H22" s="5"/>
      <c r="I22" s="5"/>
      <c r="J22" s="5"/>
      <c r="K22" s="5"/>
      <c r="L22" s="5"/>
    </row>
    <row r="23" spans="2:12" ht="18" x14ac:dyDescent="0.35">
      <c r="B23" s="2672" t="s">
        <v>301</v>
      </c>
      <c r="C23" s="2672"/>
      <c r="D23" s="2672"/>
      <c r="E23" s="2672"/>
      <c r="F23" s="286"/>
      <c r="G23" s="286"/>
      <c r="H23" s="286"/>
      <c r="I23" s="286"/>
      <c r="J23" s="286"/>
      <c r="K23" s="286"/>
      <c r="L23" s="286"/>
    </row>
    <row r="24" spans="2:12" x14ac:dyDescent="0.35">
      <c r="B24" s="5"/>
      <c r="C24" s="2672" t="s">
        <v>205</v>
      </c>
      <c r="D24" s="2672"/>
      <c r="E24" s="2672"/>
      <c r="F24" s="2672"/>
      <c r="G24" s="2672"/>
      <c r="H24" s="2672"/>
      <c r="I24" s="2672"/>
      <c r="J24" s="2672"/>
      <c r="K24" s="2672"/>
      <c r="L24" s="5"/>
    </row>
    <row r="25" spans="2:12" x14ac:dyDescent="0.35">
      <c r="B25" s="5"/>
      <c r="C25" s="287"/>
      <c r="D25" s="287"/>
      <c r="E25" s="287"/>
      <c r="F25" s="287"/>
      <c r="G25" s="287"/>
      <c r="H25" s="287"/>
      <c r="I25" s="287"/>
      <c r="J25" s="287"/>
      <c r="K25" s="287"/>
      <c r="L25" s="5"/>
    </row>
    <row r="26" spans="2:12" ht="18" x14ac:dyDescent="0.35">
      <c r="B26" s="2672" t="s">
        <v>302</v>
      </c>
      <c r="C26" s="2672"/>
      <c r="D26" s="2672"/>
      <c r="E26" s="2672"/>
      <c r="F26" s="286"/>
      <c r="G26" s="286"/>
      <c r="H26" s="286"/>
      <c r="I26" s="286"/>
      <c r="J26" s="286"/>
      <c r="K26" s="286"/>
      <c r="L26" s="286"/>
    </row>
    <row r="27" spans="2:12" x14ac:dyDescent="0.35">
      <c r="B27" s="5"/>
      <c r="C27" s="2672" t="s">
        <v>303</v>
      </c>
      <c r="D27" s="2672"/>
      <c r="E27" s="2672"/>
      <c r="F27" s="2672"/>
      <c r="G27" s="2672"/>
      <c r="H27" s="2672"/>
      <c r="I27" s="2672"/>
      <c r="J27" s="2672"/>
      <c r="K27" s="2672"/>
      <c r="L27" s="5"/>
    </row>
    <row r="28" spans="2:12" x14ac:dyDescent="0.35">
      <c r="B28" s="5"/>
      <c r="C28" s="5"/>
      <c r="D28" s="5"/>
      <c r="E28" s="5"/>
      <c r="F28" s="5"/>
      <c r="G28" s="5"/>
      <c r="H28" s="5"/>
      <c r="I28" s="5"/>
      <c r="J28" s="5"/>
      <c r="K28" s="5"/>
      <c r="L28" s="5"/>
    </row>
    <row r="29" spans="2:12" ht="18" x14ac:dyDescent="0.35">
      <c r="B29" s="2672" t="s">
        <v>304</v>
      </c>
      <c r="C29" s="2672"/>
      <c r="D29" s="2672"/>
      <c r="E29" s="2672"/>
      <c r="F29" s="286"/>
      <c r="G29" s="286"/>
      <c r="H29" s="286"/>
      <c r="I29" s="286"/>
      <c r="J29" s="286"/>
      <c r="K29" s="286"/>
      <c r="L29" s="286"/>
    </row>
    <row r="30" spans="2:12" x14ac:dyDescent="0.35">
      <c r="B30" s="5"/>
      <c r="C30" s="2672" t="s">
        <v>305</v>
      </c>
      <c r="D30" s="2672"/>
      <c r="E30" s="2672"/>
      <c r="F30" s="2672"/>
      <c r="G30" s="2672"/>
      <c r="H30" s="2672"/>
      <c r="I30" s="2672"/>
      <c r="J30" s="2672"/>
      <c r="K30" s="2672"/>
      <c r="L30" s="5"/>
    </row>
    <row r="31" spans="2:12" ht="18" x14ac:dyDescent="0.35">
      <c r="B31" s="2672" t="s">
        <v>306</v>
      </c>
      <c r="C31" s="2672"/>
      <c r="D31" s="2672"/>
      <c r="E31" s="2672"/>
      <c r="F31" s="286"/>
      <c r="G31" s="286"/>
      <c r="H31" s="286"/>
      <c r="I31" s="286"/>
      <c r="J31" s="286"/>
      <c r="K31" s="286"/>
      <c r="L31" s="286"/>
    </row>
    <row r="32" spans="2:12" x14ac:dyDescent="0.35">
      <c r="B32" s="288" t="s">
        <v>307</v>
      </c>
      <c r="C32" s="288"/>
      <c r="D32" s="5"/>
      <c r="E32" s="5"/>
      <c r="F32" s="5"/>
      <c r="G32" s="5"/>
      <c r="H32" s="5"/>
      <c r="I32" s="5"/>
      <c r="J32" s="5"/>
      <c r="K32" s="5"/>
      <c r="L32" s="5"/>
    </row>
    <row r="33" spans="2:12" x14ac:dyDescent="0.35">
      <c r="B33" s="5"/>
      <c r="C33" s="5"/>
      <c r="D33" s="5"/>
      <c r="E33" s="5"/>
      <c r="F33" s="5"/>
      <c r="G33" s="5"/>
      <c r="H33" s="5"/>
      <c r="I33" s="5"/>
      <c r="J33" s="5"/>
      <c r="K33" s="5"/>
      <c r="L33" s="5"/>
    </row>
    <row r="34" spans="2:12" x14ac:dyDescent="0.35">
      <c r="B34" s="5"/>
      <c r="C34" s="288" t="s">
        <v>308</v>
      </c>
      <c r="D34" s="288"/>
      <c r="E34" s="288"/>
      <c r="F34" s="5"/>
      <c r="G34" s="5"/>
      <c r="H34" s="5"/>
      <c r="I34" s="5"/>
      <c r="J34" s="5"/>
      <c r="K34" s="5"/>
      <c r="L34" s="5"/>
    </row>
    <row r="36" spans="2:12" x14ac:dyDescent="0.35">
      <c r="B36" s="2672" t="s">
        <v>309</v>
      </c>
      <c r="C36" s="2672"/>
      <c r="D36" s="2672"/>
    </row>
    <row r="38" spans="2:12" x14ac:dyDescent="0.35">
      <c r="C38" s="2674" t="s">
        <v>311</v>
      </c>
      <c r="D38" s="2674"/>
      <c r="E38" s="2674"/>
      <c r="F38" s="2674"/>
    </row>
  </sheetData>
  <mergeCells count="24">
    <mergeCell ref="C38:F38"/>
    <mergeCell ref="B36:D36"/>
    <mergeCell ref="C18:K18"/>
    <mergeCell ref="B4:E4"/>
    <mergeCell ref="C5:K5"/>
    <mergeCell ref="C6:K6"/>
    <mergeCell ref="B8:E8"/>
    <mergeCell ref="C9:K9"/>
    <mergeCell ref="C10:H10"/>
    <mergeCell ref="B12:F12"/>
    <mergeCell ref="C13:K13"/>
    <mergeCell ref="B15:F15"/>
    <mergeCell ref="C16:K16"/>
    <mergeCell ref="C17:K17"/>
    <mergeCell ref="C27:K27"/>
    <mergeCell ref="B29:E29"/>
    <mergeCell ref="C30:K30"/>
    <mergeCell ref="B31:E31"/>
    <mergeCell ref="C19:K19"/>
    <mergeCell ref="C20:K20"/>
    <mergeCell ref="C21:K21"/>
    <mergeCell ref="B23:E23"/>
    <mergeCell ref="C24:K24"/>
    <mergeCell ref="B26:E26"/>
  </mergeCells>
  <hyperlinks>
    <hyperlink ref="B4" location="'A) Reajuste Tarifas y Ocupación'!A1" display="A) Reajuste Tarifas y Ocupación" xr:uid="{00000000-0004-0000-0100-000000000000}"/>
    <hyperlink ref="C5" location="'A) Reajuste Tarifas y Ocupación'!B9:H37" display="TABLA 1. REAJUSTE DE TARIFAS POR PRESTACIÓN Y SEGMENTO" xr:uid="{00000000-0004-0000-0100-000001000000}"/>
    <hyperlink ref="C6" location="'A) Reajuste Tarifas y Ocupación'!J9:Q37" display="TABLA 2. METAS DE OCUPACIÓN POR PRESTACIÓN Y SEGMENTO" xr:uid="{00000000-0004-0000-0100-000002000000}"/>
    <hyperlink ref="B8" location="'B) Comparación Mercado'!A1" display="B) Comparación Mercado" xr:uid="{00000000-0004-0000-0100-000003000000}"/>
    <hyperlink ref="C9" location="'B) Comparación Mercado'!A13" display="TABLA 1. COMPARACIÓN TARIFAS CON PRECIOS DE MERCADO" xr:uid="{00000000-0004-0000-0100-000004000000}"/>
    <hyperlink ref="B12" location="'D) Estimación Costos'!A1" display="D) Estimación Costos" xr:uid="{00000000-0004-0000-0100-000005000000}"/>
    <hyperlink ref="C13" location="'D) Estimación Costos'!A7" display="TABLA 1. COSTOS DIRECTOS POR CENTRO DE COSTO" xr:uid="{00000000-0004-0000-0100-000006000000}"/>
    <hyperlink ref="B29" location="'E) Resumen Ingresos y Egresos'!A1" display="E) Resumen Ingresos y Egresos" xr:uid="{00000000-0004-0000-0100-000007000000}"/>
    <hyperlink ref="C30" location="'E) Resumen Ingresos y Egresos'!A7:J25" display="TABLA 1. RESUMEN DE INGRESOS Y EGRESOS POR CENTRO DE COSTO" xr:uid="{00000000-0004-0000-0100-000008000000}"/>
    <hyperlink ref="B31" location="'G) Detalle Datos'!A1" display="G) Detalle Datos" xr:uid="{00000000-0004-0000-0100-000009000000}"/>
    <hyperlink ref="C5:K5" location="'A) Resumen Ingresos y Egresos'!A1" display="TABLA 1: RESUMEN DE INGRESOS Y EGRESOS DE CENTROS DE BENEFICIOS" xr:uid="{00000000-0004-0000-0100-00000A000000}"/>
    <hyperlink ref="C30:K30" location="'G) Comparación Mercado'!A13" display="TABLA 14:COMPARACIÓN TARIFAS CON PRECIOS DE MERCADO" xr:uid="{00000000-0004-0000-0100-00000B000000}"/>
    <hyperlink ref="C13:K13" location="'C) Estimación Costos Directos'!A7" display="TABLA 5: COSTOS DIRECTOS DE CENTROS DE BENEFICIOS " xr:uid="{00000000-0004-0000-0100-00000C000000}"/>
    <hyperlink ref="B26" location="'C) Remuneraciones'!A1" display="C) Remuneraciones" xr:uid="{00000000-0004-0000-0100-00000D000000}"/>
    <hyperlink ref="C27" location="'C) Remuneraciones'!A9:M36" display="TABLA 1. REMUNERACIONES DEL PERSONAL CÓDIGO DEL TRABAJO POR CENTRO DE COSTO" xr:uid="{00000000-0004-0000-0100-00000E000000}"/>
    <hyperlink ref="C27:K27" location="'F) Remuneraciones'!B7" display="TABLA 13: REMUNERACIONES DEL PERSONAL LEY 18.712 DE CENTROS DE BENEFICIOS" xr:uid="{00000000-0004-0000-0100-00000F000000}"/>
    <hyperlink ref="B15" location="'D) Estimación Costos'!A1" display="D) Estimación Costos" xr:uid="{00000000-0004-0000-0100-000010000000}"/>
    <hyperlink ref="C16" location="'D) Estimación Costos'!A7" display="TABLA 1. COSTOS DIRECTOS POR CENTRO DE COSTO" xr:uid="{00000000-0004-0000-0100-000011000000}"/>
    <hyperlink ref="C17" location="'D) Estimación Costos'!A1096" display="TABLA 2. COSTOS INDIRECTOS EN REMUNERACIONES DE UNIDADES DE APOYO ADMINISTRATIVO" xr:uid="{00000000-0004-0000-0100-000012000000}"/>
    <hyperlink ref="C18" location="'D) Estimación Costos'!A1150:L1185" display="TABLA 3. COSTOS DE OPERACIÓN PISCINAS POR CENTRO DE COSTO" xr:uid="{00000000-0004-0000-0100-000013000000}"/>
    <hyperlink ref="C18:K18" location="'D) Costos Indirectos '!U9" display="TABLA 8: COSTOS DE OPERACION ADMINISTRACIÓN CENTRAL Y  APOYO ADMINISTRATIVO ASISTENCIA RECREATIVA" xr:uid="{00000000-0004-0000-0100-000014000000}"/>
    <hyperlink ref="C16:K16" location="'D) Costos Indirectos '!C9" display="TABLA 6: REMUNERACIONES DEL PERSONAL LEY 18.712 ADMINISTRACION CENTRAL Y APOYO ADMINISTRATIVO ASISTENCIA RECREATIVA" xr:uid="{00000000-0004-0000-0100-000015000000}"/>
    <hyperlink ref="C9:K9" location="'B) Reajuste Tarifas y Ocupación'!A1" display="TABLA 3: REAJUSTE DE TARIFAS POR PRESTACIÓN Y SEGMENTO" xr:uid="{00000000-0004-0000-0100-000016000000}"/>
    <hyperlink ref="C10" location="'B) Reajuste Tarifas y Ocupación'!A1" display="TABLA 4: METAS DE OCUPACIÓN POR PRESTACIÓN Y SEGMENTO" xr:uid="{00000000-0004-0000-0100-000017000000}"/>
    <hyperlink ref="B12:F12" location="'C) Estimación Costos Directos'!A1" display="C) Estimación Costos Directos" xr:uid="{00000000-0004-0000-0100-000018000000}"/>
    <hyperlink ref="C19" location="'D) Estimación Costos'!A1150:L1185" display="TABLA 3. COSTOS DE OPERACIÓN PISCINAS POR CENTRO DE COSTO" xr:uid="{00000000-0004-0000-0100-000019000000}"/>
    <hyperlink ref="C19:K19" location="'D) Costos Indirectos '!Z9" display="TABLA 9: RESUMEN DISTRIBUCION COSTOS REMUNERACIONES ADMINISTRACION CENTRAL Y APOYO ADMINISTRATIVO A. RECREATIVA" xr:uid="{00000000-0004-0000-0100-00001A000000}"/>
    <hyperlink ref="C20" location="'D) Estimación Costos'!A1150:L1185" display="TABLA 3. COSTOS DE OPERACIÓN PISCINAS POR CENTRO DE COSTO" xr:uid="{00000000-0004-0000-0100-00001B000000}"/>
    <hyperlink ref="C20:K20" location="'D) Costos Indirectos '!AG9" display="TABLA 10: RESUMEN DISTRIBUCION COSTOS OPERACIÓN ADMINISTRACION CENTRAL  Y APOYO ADMINISTRATIVO A. RECREATIVA" xr:uid="{00000000-0004-0000-0100-00001C000000}"/>
    <hyperlink ref="C21" location="'D) Estimación Costos'!A1150:L1185" display="TABLA 3. COSTOS DE OPERACIÓN PISCINAS POR CENTRO DE COSTO" xr:uid="{00000000-0004-0000-0100-00001D000000}"/>
    <hyperlink ref="C21:K21" location="'D) Costos Indirectos '!AN9" display="'D) Costos Indirectos '!AN9" xr:uid="{00000000-0004-0000-0100-00001E000000}"/>
    <hyperlink ref="B23" location="'F) Resumen Tarifado '!A1" display="F) Resumen Tarifado" xr:uid="{00000000-0004-0000-0100-00001F000000}"/>
    <hyperlink ref="C24" location="'F) Resumen Tarifado '!A7:R40" display="TABLA 1. RESUMEN DE TARIFADO POR CENTRO DE COSTO" xr:uid="{00000000-0004-0000-0100-000020000000}"/>
    <hyperlink ref="C24:K24" location="'E) Resumen Tarifado '!A6" display="TABLA 12: RESUMEN DE TARIFADO" xr:uid="{00000000-0004-0000-0100-000021000000}"/>
    <hyperlink ref="B4:E4" location="'A) Resumen Ingresos y Egresos'!A1" display="A) Resumen Ingresos y Egresos" xr:uid="{00000000-0004-0000-0100-000022000000}"/>
    <hyperlink ref="B15:F15" location="'D) Costos Indirectos '!A1" display="D) Costos Indirectos" xr:uid="{00000000-0004-0000-0100-000023000000}"/>
    <hyperlink ref="B23:E23" location="'E) Resumen Tarifado '!A1" display="F) Resumen Tarifado" xr:uid="{00000000-0004-0000-0100-000024000000}"/>
    <hyperlink ref="B26:E26" location="'F) Remuneraciones'!A1" display="F) Remuneraciones" xr:uid="{00000000-0004-0000-0100-000025000000}"/>
    <hyperlink ref="B29:E29" location="'G) Comparación Mercado'!A1" display="G) Comparación Mercado" xr:uid="{00000000-0004-0000-0100-000026000000}"/>
    <hyperlink ref="B31:E31" location="'H) Detalle Datos'!A1" display="H) Detalle Datos" xr:uid="{00000000-0004-0000-0100-000027000000}"/>
    <hyperlink ref="B8:E8" location="'B) Reajuste Tarifas y Ocupación'!A1" display="B) Reajuste Tarifa y Ocupación" xr:uid="{00000000-0004-0000-0100-000028000000}"/>
    <hyperlink ref="C17:K17" location="'D) Costos Indirectos '!M9" display="TABLA 7: DISTRIBUCION COSTOS REMUNERACIONES ADMINISTRACION CENTRAL Y APOYO ADMINISTRATIVO A. RECREATIVA" xr:uid="{00000000-0004-0000-0100-000029000000}"/>
    <hyperlink ref="B32:C32" location="'I) Costo Desayuno'!A1" display="I) Costo Desayuno" xr:uid="{00000000-0004-0000-0100-00002A000000}"/>
    <hyperlink ref="C34:E34" location="'I) Costo Desayuno'!B12" display="TABLA 15: COSTO DESAYUNO" xr:uid="{00000000-0004-0000-0100-00002B000000}"/>
    <hyperlink ref="C6:K6" location="'A) Resumen Ingresos y Egresos'!A36" display="TABLA 2:  DETALLE DE INGRESOS POR PRESTACIÓN Y SEGMENTO" xr:uid="{00000000-0004-0000-0100-00002C000000}"/>
    <hyperlink ref="C10:H10" location="'B) Reajuste Tarifas y Ocupación'!P8" display="TABLA 4: METAS DE OCUPACIÓN POR PRESTACIÓN Y SEGMENTO" xr:uid="{00000000-0004-0000-0100-00002D000000}"/>
    <hyperlink ref="B36:C36" location="'I) Costo Desayuno'!A1" display="I) Costo Desayuno" xr:uid="{00000000-0004-0000-0100-00002E000000}"/>
    <hyperlink ref="B36" location="'J)Estructura Economica Mensu.'!A2" display="J) Estructura Economica Mensual" xr:uid="{00000000-0004-0000-0100-00002F000000}"/>
    <hyperlink ref="C38:F38" location="'J)Estructura Economica Mensu.'!B12" display="TABLA N°16:  RESULTADO OPERACIONAL MENSUAL" xr:uid="{00000000-0004-0000-0100-00003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6"/>
  <sheetViews>
    <sheetView workbookViewId="0">
      <selection activeCell="K26" sqref="K26"/>
    </sheetView>
  </sheetViews>
  <sheetFormatPr baseColWidth="10" defaultRowHeight="13" x14ac:dyDescent="0.3"/>
  <cols>
    <col min="1" max="1" width="4.26953125" style="2051" customWidth="1"/>
    <col min="2" max="2" width="21.26953125" style="2051" customWidth="1"/>
    <col min="3" max="3" width="56.7265625" style="2051" customWidth="1"/>
    <col min="4" max="4" width="14.7265625" style="2052" customWidth="1"/>
    <col min="5" max="5" width="14.7265625" style="2051" customWidth="1"/>
    <col min="6" max="256" width="11.453125" style="2051"/>
    <col min="257" max="257" width="4.26953125" style="2051" customWidth="1"/>
    <col min="258" max="258" width="16.26953125" style="2051" customWidth="1"/>
    <col min="259" max="259" width="49" style="2051" customWidth="1"/>
    <col min="260" max="260" width="14.7265625" style="2051" customWidth="1"/>
    <col min="261" max="261" width="16.7265625" style="2051" customWidth="1"/>
    <col min="262" max="512" width="11.453125" style="2051"/>
    <col min="513" max="513" width="4.26953125" style="2051" customWidth="1"/>
    <col min="514" max="514" width="16.26953125" style="2051" customWidth="1"/>
    <col min="515" max="515" width="49" style="2051" customWidth="1"/>
    <col min="516" max="516" width="14.7265625" style="2051" customWidth="1"/>
    <col min="517" max="517" width="16.7265625" style="2051" customWidth="1"/>
    <col min="518" max="768" width="11.453125" style="2051"/>
    <col min="769" max="769" width="4.26953125" style="2051" customWidth="1"/>
    <col min="770" max="770" width="16.26953125" style="2051" customWidth="1"/>
    <col min="771" max="771" width="49" style="2051" customWidth="1"/>
    <col min="772" max="772" width="14.7265625" style="2051" customWidth="1"/>
    <col min="773" max="773" width="16.7265625" style="2051" customWidth="1"/>
    <col min="774" max="1024" width="11.453125" style="2051"/>
    <col min="1025" max="1025" width="4.26953125" style="2051" customWidth="1"/>
    <col min="1026" max="1026" width="16.26953125" style="2051" customWidth="1"/>
    <col min="1027" max="1027" width="49" style="2051" customWidth="1"/>
    <col min="1028" max="1028" width="14.7265625" style="2051" customWidth="1"/>
    <col min="1029" max="1029" width="16.7265625" style="2051" customWidth="1"/>
    <col min="1030" max="1280" width="11.453125" style="2051"/>
    <col min="1281" max="1281" width="4.26953125" style="2051" customWidth="1"/>
    <col min="1282" max="1282" width="16.26953125" style="2051" customWidth="1"/>
    <col min="1283" max="1283" width="49" style="2051" customWidth="1"/>
    <col min="1284" max="1284" width="14.7265625" style="2051" customWidth="1"/>
    <col min="1285" max="1285" width="16.7265625" style="2051" customWidth="1"/>
    <col min="1286" max="1536" width="11.453125" style="2051"/>
    <col min="1537" max="1537" width="4.26953125" style="2051" customWidth="1"/>
    <col min="1538" max="1538" width="16.26953125" style="2051" customWidth="1"/>
    <col min="1539" max="1539" width="49" style="2051" customWidth="1"/>
    <col min="1540" max="1540" width="14.7265625" style="2051" customWidth="1"/>
    <col min="1541" max="1541" width="16.7265625" style="2051" customWidth="1"/>
    <col min="1542" max="1792" width="11.453125" style="2051"/>
    <col min="1793" max="1793" width="4.26953125" style="2051" customWidth="1"/>
    <col min="1794" max="1794" width="16.26953125" style="2051" customWidth="1"/>
    <col min="1795" max="1795" width="49" style="2051" customWidth="1"/>
    <col min="1796" max="1796" width="14.7265625" style="2051" customWidth="1"/>
    <col min="1797" max="1797" width="16.7265625" style="2051" customWidth="1"/>
    <col min="1798" max="2048" width="11.453125" style="2051"/>
    <col min="2049" max="2049" width="4.26953125" style="2051" customWidth="1"/>
    <col min="2050" max="2050" width="16.26953125" style="2051" customWidth="1"/>
    <col min="2051" max="2051" width="49" style="2051" customWidth="1"/>
    <col min="2052" max="2052" width="14.7265625" style="2051" customWidth="1"/>
    <col min="2053" max="2053" width="16.7265625" style="2051" customWidth="1"/>
    <col min="2054" max="2304" width="11.453125" style="2051"/>
    <col min="2305" max="2305" width="4.26953125" style="2051" customWidth="1"/>
    <col min="2306" max="2306" width="16.26953125" style="2051" customWidth="1"/>
    <col min="2307" max="2307" width="49" style="2051" customWidth="1"/>
    <col min="2308" max="2308" width="14.7265625" style="2051" customWidth="1"/>
    <col min="2309" max="2309" width="16.7265625" style="2051" customWidth="1"/>
    <col min="2310" max="2560" width="11.453125" style="2051"/>
    <col min="2561" max="2561" width="4.26953125" style="2051" customWidth="1"/>
    <col min="2562" max="2562" width="16.26953125" style="2051" customWidth="1"/>
    <col min="2563" max="2563" width="49" style="2051" customWidth="1"/>
    <col min="2564" max="2564" width="14.7265625" style="2051" customWidth="1"/>
    <col min="2565" max="2565" width="16.7265625" style="2051" customWidth="1"/>
    <col min="2566" max="2816" width="11.453125" style="2051"/>
    <col min="2817" max="2817" width="4.26953125" style="2051" customWidth="1"/>
    <col min="2818" max="2818" width="16.26953125" style="2051" customWidth="1"/>
    <col min="2819" max="2819" width="49" style="2051" customWidth="1"/>
    <col min="2820" max="2820" width="14.7265625" style="2051" customWidth="1"/>
    <col min="2821" max="2821" width="16.7265625" style="2051" customWidth="1"/>
    <col min="2822" max="3072" width="11.453125" style="2051"/>
    <col min="3073" max="3073" width="4.26953125" style="2051" customWidth="1"/>
    <col min="3074" max="3074" width="16.26953125" style="2051" customWidth="1"/>
    <col min="3075" max="3075" width="49" style="2051" customWidth="1"/>
    <col min="3076" max="3076" width="14.7265625" style="2051" customWidth="1"/>
    <col min="3077" max="3077" width="16.7265625" style="2051" customWidth="1"/>
    <col min="3078" max="3328" width="11.453125" style="2051"/>
    <col min="3329" max="3329" width="4.26953125" style="2051" customWidth="1"/>
    <col min="3330" max="3330" width="16.26953125" style="2051" customWidth="1"/>
    <col min="3331" max="3331" width="49" style="2051" customWidth="1"/>
    <col min="3332" max="3332" width="14.7265625" style="2051" customWidth="1"/>
    <col min="3333" max="3333" width="16.7265625" style="2051" customWidth="1"/>
    <col min="3334" max="3584" width="11.453125" style="2051"/>
    <col min="3585" max="3585" width="4.26953125" style="2051" customWidth="1"/>
    <col min="3586" max="3586" width="16.26953125" style="2051" customWidth="1"/>
    <col min="3587" max="3587" width="49" style="2051" customWidth="1"/>
    <col min="3588" max="3588" width="14.7265625" style="2051" customWidth="1"/>
    <col min="3589" max="3589" width="16.7265625" style="2051" customWidth="1"/>
    <col min="3590" max="3840" width="11.453125" style="2051"/>
    <col min="3841" max="3841" width="4.26953125" style="2051" customWidth="1"/>
    <col min="3842" max="3842" width="16.26953125" style="2051" customWidth="1"/>
    <col min="3843" max="3843" width="49" style="2051" customWidth="1"/>
    <col min="3844" max="3844" width="14.7265625" style="2051" customWidth="1"/>
    <col min="3845" max="3845" width="16.7265625" style="2051" customWidth="1"/>
    <col min="3846" max="4096" width="11.453125" style="2051"/>
    <col min="4097" max="4097" width="4.26953125" style="2051" customWidth="1"/>
    <col min="4098" max="4098" width="16.26953125" style="2051" customWidth="1"/>
    <col min="4099" max="4099" width="49" style="2051" customWidth="1"/>
    <col min="4100" max="4100" width="14.7265625" style="2051" customWidth="1"/>
    <col min="4101" max="4101" width="16.7265625" style="2051" customWidth="1"/>
    <col min="4102" max="4352" width="11.453125" style="2051"/>
    <col min="4353" max="4353" width="4.26953125" style="2051" customWidth="1"/>
    <col min="4354" max="4354" width="16.26953125" style="2051" customWidth="1"/>
    <col min="4355" max="4355" width="49" style="2051" customWidth="1"/>
    <col min="4356" max="4356" width="14.7265625" style="2051" customWidth="1"/>
    <col min="4357" max="4357" width="16.7265625" style="2051" customWidth="1"/>
    <col min="4358" max="4608" width="11.453125" style="2051"/>
    <col min="4609" max="4609" width="4.26953125" style="2051" customWidth="1"/>
    <col min="4610" max="4610" width="16.26953125" style="2051" customWidth="1"/>
    <col min="4611" max="4611" width="49" style="2051" customWidth="1"/>
    <col min="4612" max="4612" width="14.7265625" style="2051" customWidth="1"/>
    <col min="4613" max="4613" width="16.7265625" style="2051" customWidth="1"/>
    <col min="4614" max="4864" width="11.453125" style="2051"/>
    <col min="4865" max="4865" width="4.26953125" style="2051" customWidth="1"/>
    <col min="4866" max="4866" width="16.26953125" style="2051" customWidth="1"/>
    <col min="4867" max="4867" width="49" style="2051" customWidth="1"/>
    <col min="4868" max="4868" width="14.7265625" style="2051" customWidth="1"/>
    <col min="4869" max="4869" width="16.7265625" style="2051" customWidth="1"/>
    <col min="4870" max="5120" width="11.453125" style="2051"/>
    <col min="5121" max="5121" width="4.26953125" style="2051" customWidth="1"/>
    <col min="5122" max="5122" width="16.26953125" style="2051" customWidth="1"/>
    <col min="5123" max="5123" width="49" style="2051" customWidth="1"/>
    <col min="5124" max="5124" width="14.7265625" style="2051" customWidth="1"/>
    <col min="5125" max="5125" width="16.7265625" style="2051" customWidth="1"/>
    <col min="5126" max="5376" width="11.453125" style="2051"/>
    <col min="5377" max="5377" width="4.26953125" style="2051" customWidth="1"/>
    <col min="5378" max="5378" width="16.26953125" style="2051" customWidth="1"/>
    <col min="5379" max="5379" width="49" style="2051" customWidth="1"/>
    <col min="5380" max="5380" width="14.7265625" style="2051" customWidth="1"/>
    <col min="5381" max="5381" width="16.7265625" style="2051" customWidth="1"/>
    <col min="5382" max="5632" width="11.453125" style="2051"/>
    <col min="5633" max="5633" width="4.26953125" style="2051" customWidth="1"/>
    <col min="5634" max="5634" width="16.26953125" style="2051" customWidth="1"/>
    <col min="5635" max="5635" width="49" style="2051" customWidth="1"/>
    <col min="5636" max="5636" width="14.7265625" style="2051" customWidth="1"/>
    <col min="5637" max="5637" width="16.7265625" style="2051" customWidth="1"/>
    <col min="5638" max="5888" width="11.453125" style="2051"/>
    <col min="5889" max="5889" width="4.26953125" style="2051" customWidth="1"/>
    <col min="5890" max="5890" width="16.26953125" style="2051" customWidth="1"/>
    <col min="5891" max="5891" width="49" style="2051" customWidth="1"/>
    <col min="5892" max="5892" width="14.7265625" style="2051" customWidth="1"/>
    <col min="5893" max="5893" width="16.7265625" style="2051" customWidth="1"/>
    <col min="5894" max="6144" width="11.453125" style="2051"/>
    <col min="6145" max="6145" width="4.26953125" style="2051" customWidth="1"/>
    <col min="6146" max="6146" width="16.26953125" style="2051" customWidth="1"/>
    <col min="6147" max="6147" width="49" style="2051" customWidth="1"/>
    <col min="6148" max="6148" width="14.7265625" style="2051" customWidth="1"/>
    <col min="6149" max="6149" width="16.7265625" style="2051" customWidth="1"/>
    <col min="6150" max="6400" width="11.453125" style="2051"/>
    <col min="6401" max="6401" width="4.26953125" style="2051" customWidth="1"/>
    <col min="6402" max="6402" width="16.26953125" style="2051" customWidth="1"/>
    <col min="6403" max="6403" width="49" style="2051" customWidth="1"/>
    <col min="6404" max="6404" width="14.7265625" style="2051" customWidth="1"/>
    <col min="6405" max="6405" width="16.7265625" style="2051" customWidth="1"/>
    <col min="6406" max="6656" width="11.453125" style="2051"/>
    <col min="6657" max="6657" width="4.26953125" style="2051" customWidth="1"/>
    <col min="6658" max="6658" width="16.26953125" style="2051" customWidth="1"/>
    <col min="6659" max="6659" width="49" style="2051" customWidth="1"/>
    <col min="6660" max="6660" width="14.7265625" style="2051" customWidth="1"/>
    <col min="6661" max="6661" width="16.7265625" style="2051" customWidth="1"/>
    <col min="6662" max="6912" width="11.453125" style="2051"/>
    <col min="6913" max="6913" width="4.26953125" style="2051" customWidth="1"/>
    <col min="6914" max="6914" width="16.26953125" style="2051" customWidth="1"/>
    <col min="6915" max="6915" width="49" style="2051" customWidth="1"/>
    <col min="6916" max="6916" width="14.7265625" style="2051" customWidth="1"/>
    <col min="6917" max="6917" width="16.7265625" style="2051" customWidth="1"/>
    <col min="6918" max="7168" width="11.453125" style="2051"/>
    <col min="7169" max="7169" width="4.26953125" style="2051" customWidth="1"/>
    <col min="7170" max="7170" width="16.26953125" style="2051" customWidth="1"/>
    <col min="7171" max="7171" width="49" style="2051" customWidth="1"/>
    <col min="7172" max="7172" width="14.7265625" style="2051" customWidth="1"/>
    <col min="7173" max="7173" width="16.7265625" style="2051" customWidth="1"/>
    <col min="7174" max="7424" width="11.453125" style="2051"/>
    <col min="7425" max="7425" width="4.26953125" style="2051" customWidth="1"/>
    <col min="7426" max="7426" width="16.26953125" style="2051" customWidth="1"/>
    <col min="7427" max="7427" width="49" style="2051" customWidth="1"/>
    <col min="7428" max="7428" width="14.7265625" style="2051" customWidth="1"/>
    <col min="7429" max="7429" width="16.7265625" style="2051" customWidth="1"/>
    <col min="7430" max="7680" width="11.453125" style="2051"/>
    <col min="7681" max="7681" width="4.26953125" style="2051" customWidth="1"/>
    <col min="7682" max="7682" width="16.26953125" style="2051" customWidth="1"/>
    <col min="7683" max="7683" width="49" style="2051" customWidth="1"/>
    <col min="7684" max="7684" width="14.7265625" style="2051" customWidth="1"/>
    <col min="7685" max="7685" width="16.7265625" style="2051" customWidth="1"/>
    <col min="7686" max="7936" width="11.453125" style="2051"/>
    <col min="7937" max="7937" width="4.26953125" style="2051" customWidth="1"/>
    <col min="7938" max="7938" width="16.26953125" style="2051" customWidth="1"/>
    <col min="7939" max="7939" width="49" style="2051" customWidth="1"/>
    <col min="7940" max="7940" width="14.7265625" style="2051" customWidth="1"/>
    <col min="7941" max="7941" width="16.7265625" style="2051" customWidth="1"/>
    <col min="7942" max="8192" width="11.453125" style="2051"/>
    <col min="8193" max="8193" width="4.26953125" style="2051" customWidth="1"/>
    <col min="8194" max="8194" width="16.26953125" style="2051" customWidth="1"/>
    <col min="8195" max="8195" width="49" style="2051" customWidth="1"/>
    <col min="8196" max="8196" width="14.7265625" style="2051" customWidth="1"/>
    <col min="8197" max="8197" width="16.7265625" style="2051" customWidth="1"/>
    <col min="8198" max="8448" width="11.453125" style="2051"/>
    <col min="8449" max="8449" width="4.26953125" style="2051" customWidth="1"/>
    <col min="8450" max="8450" width="16.26953125" style="2051" customWidth="1"/>
    <col min="8451" max="8451" width="49" style="2051" customWidth="1"/>
    <col min="8452" max="8452" width="14.7265625" style="2051" customWidth="1"/>
    <col min="8453" max="8453" width="16.7265625" style="2051" customWidth="1"/>
    <col min="8454" max="8704" width="11.453125" style="2051"/>
    <col min="8705" max="8705" width="4.26953125" style="2051" customWidth="1"/>
    <col min="8706" max="8706" width="16.26953125" style="2051" customWidth="1"/>
    <col min="8707" max="8707" width="49" style="2051" customWidth="1"/>
    <col min="8708" max="8708" width="14.7265625" style="2051" customWidth="1"/>
    <col min="8709" max="8709" width="16.7265625" style="2051" customWidth="1"/>
    <col min="8710" max="8960" width="11.453125" style="2051"/>
    <col min="8961" max="8961" width="4.26953125" style="2051" customWidth="1"/>
    <col min="8962" max="8962" width="16.26953125" style="2051" customWidth="1"/>
    <col min="8963" max="8963" width="49" style="2051" customWidth="1"/>
    <col min="8964" max="8964" width="14.7265625" style="2051" customWidth="1"/>
    <col min="8965" max="8965" width="16.7265625" style="2051" customWidth="1"/>
    <col min="8966" max="9216" width="11.453125" style="2051"/>
    <col min="9217" max="9217" width="4.26953125" style="2051" customWidth="1"/>
    <col min="9218" max="9218" width="16.26953125" style="2051" customWidth="1"/>
    <col min="9219" max="9219" width="49" style="2051" customWidth="1"/>
    <col min="9220" max="9220" width="14.7265625" style="2051" customWidth="1"/>
    <col min="9221" max="9221" width="16.7265625" style="2051" customWidth="1"/>
    <col min="9222" max="9472" width="11.453125" style="2051"/>
    <col min="9473" max="9473" width="4.26953125" style="2051" customWidth="1"/>
    <col min="9474" max="9474" width="16.26953125" style="2051" customWidth="1"/>
    <col min="9475" max="9475" width="49" style="2051" customWidth="1"/>
    <col min="9476" max="9476" width="14.7265625" style="2051" customWidth="1"/>
    <col min="9477" max="9477" width="16.7265625" style="2051" customWidth="1"/>
    <col min="9478" max="9728" width="11.453125" style="2051"/>
    <col min="9729" max="9729" width="4.26953125" style="2051" customWidth="1"/>
    <col min="9730" max="9730" width="16.26953125" style="2051" customWidth="1"/>
    <col min="9731" max="9731" width="49" style="2051" customWidth="1"/>
    <col min="9732" max="9732" width="14.7265625" style="2051" customWidth="1"/>
    <col min="9733" max="9733" width="16.7265625" style="2051" customWidth="1"/>
    <col min="9734" max="9984" width="11.453125" style="2051"/>
    <col min="9985" max="9985" width="4.26953125" style="2051" customWidth="1"/>
    <col min="9986" max="9986" width="16.26953125" style="2051" customWidth="1"/>
    <col min="9987" max="9987" width="49" style="2051" customWidth="1"/>
    <col min="9988" max="9988" width="14.7265625" style="2051" customWidth="1"/>
    <col min="9989" max="9989" width="16.7265625" style="2051" customWidth="1"/>
    <col min="9990" max="10240" width="11.453125" style="2051"/>
    <col min="10241" max="10241" width="4.26953125" style="2051" customWidth="1"/>
    <col min="10242" max="10242" width="16.26953125" style="2051" customWidth="1"/>
    <col min="10243" max="10243" width="49" style="2051" customWidth="1"/>
    <col min="10244" max="10244" width="14.7265625" style="2051" customWidth="1"/>
    <col min="10245" max="10245" width="16.7265625" style="2051" customWidth="1"/>
    <col min="10246" max="10496" width="11.453125" style="2051"/>
    <col min="10497" max="10497" width="4.26953125" style="2051" customWidth="1"/>
    <col min="10498" max="10498" width="16.26953125" style="2051" customWidth="1"/>
    <col min="10499" max="10499" width="49" style="2051" customWidth="1"/>
    <col min="10500" max="10500" width="14.7265625" style="2051" customWidth="1"/>
    <col min="10501" max="10501" width="16.7265625" style="2051" customWidth="1"/>
    <col min="10502" max="10752" width="11.453125" style="2051"/>
    <col min="10753" max="10753" width="4.26953125" style="2051" customWidth="1"/>
    <col min="10754" max="10754" width="16.26953125" style="2051" customWidth="1"/>
    <col min="10755" max="10755" width="49" style="2051" customWidth="1"/>
    <col min="10756" max="10756" width="14.7265625" style="2051" customWidth="1"/>
    <col min="10757" max="10757" width="16.7265625" style="2051" customWidth="1"/>
    <col min="10758" max="11008" width="11.453125" style="2051"/>
    <col min="11009" max="11009" width="4.26953125" style="2051" customWidth="1"/>
    <col min="11010" max="11010" width="16.26953125" style="2051" customWidth="1"/>
    <col min="11011" max="11011" width="49" style="2051" customWidth="1"/>
    <col min="11012" max="11012" width="14.7265625" style="2051" customWidth="1"/>
    <col min="11013" max="11013" width="16.7265625" style="2051" customWidth="1"/>
    <col min="11014" max="11264" width="11.453125" style="2051"/>
    <col min="11265" max="11265" width="4.26953125" style="2051" customWidth="1"/>
    <col min="11266" max="11266" width="16.26953125" style="2051" customWidth="1"/>
    <col min="11267" max="11267" width="49" style="2051" customWidth="1"/>
    <col min="11268" max="11268" width="14.7265625" style="2051" customWidth="1"/>
    <col min="11269" max="11269" width="16.7265625" style="2051" customWidth="1"/>
    <col min="11270" max="11520" width="11.453125" style="2051"/>
    <col min="11521" max="11521" width="4.26953125" style="2051" customWidth="1"/>
    <col min="11522" max="11522" width="16.26953125" style="2051" customWidth="1"/>
    <col min="11523" max="11523" width="49" style="2051" customWidth="1"/>
    <col min="11524" max="11524" width="14.7265625" style="2051" customWidth="1"/>
    <col min="11525" max="11525" width="16.7265625" style="2051" customWidth="1"/>
    <col min="11526" max="11776" width="11.453125" style="2051"/>
    <col min="11777" max="11777" width="4.26953125" style="2051" customWidth="1"/>
    <col min="11778" max="11778" width="16.26953125" style="2051" customWidth="1"/>
    <col min="11779" max="11779" width="49" style="2051" customWidth="1"/>
    <col min="11780" max="11780" width="14.7265625" style="2051" customWidth="1"/>
    <col min="11781" max="11781" width="16.7265625" style="2051" customWidth="1"/>
    <col min="11782" max="12032" width="11.453125" style="2051"/>
    <col min="12033" max="12033" width="4.26953125" style="2051" customWidth="1"/>
    <col min="12034" max="12034" width="16.26953125" style="2051" customWidth="1"/>
    <col min="12035" max="12035" width="49" style="2051" customWidth="1"/>
    <col min="12036" max="12036" width="14.7265625" style="2051" customWidth="1"/>
    <col min="12037" max="12037" width="16.7265625" style="2051" customWidth="1"/>
    <col min="12038" max="12288" width="11.453125" style="2051"/>
    <col min="12289" max="12289" width="4.26953125" style="2051" customWidth="1"/>
    <col min="12290" max="12290" width="16.26953125" style="2051" customWidth="1"/>
    <col min="12291" max="12291" width="49" style="2051" customWidth="1"/>
    <col min="12292" max="12292" width="14.7265625" style="2051" customWidth="1"/>
    <col min="12293" max="12293" width="16.7265625" style="2051" customWidth="1"/>
    <col min="12294" max="12544" width="11.453125" style="2051"/>
    <col min="12545" max="12545" width="4.26953125" style="2051" customWidth="1"/>
    <col min="12546" max="12546" width="16.26953125" style="2051" customWidth="1"/>
    <col min="12547" max="12547" width="49" style="2051" customWidth="1"/>
    <col min="12548" max="12548" width="14.7265625" style="2051" customWidth="1"/>
    <col min="12549" max="12549" width="16.7265625" style="2051" customWidth="1"/>
    <col min="12550" max="12800" width="11.453125" style="2051"/>
    <col min="12801" max="12801" width="4.26953125" style="2051" customWidth="1"/>
    <col min="12802" max="12802" width="16.26953125" style="2051" customWidth="1"/>
    <col min="12803" max="12803" width="49" style="2051" customWidth="1"/>
    <col min="12804" max="12804" width="14.7265625" style="2051" customWidth="1"/>
    <col min="12805" max="12805" width="16.7265625" style="2051" customWidth="1"/>
    <col min="12806" max="13056" width="11.453125" style="2051"/>
    <col min="13057" max="13057" width="4.26953125" style="2051" customWidth="1"/>
    <col min="13058" max="13058" width="16.26953125" style="2051" customWidth="1"/>
    <col min="13059" max="13059" width="49" style="2051" customWidth="1"/>
    <col min="13060" max="13060" width="14.7265625" style="2051" customWidth="1"/>
    <col min="13061" max="13061" width="16.7265625" style="2051" customWidth="1"/>
    <col min="13062" max="13312" width="11.453125" style="2051"/>
    <col min="13313" max="13313" width="4.26953125" style="2051" customWidth="1"/>
    <col min="13314" max="13314" width="16.26953125" style="2051" customWidth="1"/>
    <col min="13315" max="13315" width="49" style="2051" customWidth="1"/>
    <col min="13316" max="13316" width="14.7265625" style="2051" customWidth="1"/>
    <col min="13317" max="13317" width="16.7265625" style="2051" customWidth="1"/>
    <col min="13318" max="13568" width="11.453125" style="2051"/>
    <col min="13569" max="13569" width="4.26953125" style="2051" customWidth="1"/>
    <col min="13570" max="13570" width="16.26953125" style="2051" customWidth="1"/>
    <col min="13571" max="13571" width="49" style="2051" customWidth="1"/>
    <col min="13572" max="13572" width="14.7265625" style="2051" customWidth="1"/>
    <col min="13573" max="13573" width="16.7265625" style="2051" customWidth="1"/>
    <col min="13574" max="13824" width="11.453125" style="2051"/>
    <col min="13825" max="13825" width="4.26953125" style="2051" customWidth="1"/>
    <col min="13826" max="13826" width="16.26953125" style="2051" customWidth="1"/>
    <col min="13827" max="13827" width="49" style="2051" customWidth="1"/>
    <col min="13828" max="13828" width="14.7265625" style="2051" customWidth="1"/>
    <col min="13829" max="13829" width="16.7265625" style="2051" customWidth="1"/>
    <col min="13830" max="14080" width="11.453125" style="2051"/>
    <col min="14081" max="14081" width="4.26953125" style="2051" customWidth="1"/>
    <col min="14082" max="14082" width="16.26953125" style="2051" customWidth="1"/>
    <col min="14083" max="14083" width="49" style="2051" customWidth="1"/>
    <col min="14084" max="14084" width="14.7265625" style="2051" customWidth="1"/>
    <col min="14085" max="14085" width="16.7265625" style="2051" customWidth="1"/>
    <col min="14086" max="14336" width="11.453125" style="2051"/>
    <col min="14337" max="14337" width="4.26953125" style="2051" customWidth="1"/>
    <col min="14338" max="14338" width="16.26953125" style="2051" customWidth="1"/>
    <col min="14339" max="14339" width="49" style="2051" customWidth="1"/>
    <col min="14340" max="14340" width="14.7265625" style="2051" customWidth="1"/>
    <col min="14341" max="14341" width="16.7265625" style="2051" customWidth="1"/>
    <col min="14342" max="14592" width="11.453125" style="2051"/>
    <col min="14593" max="14593" width="4.26953125" style="2051" customWidth="1"/>
    <col min="14594" max="14594" width="16.26953125" style="2051" customWidth="1"/>
    <col min="14595" max="14595" width="49" style="2051" customWidth="1"/>
    <col min="14596" max="14596" width="14.7265625" style="2051" customWidth="1"/>
    <col min="14597" max="14597" width="16.7265625" style="2051" customWidth="1"/>
    <col min="14598" max="14848" width="11.453125" style="2051"/>
    <col min="14849" max="14849" width="4.26953125" style="2051" customWidth="1"/>
    <col min="14850" max="14850" width="16.26953125" style="2051" customWidth="1"/>
    <col min="14851" max="14851" width="49" style="2051" customWidth="1"/>
    <col min="14852" max="14852" width="14.7265625" style="2051" customWidth="1"/>
    <col min="14853" max="14853" width="16.7265625" style="2051" customWidth="1"/>
    <col min="14854" max="15104" width="11.453125" style="2051"/>
    <col min="15105" max="15105" width="4.26953125" style="2051" customWidth="1"/>
    <col min="15106" max="15106" width="16.26953125" style="2051" customWidth="1"/>
    <col min="15107" max="15107" width="49" style="2051" customWidth="1"/>
    <col min="15108" max="15108" width="14.7265625" style="2051" customWidth="1"/>
    <col min="15109" max="15109" width="16.7265625" style="2051" customWidth="1"/>
    <col min="15110" max="15360" width="11.453125" style="2051"/>
    <col min="15361" max="15361" width="4.26953125" style="2051" customWidth="1"/>
    <col min="15362" max="15362" width="16.26953125" style="2051" customWidth="1"/>
    <col min="15363" max="15363" width="49" style="2051" customWidth="1"/>
    <col min="15364" max="15364" width="14.7265625" style="2051" customWidth="1"/>
    <col min="15365" max="15365" width="16.7265625" style="2051" customWidth="1"/>
    <col min="15366" max="15616" width="11.453125" style="2051"/>
    <col min="15617" max="15617" width="4.26953125" style="2051" customWidth="1"/>
    <col min="15618" max="15618" width="16.26953125" style="2051" customWidth="1"/>
    <col min="15619" max="15619" width="49" style="2051" customWidth="1"/>
    <col min="15620" max="15620" width="14.7265625" style="2051" customWidth="1"/>
    <col min="15621" max="15621" width="16.7265625" style="2051" customWidth="1"/>
    <col min="15622" max="15872" width="11.453125" style="2051"/>
    <col min="15873" max="15873" width="4.26953125" style="2051" customWidth="1"/>
    <col min="15874" max="15874" width="16.26953125" style="2051" customWidth="1"/>
    <col min="15875" max="15875" width="49" style="2051" customWidth="1"/>
    <col min="15876" max="15876" width="14.7265625" style="2051" customWidth="1"/>
    <col min="15877" max="15877" width="16.7265625" style="2051" customWidth="1"/>
    <col min="15878" max="16128" width="11.453125" style="2051"/>
    <col min="16129" max="16129" width="4.26953125" style="2051" customWidth="1"/>
    <col min="16130" max="16130" width="16.26953125" style="2051" customWidth="1"/>
    <col min="16131" max="16131" width="49" style="2051" customWidth="1"/>
    <col min="16132" max="16132" width="14.7265625" style="2051" customWidth="1"/>
    <col min="16133" max="16133" width="16.7265625" style="2051" customWidth="1"/>
    <col min="16134" max="16384" width="11.453125" style="2051"/>
  </cols>
  <sheetData>
    <row r="1" spans="2:11" x14ac:dyDescent="0.3">
      <c r="G1" s="2076"/>
      <c r="H1" s="2076"/>
      <c r="I1" s="2076"/>
      <c r="J1" s="2076"/>
      <c r="K1" s="2076"/>
    </row>
    <row r="2" spans="2:11" x14ac:dyDescent="0.3">
      <c r="B2" s="1978" t="s">
        <v>828</v>
      </c>
      <c r="G2" s="2076"/>
      <c r="H2" s="2076"/>
      <c r="I2" s="2076"/>
      <c r="J2" s="2076"/>
      <c r="K2" s="2076"/>
    </row>
    <row r="3" spans="2:11" x14ac:dyDescent="0.3">
      <c r="B3" s="2290" t="s">
        <v>531</v>
      </c>
      <c r="C3" s="2291" t="s">
        <v>113</v>
      </c>
      <c r="D3" s="1984" t="s">
        <v>581</v>
      </c>
      <c r="E3" s="2292">
        <v>1.05</v>
      </c>
      <c r="G3" s="2076"/>
      <c r="H3" s="2076"/>
      <c r="I3" s="2076"/>
      <c r="J3" s="2076"/>
      <c r="K3" s="2076"/>
    </row>
    <row r="4" spans="2:11" x14ac:dyDescent="0.3">
      <c r="B4" s="2061">
        <v>53202010100000</v>
      </c>
      <c r="C4" s="2293" t="s">
        <v>115</v>
      </c>
      <c r="D4" s="2057">
        <f>SUM(D5:D7)</f>
        <v>188000</v>
      </c>
      <c r="E4" s="2067">
        <f>+D4*$E$3</f>
        <v>197400</v>
      </c>
      <c r="F4" s="2294"/>
      <c r="G4" s="2076"/>
      <c r="H4" s="2076"/>
      <c r="I4" s="2076"/>
      <c r="J4" s="2076"/>
      <c r="K4" s="2076"/>
    </row>
    <row r="5" spans="2:11" x14ac:dyDescent="0.3">
      <c r="B5" s="1997">
        <v>2</v>
      </c>
      <c r="C5" s="2134" t="s">
        <v>829</v>
      </c>
      <c r="D5" s="1995">
        <v>44000</v>
      </c>
      <c r="G5" s="2076"/>
      <c r="H5" s="2076"/>
      <c r="I5" s="2076"/>
      <c r="J5" s="2076"/>
      <c r="K5" s="2076"/>
    </row>
    <row r="6" spans="2:11" x14ac:dyDescent="0.3">
      <c r="B6" s="1997">
        <v>13</v>
      </c>
      <c r="C6" s="2134" t="s">
        <v>584</v>
      </c>
      <c r="D6" s="1995">
        <v>104000</v>
      </c>
      <c r="G6" s="2076"/>
      <c r="H6" s="2076"/>
      <c r="I6" s="2076"/>
      <c r="J6" s="2076"/>
      <c r="K6" s="2076"/>
    </row>
    <row r="7" spans="2:11" x14ac:dyDescent="0.3">
      <c r="B7" s="1997">
        <v>20</v>
      </c>
      <c r="C7" s="2134" t="s">
        <v>830</v>
      </c>
      <c r="D7" s="1995">
        <v>40000</v>
      </c>
      <c r="G7" s="2076"/>
      <c r="H7" s="2076"/>
      <c r="I7" s="2076"/>
      <c r="J7" s="2076"/>
      <c r="K7" s="2076"/>
    </row>
    <row r="8" spans="2:11" x14ac:dyDescent="0.3">
      <c r="B8" s="2061"/>
      <c r="C8" s="2293"/>
      <c r="D8" s="2057"/>
      <c r="E8" s="2070"/>
      <c r="G8" s="2076"/>
      <c r="H8" s="2076"/>
      <c r="I8" s="2076"/>
      <c r="J8" s="2076"/>
      <c r="K8" s="2076"/>
    </row>
    <row r="9" spans="2:11" x14ac:dyDescent="0.3">
      <c r="B9" s="2061">
        <v>53203030000000</v>
      </c>
      <c r="C9" s="2293" t="s">
        <v>117</v>
      </c>
      <c r="D9" s="2058">
        <v>250000</v>
      </c>
      <c r="E9" s="2067">
        <f>+D9*$E$3</f>
        <v>262500</v>
      </c>
      <c r="F9" s="2294"/>
      <c r="G9" s="2076"/>
      <c r="H9" s="2076"/>
      <c r="I9" s="2076"/>
      <c r="J9" s="2076"/>
      <c r="K9" s="2076"/>
    </row>
    <row r="10" spans="2:11" x14ac:dyDescent="0.3">
      <c r="B10" s="2076"/>
      <c r="C10" s="2076"/>
      <c r="D10" s="2076"/>
      <c r="E10" s="2076"/>
      <c r="G10" s="2076"/>
      <c r="H10" s="2076"/>
      <c r="I10" s="2076"/>
      <c r="J10" s="2076"/>
      <c r="K10" s="2076"/>
    </row>
    <row r="11" spans="2:11" s="2076" customFormat="1" x14ac:dyDescent="0.3">
      <c r="B11" s="2295">
        <v>53211020000000</v>
      </c>
      <c r="C11" s="2296" t="s">
        <v>137</v>
      </c>
      <c r="D11" s="2297">
        <v>0</v>
      </c>
      <c r="E11" s="2298">
        <v>0</v>
      </c>
    </row>
    <row r="12" spans="2:11" s="2076" customFormat="1" x14ac:dyDescent="0.3">
      <c r="B12" s="2078"/>
      <c r="C12" s="2035"/>
      <c r="D12" s="1995"/>
    </row>
    <row r="13" spans="2:11" x14ac:dyDescent="0.3">
      <c r="B13" s="2061">
        <v>53204100100001</v>
      </c>
      <c r="C13" s="2071" t="s">
        <v>119</v>
      </c>
      <c r="D13" s="2057">
        <f>SUM(D14:D16)</f>
        <v>3900000</v>
      </c>
      <c r="E13" s="2067">
        <f>+D13*$E$3</f>
        <v>4095000</v>
      </c>
      <c r="F13" s="2294"/>
      <c r="G13" s="2076"/>
      <c r="H13" s="2076"/>
      <c r="I13" s="2076"/>
      <c r="J13" s="2076"/>
      <c r="K13" s="2076"/>
    </row>
    <row r="14" spans="2:11" x14ac:dyDescent="0.3">
      <c r="B14" s="1997">
        <v>1</v>
      </c>
      <c r="C14" s="2299" t="s">
        <v>831</v>
      </c>
      <c r="D14" s="1995">
        <v>2000000</v>
      </c>
      <c r="G14" s="2076"/>
      <c r="H14" s="2076"/>
      <c r="I14" s="2076"/>
      <c r="J14" s="2076"/>
      <c r="K14" s="2076"/>
    </row>
    <row r="15" spans="2:11" x14ac:dyDescent="0.3">
      <c r="B15" s="1997">
        <v>1</v>
      </c>
      <c r="C15" s="2299" t="s">
        <v>832</v>
      </c>
      <c r="D15" s="1995">
        <v>1500000</v>
      </c>
      <c r="E15" s="2070"/>
      <c r="G15" s="2076"/>
      <c r="H15" s="2076"/>
      <c r="I15" s="2076"/>
      <c r="J15" s="2076"/>
      <c r="K15" s="2076"/>
    </row>
    <row r="16" spans="2:11" x14ac:dyDescent="0.3">
      <c r="B16" s="1997">
        <v>1</v>
      </c>
      <c r="C16" s="2299" t="s">
        <v>833</v>
      </c>
      <c r="D16" s="1995">
        <v>400000</v>
      </c>
      <c r="G16" s="2076"/>
      <c r="H16" s="2076"/>
      <c r="I16" s="2076"/>
      <c r="J16" s="2076"/>
      <c r="K16" s="2076"/>
    </row>
    <row r="17" spans="2:11" x14ac:dyDescent="0.3">
      <c r="B17" s="2061">
        <v>53204130100000</v>
      </c>
      <c r="C17" s="2300" t="s">
        <v>120</v>
      </c>
      <c r="D17" s="2057">
        <f>SUM(D18:D19)</f>
        <v>90000</v>
      </c>
      <c r="E17" s="2067">
        <f>+D17*$E$3</f>
        <v>94500</v>
      </c>
      <c r="F17" s="2294"/>
      <c r="G17" s="2076"/>
      <c r="H17" s="2076"/>
      <c r="I17" s="2076"/>
      <c r="J17" s="2076"/>
      <c r="K17" s="2076"/>
    </row>
    <row r="18" spans="2:11" x14ac:dyDescent="0.3">
      <c r="B18" s="1997">
        <v>1</v>
      </c>
      <c r="C18" s="2301" t="s">
        <v>739</v>
      </c>
      <c r="D18" s="1995">
        <v>30000</v>
      </c>
      <c r="G18" s="2076"/>
      <c r="H18" s="2076"/>
      <c r="I18" s="2076"/>
      <c r="J18" s="2076"/>
      <c r="K18" s="2076"/>
    </row>
    <row r="19" spans="2:11" x14ac:dyDescent="0.3">
      <c r="B19" s="1997">
        <v>1</v>
      </c>
      <c r="C19" s="2301" t="s">
        <v>834</v>
      </c>
      <c r="D19" s="1995">
        <v>60000</v>
      </c>
      <c r="G19" s="2076"/>
      <c r="H19" s="2076"/>
      <c r="I19" s="2076"/>
      <c r="J19" s="2076"/>
      <c r="K19" s="2076"/>
    </row>
    <row r="20" spans="2:11" x14ac:dyDescent="0.3">
      <c r="B20" s="2302">
        <v>53214020000000</v>
      </c>
      <c r="C20" s="2303" t="s">
        <v>132</v>
      </c>
      <c r="D20" s="2057">
        <v>0</v>
      </c>
      <c r="E20" s="2058">
        <v>0</v>
      </c>
      <c r="G20" s="2076"/>
      <c r="H20" s="2076"/>
      <c r="I20" s="2076"/>
      <c r="J20" s="2076"/>
      <c r="K20" s="2076"/>
    </row>
    <row r="21" spans="2:11" x14ac:dyDescent="0.3">
      <c r="B21" s="2304"/>
      <c r="C21" s="2301"/>
      <c r="D21" s="1995"/>
      <c r="G21" s="2076"/>
      <c r="H21" s="2076"/>
      <c r="I21" s="2076"/>
      <c r="J21" s="2076"/>
      <c r="K21" s="2076"/>
    </row>
    <row r="22" spans="2:11" x14ac:dyDescent="0.3">
      <c r="B22" s="2084">
        <v>53202020100000</v>
      </c>
      <c r="C22" s="2305" t="s">
        <v>611</v>
      </c>
      <c r="D22" s="2086">
        <f>SUM(D23:D24)</f>
        <v>65000</v>
      </c>
      <c r="E22" s="2067">
        <f>+D22*$E$3</f>
        <v>68250</v>
      </c>
      <c r="F22" s="2294"/>
      <c r="G22" s="2076"/>
      <c r="H22" s="2076"/>
      <c r="I22" s="2076"/>
      <c r="J22" s="2076"/>
      <c r="K22" s="2076"/>
    </row>
    <row r="23" spans="2:11" x14ac:dyDescent="0.3">
      <c r="B23" s="2078">
        <v>1</v>
      </c>
      <c r="C23" s="2306" t="s">
        <v>612</v>
      </c>
      <c r="D23" s="1995">
        <v>50000</v>
      </c>
      <c r="G23" s="2076"/>
      <c r="H23" s="2076"/>
      <c r="I23" s="2076"/>
      <c r="J23" s="2076"/>
      <c r="K23" s="2076"/>
    </row>
    <row r="24" spans="2:11" x14ac:dyDescent="0.3">
      <c r="B24" s="2023">
        <v>1</v>
      </c>
      <c r="C24" s="2306" t="s">
        <v>835</v>
      </c>
      <c r="D24" s="1995">
        <v>15000</v>
      </c>
      <c r="G24" s="2076"/>
      <c r="H24" s="2076"/>
      <c r="I24" s="2076"/>
      <c r="J24" s="2076"/>
      <c r="K24" s="2076"/>
    </row>
    <row r="25" spans="2:11" x14ac:dyDescent="0.3">
      <c r="B25" s="2084">
        <v>53202030000000</v>
      </c>
      <c r="C25" s="2305" t="s">
        <v>136</v>
      </c>
      <c r="D25" s="2307">
        <v>35000</v>
      </c>
      <c r="E25" s="2067">
        <f>+D25*$E$3</f>
        <v>36750</v>
      </c>
      <c r="F25" s="2294"/>
      <c r="G25" s="2076"/>
      <c r="H25" s="2076"/>
      <c r="I25" s="2076"/>
      <c r="J25" s="2076"/>
      <c r="K25" s="2076"/>
    </row>
    <row r="26" spans="2:11" x14ac:dyDescent="0.3">
      <c r="B26" s="2023">
        <v>1</v>
      </c>
      <c r="C26" s="2306" t="s">
        <v>620</v>
      </c>
      <c r="D26" s="1995">
        <v>35000</v>
      </c>
      <c r="G26" s="2076"/>
      <c r="H26" s="2076"/>
      <c r="I26" s="2076"/>
      <c r="J26" s="2076"/>
      <c r="K26" s="2076"/>
    </row>
    <row r="27" spans="2:11" x14ac:dyDescent="0.3">
      <c r="B27" s="2084">
        <v>53204010000000</v>
      </c>
      <c r="C27" s="2089" t="s">
        <v>144</v>
      </c>
      <c r="D27" s="2308">
        <v>0</v>
      </c>
      <c r="E27" s="2086">
        <v>0</v>
      </c>
      <c r="G27" s="2076"/>
      <c r="H27" s="2076"/>
      <c r="I27" s="2076"/>
      <c r="J27" s="2076"/>
      <c r="K27" s="2076"/>
    </row>
    <row r="28" spans="2:11" x14ac:dyDescent="0.3">
      <c r="B28" s="2023"/>
      <c r="C28" s="2035"/>
      <c r="D28" s="1995"/>
      <c r="G28" s="2076"/>
      <c r="H28" s="2076"/>
      <c r="I28" s="2076"/>
      <c r="J28" s="2076"/>
      <c r="K28" s="2076"/>
    </row>
    <row r="29" spans="2:11" x14ac:dyDescent="0.3">
      <c r="B29" s="2023"/>
      <c r="C29" s="2035"/>
      <c r="D29" s="1995"/>
      <c r="G29" s="2076"/>
      <c r="H29" s="2076"/>
      <c r="I29" s="2076"/>
      <c r="J29" s="2076"/>
      <c r="K29" s="2076"/>
    </row>
    <row r="30" spans="2:11" x14ac:dyDescent="0.3">
      <c r="B30" s="2084">
        <v>53204060000000</v>
      </c>
      <c r="C30" s="2089" t="s">
        <v>146</v>
      </c>
      <c r="D30" s="2307">
        <v>350000</v>
      </c>
      <c r="E30" s="2067">
        <f>+D30*$E$3</f>
        <v>367500</v>
      </c>
      <c r="F30" s="2294"/>
      <c r="G30" s="2076"/>
      <c r="H30" s="2076"/>
      <c r="I30" s="2076"/>
      <c r="J30" s="2076"/>
      <c r="K30" s="2076"/>
    </row>
    <row r="31" spans="2:11" x14ac:dyDescent="0.3">
      <c r="B31" s="2023">
        <v>1</v>
      </c>
      <c r="C31" s="2035" t="s">
        <v>623</v>
      </c>
      <c r="D31" s="1995">
        <v>350000</v>
      </c>
    </row>
    <row r="32" spans="2:11" x14ac:dyDescent="0.3">
      <c r="B32" s="2084">
        <v>53204070000000</v>
      </c>
      <c r="C32" s="2089" t="s">
        <v>147</v>
      </c>
      <c r="D32" s="2307">
        <v>400000</v>
      </c>
      <c r="E32" s="2067">
        <f>+D32*$E$3</f>
        <v>420000</v>
      </c>
      <c r="F32" s="2294"/>
    </row>
    <row r="33" spans="2:6" x14ac:dyDescent="0.3">
      <c r="B33" s="2309">
        <v>2</v>
      </c>
      <c r="C33" s="2310" t="s">
        <v>836</v>
      </c>
      <c r="D33" s="2311">
        <v>400000</v>
      </c>
    </row>
    <row r="34" spans="2:6" x14ac:dyDescent="0.3">
      <c r="B34" s="2084">
        <v>53204080000000</v>
      </c>
      <c r="C34" s="2089" t="s">
        <v>148</v>
      </c>
      <c r="D34" s="2307">
        <f>SUM(D35:D38)</f>
        <v>114000</v>
      </c>
      <c r="E34" s="2067">
        <f>+D34*$E$3</f>
        <v>119700</v>
      </c>
      <c r="F34" s="2294"/>
    </row>
    <row r="35" spans="2:6" x14ac:dyDescent="0.3">
      <c r="B35" s="2095">
        <v>1</v>
      </c>
      <c r="C35" s="2096" t="s">
        <v>837</v>
      </c>
      <c r="D35" s="2097">
        <v>50000</v>
      </c>
    </row>
    <row r="36" spans="2:6" x14ac:dyDescent="0.3">
      <c r="B36" s="2095">
        <v>2</v>
      </c>
      <c r="C36" s="2096" t="s">
        <v>838</v>
      </c>
      <c r="D36" s="2097">
        <v>14000</v>
      </c>
    </row>
    <row r="37" spans="2:6" x14ac:dyDescent="0.3">
      <c r="B37" s="2078">
        <v>1</v>
      </c>
      <c r="C37" s="2035" t="s">
        <v>839</v>
      </c>
      <c r="D37" s="1995">
        <v>50000</v>
      </c>
    </row>
    <row r="38" spans="2:6" x14ac:dyDescent="0.3">
      <c r="B38" s="2078"/>
      <c r="C38" s="2035"/>
      <c r="D38" s="1995"/>
    </row>
    <row r="39" spans="2:6" x14ac:dyDescent="0.3">
      <c r="B39" s="2084">
        <v>53214010000000</v>
      </c>
      <c r="C39" s="2089" t="s">
        <v>149</v>
      </c>
      <c r="D39" s="2307">
        <f>SUM(D40:D40)</f>
        <v>350000</v>
      </c>
      <c r="E39" s="2067">
        <f>+D39*$E$3</f>
        <v>367500</v>
      </c>
      <c r="F39" s="2294"/>
    </row>
    <row r="40" spans="2:6" x14ac:dyDescent="0.3">
      <c r="B40" s="1997">
        <v>1</v>
      </c>
      <c r="C40" s="2301" t="s">
        <v>840</v>
      </c>
      <c r="D40" s="1995">
        <v>350000</v>
      </c>
    </row>
    <row r="41" spans="2:6" x14ac:dyDescent="0.3">
      <c r="B41" s="2084">
        <v>53207020000000</v>
      </c>
      <c r="C41" s="2089" t="s">
        <v>155</v>
      </c>
      <c r="D41" s="2088">
        <v>0</v>
      </c>
    </row>
    <row r="42" spans="2:6" x14ac:dyDescent="0.3">
      <c r="B42" s="2084">
        <v>53206060000000</v>
      </c>
      <c r="C42" s="2089" t="s">
        <v>166</v>
      </c>
      <c r="D42" s="2307">
        <f>SUM(D43:D48)</f>
        <v>531000</v>
      </c>
      <c r="E42" s="2067">
        <f>+D42*$E$3</f>
        <v>557550</v>
      </c>
      <c r="F42" s="2294"/>
    </row>
    <row r="43" spans="2:6" x14ac:dyDescent="0.3">
      <c r="B43" s="2078">
        <v>3</v>
      </c>
      <c r="C43" s="2035" t="s">
        <v>841</v>
      </c>
      <c r="D43" s="1995">
        <v>135000</v>
      </c>
    </row>
    <row r="44" spans="2:6" x14ac:dyDescent="0.3">
      <c r="B44" s="2078">
        <v>1</v>
      </c>
      <c r="C44" s="2035" t="s">
        <v>634</v>
      </c>
      <c r="D44" s="1995">
        <v>70000</v>
      </c>
    </row>
    <row r="45" spans="2:6" x14ac:dyDescent="0.3">
      <c r="B45" s="2078">
        <v>1</v>
      </c>
      <c r="C45" s="2035" t="s">
        <v>842</v>
      </c>
      <c r="D45" s="1995">
        <v>70000</v>
      </c>
    </row>
    <row r="46" spans="2:6" x14ac:dyDescent="0.3">
      <c r="B46" s="2078">
        <v>1</v>
      </c>
      <c r="C46" s="2035" t="s">
        <v>635</v>
      </c>
      <c r="D46" s="1995">
        <v>70000</v>
      </c>
    </row>
    <row r="47" spans="2:6" x14ac:dyDescent="0.3">
      <c r="B47" s="1997">
        <v>3</v>
      </c>
      <c r="C47" s="2312" t="s">
        <v>637</v>
      </c>
      <c r="D47" s="1995">
        <v>150000</v>
      </c>
    </row>
    <row r="48" spans="2:6" x14ac:dyDescent="0.3">
      <c r="B48" s="2078">
        <v>3</v>
      </c>
      <c r="C48" s="2035" t="s">
        <v>843</v>
      </c>
      <c r="D48" s="1995">
        <v>36000</v>
      </c>
    </row>
    <row r="49" spans="1:6" x14ac:dyDescent="0.3">
      <c r="B49" s="2084">
        <v>53206990000000</v>
      </c>
      <c r="C49" s="2089" t="s">
        <v>168</v>
      </c>
      <c r="D49" s="2088">
        <v>0</v>
      </c>
      <c r="E49" s="2088">
        <v>0</v>
      </c>
    </row>
    <row r="50" spans="1:6" x14ac:dyDescent="0.3">
      <c r="B50" s="2078"/>
      <c r="C50" s="2035" t="s">
        <v>844</v>
      </c>
      <c r="D50" s="1989">
        <v>440000</v>
      </c>
      <c r="E50" s="2313">
        <f>+D50*$E$3</f>
        <v>462000</v>
      </c>
    </row>
    <row r="51" spans="1:6" x14ac:dyDescent="0.3">
      <c r="A51" s="2314"/>
      <c r="B51" s="2084">
        <v>53208030000000</v>
      </c>
      <c r="C51" s="2089" t="s">
        <v>169</v>
      </c>
      <c r="D51" s="2088">
        <v>0</v>
      </c>
      <c r="E51" s="2088">
        <v>0</v>
      </c>
    </row>
    <row r="52" spans="1:6" x14ac:dyDescent="0.3">
      <c r="B52" s="2084">
        <v>53212060000000</v>
      </c>
      <c r="C52" s="2089" t="s">
        <v>170</v>
      </c>
      <c r="D52" s="2088">
        <v>0</v>
      </c>
      <c r="E52" s="2070"/>
    </row>
    <row r="53" spans="1:6" x14ac:dyDescent="0.3">
      <c r="A53" s="2314"/>
      <c r="B53" s="2084">
        <v>53210020500000</v>
      </c>
      <c r="C53" s="2315" t="s">
        <v>641</v>
      </c>
      <c r="D53" s="2088">
        <v>0</v>
      </c>
      <c r="E53" s="2088">
        <v>0</v>
      </c>
    </row>
    <row r="54" spans="1:6" x14ac:dyDescent="0.3">
      <c r="B54" s="2084">
        <v>53204999000000</v>
      </c>
      <c r="C54" s="2089" t="s">
        <v>173</v>
      </c>
      <c r="D54" s="2088">
        <v>0</v>
      </c>
      <c r="E54" s="2088">
        <v>0</v>
      </c>
    </row>
    <row r="55" spans="1:6" x14ac:dyDescent="0.3">
      <c r="B55" s="2105"/>
      <c r="C55" s="2105"/>
      <c r="D55" s="2105"/>
    </row>
    <row r="56" spans="1:6" x14ac:dyDescent="0.3">
      <c r="B56" s="2295">
        <v>53208010100000</v>
      </c>
      <c r="C56" s="2315" t="s">
        <v>127</v>
      </c>
      <c r="D56" s="2088">
        <f>SUM(D57:D58)</f>
        <v>554780</v>
      </c>
      <c r="E56" s="2067">
        <f>+D56*$E$3</f>
        <v>582519</v>
      </c>
      <c r="F56" s="2294"/>
    </row>
    <row r="57" spans="1:6" x14ac:dyDescent="0.3">
      <c r="C57" s="2107" t="s">
        <v>643</v>
      </c>
      <c r="D57" s="1995">
        <v>54780</v>
      </c>
    </row>
    <row r="58" spans="1:6" x14ac:dyDescent="0.3">
      <c r="C58" s="2106" t="s">
        <v>644</v>
      </c>
      <c r="D58" s="1995">
        <v>500000</v>
      </c>
    </row>
    <row r="59" spans="1:6" x14ac:dyDescent="0.3">
      <c r="B59" s="2295">
        <v>53205080000000</v>
      </c>
      <c r="C59" s="2315" t="s">
        <v>140</v>
      </c>
      <c r="D59" s="2088">
        <f>SUM(D60:D61)</f>
        <v>430080</v>
      </c>
      <c r="E59" s="2067">
        <f>+D59*$E$3</f>
        <v>451584</v>
      </c>
      <c r="F59" s="2294"/>
    </row>
    <row r="60" spans="1:6" x14ac:dyDescent="0.3">
      <c r="C60" s="2106" t="s">
        <v>845</v>
      </c>
      <c r="D60" s="2316">
        <v>430080</v>
      </c>
    </row>
    <row r="61" spans="1:6" x14ac:dyDescent="0.3">
      <c r="B61" s="2317">
        <v>53208020000000</v>
      </c>
      <c r="C61" s="2318" t="s">
        <v>156</v>
      </c>
      <c r="D61" s="2088"/>
      <c r="E61" s="2058">
        <f>D61*5%+D61</f>
        <v>0</v>
      </c>
    </row>
    <row r="65" spans="2:4" x14ac:dyDescent="0.3">
      <c r="B65" s="2319"/>
      <c r="D65" s="2051"/>
    </row>
    <row r="66" spans="2:4" x14ac:dyDescent="0.3">
      <c r="B66" s="2319"/>
      <c r="D66" s="2051"/>
    </row>
    <row r="67" spans="2:4" x14ac:dyDescent="0.3">
      <c r="B67" s="2319"/>
      <c r="D67" s="2051"/>
    </row>
    <row r="68" spans="2:4" x14ac:dyDescent="0.3">
      <c r="B68" s="2319"/>
      <c r="D68" s="2051"/>
    </row>
    <row r="69" spans="2:4" x14ac:dyDescent="0.3">
      <c r="B69" s="2319"/>
      <c r="D69" s="2051"/>
    </row>
    <row r="70" spans="2:4" x14ac:dyDescent="0.3">
      <c r="B70" s="2114"/>
      <c r="D70" s="2051"/>
    </row>
    <row r="71" spans="2:4" x14ac:dyDescent="0.3">
      <c r="B71" s="2114"/>
      <c r="D71" s="2051"/>
    </row>
    <row r="72" spans="2:4" x14ac:dyDescent="0.3">
      <c r="B72" s="2114"/>
      <c r="D72" s="2051"/>
    </row>
    <row r="73" spans="2:4" x14ac:dyDescent="0.3">
      <c r="B73" s="2114"/>
      <c r="D73" s="2051"/>
    </row>
    <row r="74" spans="2:4" x14ac:dyDescent="0.3">
      <c r="B74" s="2114"/>
      <c r="D74" s="2051"/>
    </row>
    <row r="75" spans="2:4" x14ac:dyDescent="0.3">
      <c r="B75" s="2114"/>
      <c r="D75" s="2051"/>
    </row>
    <row r="76" spans="2:4" x14ac:dyDescent="0.3">
      <c r="B76" s="2115"/>
      <c r="D76" s="205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39"/>
  <sheetViews>
    <sheetView workbookViewId="0">
      <selection activeCell="H13" sqref="H13"/>
    </sheetView>
  </sheetViews>
  <sheetFormatPr baseColWidth="10" defaultRowHeight="14.5" x14ac:dyDescent="0.35"/>
  <cols>
    <col min="1" max="1" width="4" customWidth="1"/>
    <col min="2" max="2" width="59" style="2155" customWidth="1"/>
    <col min="3" max="3" width="36.7265625" style="2155" customWidth="1"/>
    <col min="4" max="4" width="17" style="229" customWidth="1"/>
    <col min="5" max="5" width="14.1796875" style="229" customWidth="1"/>
    <col min="6" max="6" width="17.7265625" style="229" customWidth="1"/>
    <col min="7" max="7" width="15.81640625" style="229" customWidth="1"/>
    <col min="8" max="8" width="18.1796875" style="229" customWidth="1"/>
    <col min="10" max="10" width="13.81640625" customWidth="1"/>
    <col min="11" max="11" width="12.54296875" bestFit="1" customWidth="1"/>
    <col min="13" max="13" width="15.1796875" customWidth="1"/>
  </cols>
  <sheetData>
    <row r="1" spans="1:13" ht="18" x14ac:dyDescent="0.4">
      <c r="B1" s="2154" t="s">
        <v>688</v>
      </c>
    </row>
    <row r="2" spans="1:13" ht="18" x14ac:dyDescent="0.35">
      <c r="B2" s="2156" t="s">
        <v>226</v>
      </c>
    </row>
    <row r="3" spans="1:13" ht="18" x14ac:dyDescent="0.4">
      <c r="B3" s="2157" t="s">
        <v>689</v>
      </c>
    </row>
    <row r="6" spans="1:13" x14ac:dyDescent="0.35">
      <c r="B6" s="2158"/>
      <c r="C6" s="2158"/>
      <c r="D6"/>
      <c r="E6"/>
      <c r="F6" s="2159"/>
      <c r="G6"/>
      <c r="H6" s="2160" t="s">
        <v>690</v>
      </c>
    </row>
    <row r="7" spans="1:13" x14ac:dyDescent="0.35">
      <c r="B7" s="2161"/>
      <c r="C7" s="2161"/>
      <c r="D7" s="289"/>
      <c r="E7" s="289"/>
      <c r="F7" s="2162">
        <v>2025</v>
      </c>
      <c r="G7" s="289"/>
      <c r="H7" s="2163">
        <v>2026</v>
      </c>
    </row>
    <row r="8" spans="1:13" x14ac:dyDescent="0.35">
      <c r="B8" s="2161"/>
      <c r="C8" s="2161"/>
      <c r="D8" s="289"/>
      <c r="E8" s="289"/>
      <c r="F8" s="2164"/>
      <c r="G8" s="289"/>
      <c r="H8" s="2604">
        <v>4.4999999999999998E-2</v>
      </c>
    </row>
    <row r="9" spans="1:13" ht="15.5" x14ac:dyDescent="0.35">
      <c r="A9">
        <v>51</v>
      </c>
      <c r="B9" s="2166" t="s">
        <v>114</v>
      </c>
      <c r="C9" s="2167" t="s">
        <v>691</v>
      </c>
      <c r="D9" s="2168">
        <v>1200000</v>
      </c>
      <c r="E9" s="289"/>
      <c r="F9" s="2169"/>
      <c r="G9" s="289"/>
      <c r="H9" s="289"/>
    </row>
    <row r="10" spans="1:13" ht="15.5" x14ac:dyDescent="0.35">
      <c r="B10" s="2170"/>
      <c r="C10" s="2171" t="s">
        <v>692</v>
      </c>
      <c r="D10" s="2168">
        <v>470000</v>
      </c>
      <c r="E10" s="290"/>
      <c r="F10" s="290"/>
      <c r="G10" s="290"/>
      <c r="H10" s="2172"/>
    </row>
    <row r="11" spans="1:13" ht="15.5" x14ac:dyDescent="0.35">
      <c r="B11" s="2170"/>
      <c r="C11" s="2173" t="s">
        <v>693</v>
      </c>
      <c r="D11" s="2168">
        <v>90618</v>
      </c>
      <c r="E11" s="290"/>
      <c r="F11" s="290"/>
      <c r="G11" s="290"/>
      <c r="H11" s="2172"/>
    </row>
    <row r="12" spans="1:13" ht="15.5" x14ac:dyDescent="0.35">
      <c r="B12" s="2170"/>
      <c r="C12" s="2173" t="s">
        <v>694</v>
      </c>
      <c r="D12" s="2168">
        <v>10000</v>
      </c>
      <c r="E12" s="290"/>
      <c r="F12" s="290"/>
      <c r="G12" s="290"/>
      <c r="H12" s="2172"/>
    </row>
    <row r="13" spans="1:13" ht="15.5" x14ac:dyDescent="0.35">
      <c r="B13" s="2170"/>
      <c r="C13" s="2174" t="s">
        <v>538</v>
      </c>
      <c r="D13" s="2168">
        <f>SUM(D9:D12)</f>
        <v>1770618</v>
      </c>
      <c r="E13" s="290" t="s">
        <v>695</v>
      </c>
      <c r="F13" s="2175">
        <f>+D13*12</f>
        <v>21247416</v>
      </c>
      <c r="G13" s="2168"/>
      <c r="H13" s="2176">
        <v>21200000</v>
      </c>
      <c r="K13" s="1869"/>
      <c r="L13" s="1869"/>
      <c r="M13" s="1869"/>
    </row>
    <row r="14" spans="1:13" ht="15.5" x14ac:dyDescent="0.35">
      <c r="B14" s="2170"/>
      <c r="C14" s="2174"/>
      <c r="D14" s="2168"/>
      <c r="E14" s="290"/>
      <c r="F14" s="290"/>
      <c r="G14" s="2177"/>
      <c r="H14" s="290"/>
    </row>
    <row r="15" spans="1:13" ht="15.5" x14ac:dyDescent="0.35">
      <c r="B15" s="2170"/>
      <c r="C15" s="2171"/>
      <c r="D15" s="2168"/>
      <c r="E15" s="290"/>
      <c r="F15" s="290"/>
      <c r="G15" s="2178"/>
      <c r="H15" s="290"/>
      <c r="K15" s="1869"/>
    </row>
    <row r="16" spans="1:13" ht="15.5" x14ac:dyDescent="0.35">
      <c r="A16">
        <v>53</v>
      </c>
      <c r="B16" s="2166" t="s">
        <v>115</v>
      </c>
      <c r="C16" s="2179" t="s">
        <v>696</v>
      </c>
      <c r="D16" s="2168">
        <v>38700</v>
      </c>
      <c r="E16" s="290"/>
      <c r="F16" s="290"/>
      <c r="G16" s="290"/>
      <c r="H16" s="290"/>
      <c r="K16" s="1869"/>
    </row>
    <row r="17" spans="1:8" ht="15.5" x14ac:dyDescent="0.35">
      <c r="B17" s="2180"/>
      <c r="C17" s="2179" t="s">
        <v>697</v>
      </c>
      <c r="D17" s="2168">
        <v>17940</v>
      </c>
      <c r="E17" s="290"/>
      <c r="F17" s="290"/>
      <c r="G17" s="290"/>
      <c r="H17" s="290"/>
    </row>
    <row r="18" spans="1:8" ht="15.5" x14ac:dyDescent="0.35">
      <c r="B18" s="2180"/>
      <c r="C18" s="2171"/>
      <c r="D18" s="2168">
        <f>SUM(D16:D17)</f>
        <v>56640</v>
      </c>
      <c r="E18" s="2181"/>
      <c r="F18" s="2175">
        <f>D18*1.05</f>
        <v>59472</v>
      </c>
      <c r="G18" s="290"/>
      <c r="H18" s="2182">
        <f>F18*1.045</f>
        <v>62148.24</v>
      </c>
    </row>
    <row r="19" spans="1:8" ht="15.5" x14ac:dyDescent="0.35">
      <c r="B19" s="2180"/>
      <c r="C19" s="2171"/>
      <c r="D19" s="2168"/>
      <c r="E19" s="290"/>
      <c r="F19" s="290"/>
      <c r="G19" s="290"/>
      <c r="H19" s="290"/>
    </row>
    <row r="20" spans="1:8" ht="15.5" x14ac:dyDescent="0.35">
      <c r="B20" s="2180"/>
      <c r="C20" s="2171"/>
      <c r="D20" s="2168"/>
      <c r="E20" s="290"/>
      <c r="F20" s="290"/>
      <c r="G20" s="290"/>
      <c r="H20" s="290"/>
    </row>
    <row r="21" spans="1:8" ht="15.5" x14ac:dyDescent="0.35">
      <c r="A21">
        <v>57</v>
      </c>
      <c r="B21" s="2166" t="s">
        <v>116</v>
      </c>
      <c r="C21" s="2179" t="s">
        <v>698</v>
      </c>
      <c r="D21" s="2168">
        <v>18000</v>
      </c>
      <c r="E21" s="2183"/>
      <c r="F21" s="2175">
        <f>18000*1.05</f>
        <v>18900</v>
      </c>
      <c r="G21" s="290"/>
      <c r="H21" s="2184">
        <f>F21*1.045</f>
        <v>19750.5</v>
      </c>
    </row>
    <row r="22" spans="1:8" ht="15.5" x14ac:dyDescent="0.35">
      <c r="B22" s="2180"/>
      <c r="C22" s="2171"/>
      <c r="D22" s="2168"/>
      <c r="E22" s="290"/>
      <c r="F22" s="290"/>
      <c r="G22" s="290"/>
      <c r="H22" s="290"/>
    </row>
    <row r="23" spans="1:8" ht="15.5" x14ac:dyDescent="0.35">
      <c r="A23">
        <v>71</v>
      </c>
      <c r="B23" s="2185" t="s">
        <v>699</v>
      </c>
      <c r="C23" s="2171"/>
      <c r="D23" s="290"/>
      <c r="E23" s="290"/>
      <c r="F23" s="290"/>
      <c r="G23" s="290"/>
      <c r="H23" s="290"/>
    </row>
    <row r="24" spans="1:8" x14ac:dyDescent="0.35">
      <c r="B24" s="2158"/>
      <c r="C24" s="2158"/>
      <c r="D24"/>
      <c r="E24"/>
      <c r="F24"/>
      <c r="G24"/>
      <c r="H24"/>
    </row>
    <row r="25" spans="1:8" x14ac:dyDescent="0.35">
      <c r="B25" s="2158"/>
      <c r="C25" s="2158"/>
      <c r="D25"/>
      <c r="E25"/>
      <c r="F25"/>
      <c r="G25"/>
      <c r="H25"/>
    </row>
    <row r="26" spans="1:8" x14ac:dyDescent="0.35">
      <c r="B26" s="2186" t="s">
        <v>700</v>
      </c>
      <c r="C26" s="2158" t="s">
        <v>701</v>
      </c>
      <c r="D26" s="2168">
        <v>10000</v>
      </c>
      <c r="E26"/>
      <c r="F26"/>
    </row>
    <row r="27" spans="1:8" x14ac:dyDescent="0.35">
      <c r="B27" s="2158"/>
      <c r="C27" s="2158" t="s">
        <v>702</v>
      </c>
      <c r="D27" s="2168">
        <v>3990</v>
      </c>
      <c r="E27"/>
      <c r="F27"/>
    </row>
    <row r="28" spans="1:8" x14ac:dyDescent="0.35">
      <c r="B28" s="2158"/>
      <c r="C28" s="2158" t="s">
        <v>703</v>
      </c>
      <c r="D28" s="2168">
        <v>3030</v>
      </c>
      <c r="E28"/>
      <c r="F28"/>
    </row>
    <row r="29" spans="1:8" x14ac:dyDescent="0.35">
      <c r="B29" s="2158"/>
      <c r="C29" s="2158" t="s">
        <v>704</v>
      </c>
      <c r="D29" s="2168">
        <v>11690</v>
      </c>
      <c r="E29"/>
      <c r="F29"/>
      <c r="G29"/>
      <c r="H29"/>
    </row>
    <row r="30" spans="1:8" x14ac:dyDescent="0.35">
      <c r="B30" s="2158"/>
      <c r="C30" s="2158" t="s">
        <v>705</v>
      </c>
      <c r="D30" s="2168">
        <v>12833</v>
      </c>
      <c r="E30"/>
      <c r="F30"/>
      <c r="G30"/>
      <c r="H30"/>
    </row>
    <row r="31" spans="1:8" x14ac:dyDescent="0.35">
      <c r="B31" s="2158"/>
      <c r="C31" s="2158" t="s">
        <v>706</v>
      </c>
      <c r="D31" s="2168">
        <v>4070</v>
      </c>
      <c r="E31"/>
      <c r="F31"/>
    </row>
    <row r="32" spans="1:8" x14ac:dyDescent="0.35">
      <c r="B32" s="2158"/>
      <c r="C32" s="2158" t="s">
        <v>707</v>
      </c>
      <c r="D32" s="2168">
        <v>10990</v>
      </c>
      <c r="E32"/>
      <c r="F32"/>
      <c r="G32"/>
      <c r="H32"/>
    </row>
    <row r="33" spans="2:8" x14ac:dyDescent="0.35">
      <c r="B33" s="2158"/>
      <c r="C33" s="2158" t="s">
        <v>708</v>
      </c>
      <c r="D33" s="2168">
        <v>19980</v>
      </c>
      <c r="E33"/>
      <c r="F33"/>
      <c r="G33"/>
      <c r="H33"/>
    </row>
    <row r="34" spans="2:8" x14ac:dyDescent="0.35">
      <c r="B34" s="2158"/>
      <c r="C34" s="2158" t="s">
        <v>709</v>
      </c>
      <c r="D34" s="2168">
        <v>20000</v>
      </c>
      <c r="E34"/>
      <c r="F34"/>
      <c r="G34"/>
      <c r="H34"/>
    </row>
    <row r="35" spans="2:8" x14ac:dyDescent="0.35">
      <c r="B35" s="2158"/>
      <c r="C35" s="2158" t="s">
        <v>710</v>
      </c>
      <c r="D35" s="2168">
        <v>9980</v>
      </c>
      <c r="E35"/>
      <c r="F35"/>
      <c r="G35"/>
      <c r="H35"/>
    </row>
    <row r="36" spans="2:8" x14ac:dyDescent="0.35">
      <c r="B36" s="2158"/>
      <c r="C36" s="2158" t="s">
        <v>711</v>
      </c>
      <c r="D36" s="2168">
        <v>3690</v>
      </c>
      <c r="E36"/>
      <c r="F36"/>
      <c r="G36"/>
      <c r="H36"/>
    </row>
    <row r="37" spans="2:8" x14ac:dyDescent="0.35">
      <c r="B37" s="2158"/>
      <c r="C37" s="2158" t="s">
        <v>712</v>
      </c>
      <c r="D37" s="2168">
        <v>7990</v>
      </c>
      <c r="E37"/>
      <c r="F37"/>
      <c r="G37"/>
      <c r="H37"/>
    </row>
    <row r="38" spans="2:8" ht="15" x14ac:dyDescent="0.4">
      <c r="B38" s="2158"/>
      <c r="C38" s="2158" t="s">
        <v>713</v>
      </c>
      <c r="D38" s="2187">
        <v>9990</v>
      </c>
      <c r="E38"/>
      <c r="F38"/>
      <c r="G38"/>
      <c r="H38"/>
    </row>
    <row r="39" spans="2:8" x14ac:dyDescent="0.35">
      <c r="B39" s="2158"/>
      <c r="C39" s="2158"/>
      <c r="D39" s="2168">
        <f>SUM(D26:D38)</f>
        <v>128233</v>
      </c>
      <c r="E39" s="2188"/>
      <c r="F39" s="2189">
        <f>D39*1.05</f>
        <v>134644.65</v>
      </c>
      <c r="G39"/>
      <c r="H39"/>
    </row>
    <row r="40" spans="2:8" x14ac:dyDescent="0.35">
      <c r="B40" s="2158"/>
      <c r="C40" s="2158"/>
      <c r="D40"/>
      <c r="E40" s="2188"/>
      <c r="F40"/>
      <c r="G40"/>
      <c r="H40"/>
    </row>
    <row r="41" spans="2:8" x14ac:dyDescent="0.35">
      <c r="B41" s="2186" t="s">
        <v>714</v>
      </c>
      <c r="C41" s="2158" t="s">
        <v>715</v>
      </c>
      <c r="D41" s="2168">
        <v>13990</v>
      </c>
      <c r="E41"/>
      <c r="F41"/>
      <c r="G41"/>
      <c r="H41"/>
    </row>
    <row r="42" spans="2:8" x14ac:dyDescent="0.35">
      <c r="B42" s="2158"/>
      <c r="C42" s="2158" t="s">
        <v>711</v>
      </c>
      <c r="D42" s="2190">
        <v>5980</v>
      </c>
      <c r="E42"/>
      <c r="F42"/>
      <c r="G42"/>
      <c r="H42"/>
    </row>
    <row r="43" spans="2:8" x14ac:dyDescent="0.35">
      <c r="B43" s="2158"/>
      <c r="C43" s="2158"/>
      <c r="D43" s="2168">
        <f>SUM(D41:D42)</f>
        <v>19970</v>
      </c>
      <c r="E43" s="2188"/>
      <c r="F43" s="2191">
        <f>D43*1.05</f>
        <v>20968.5</v>
      </c>
      <c r="G43"/>
      <c r="H43"/>
    </row>
    <row r="44" spans="2:8" x14ac:dyDescent="0.35">
      <c r="B44" s="2158"/>
      <c r="C44" s="2158"/>
      <c r="D44"/>
      <c r="E44" s="2188"/>
      <c r="F44"/>
      <c r="G44"/>
      <c r="H44"/>
    </row>
    <row r="45" spans="2:8" x14ac:dyDescent="0.35">
      <c r="B45" s="2158"/>
      <c r="C45" s="2158"/>
      <c r="D45"/>
      <c r="E45" s="2188"/>
      <c r="F45"/>
      <c r="G45"/>
      <c r="H45"/>
    </row>
    <row r="46" spans="2:8" x14ac:dyDescent="0.35">
      <c r="B46" s="2192" t="s">
        <v>716</v>
      </c>
      <c r="C46" s="2193" t="s">
        <v>717</v>
      </c>
      <c r="D46" s="2168">
        <v>154700</v>
      </c>
      <c r="E46" s="2194"/>
      <c r="F46" s="2195">
        <f>D46*1.05</f>
        <v>162435</v>
      </c>
      <c r="G46"/>
      <c r="H46"/>
    </row>
    <row r="47" spans="2:8" x14ac:dyDescent="0.35">
      <c r="B47" s="2158"/>
      <c r="C47" s="2158"/>
      <c r="D47"/>
      <c r="E47" s="2188"/>
      <c r="F47"/>
      <c r="G47"/>
      <c r="H47"/>
    </row>
    <row r="48" spans="2:8" x14ac:dyDescent="0.35">
      <c r="B48" s="2158"/>
      <c r="C48" s="2158"/>
      <c r="D48" s="157"/>
      <c r="E48" s="2196"/>
      <c r="F48" s="294"/>
      <c r="G48"/>
      <c r="H48" s="2197"/>
    </row>
    <row r="49" spans="2:8" x14ac:dyDescent="0.35">
      <c r="B49" s="2158"/>
      <c r="C49" s="2158"/>
      <c r="D49"/>
      <c r="E49" s="2188"/>
      <c r="F49"/>
      <c r="G49"/>
      <c r="H49"/>
    </row>
    <row r="50" spans="2:8" x14ac:dyDescent="0.35">
      <c r="B50" s="2158"/>
      <c r="C50" s="2158"/>
      <c r="D50"/>
      <c r="E50"/>
      <c r="F50"/>
      <c r="G50"/>
      <c r="H50"/>
    </row>
    <row r="51" spans="2:8" x14ac:dyDescent="0.35">
      <c r="B51" s="2158"/>
      <c r="C51" s="2158"/>
      <c r="D51"/>
      <c r="E51"/>
      <c r="F51"/>
      <c r="G51"/>
      <c r="H51"/>
    </row>
    <row r="52" spans="2:8" x14ac:dyDescent="0.35">
      <c r="B52" s="2158" t="s">
        <v>718</v>
      </c>
      <c r="C52" s="2158" t="s">
        <v>719</v>
      </c>
      <c r="D52" s="2168">
        <v>35990</v>
      </c>
      <c r="E52"/>
      <c r="F52"/>
      <c r="G52"/>
      <c r="H52"/>
    </row>
    <row r="53" spans="2:8" x14ac:dyDescent="0.35">
      <c r="B53" s="2158"/>
      <c r="C53" s="2158" t="s">
        <v>720</v>
      </c>
      <c r="D53" s="2168">
        <v>9980</v>
      </c>
      <c r="E53"/>
      <c r="F53"/>
      <c r="G53"/>
      <c r="H53"/>
    </row>
    <row r="54" spans="2:8" ht="15" x14ac:dyDescent="0.4">
      <c r="B54" s="2158"/>
      <c r="C54" s="2158" t="s">
        <v>721</v>
      </c>
      <c r="D54" s="2187">
        <v>10290</v>
      </c>
      <c r="E54"/>
      <c r="F54"/>
      <c r="G54"/>
      <c r="H54"/>
    </row>
    <row r="55" spans="2:8" x14ac:dyDescent="0.35">
      <c r="B55" s="2158"/>
      <c r="C55" s="2158"/>
      <c r="D55" s="2168">
        <f>SUM(D52:D54)</f>
        <v>56260</v>
      </c>
      <c r="E55" s="2188"/>
      <c r="F55" s="2189">
        <f>D55*1.05</f>
        <v>59073</v>
      </c>
      <c r="G55"/>
      <c r="H55" s="2197"/>
    </row>
    <row r="56" spans="2:8" x14ac:dyDescent="0.35">
      <c r="B56" s="2158"/>
      <c r="C56" s="2158"/>
      <c r="D56"/>
      <c r="E56"/>
      <c r="F56"/>
      <c r="G56"/>
      <c r="H56"/>
    </row>
    <row r="57" spans="2:8" x14ac:dyDescent="0.35">
      <c r="B57" s="2158"/>
      <c r="C57" s="2158"/>
      <c r="D57"/>
      <c r="E57"/>
      <c r="F57"/>
      <c r="G57"/>
      <c r="H57"/>
    </row>
    <row r="58" spans="2:8" x14ac:dyDescent="0.35">
      <c r="B58" s="2158"/>
      <c r="C58" s="2158"/>
      <c r="D58"/>
      <c r="E58"/>
      <c r="F58"/>
      <c r="G58"/>
      <c r="H58"/>
    </row>
    <row r="59" spans="2:8" x14ac:dyDescent="0.35">
      <c r="B59" s="2158"/>
      <c r="C59" s="2158"/>
      <c r="D59"/>
      <c r="E59"/>
      <c r="F59"/>
      <c r="G59"/>
      <c r="H59"/>
    </row>
    <row r="60" spans="2:8" x14ac:dyDescent="0.35">
      <c r="B60" s="2158" t="s">
        <v>722</v>
      </c>
      <c r="C60" s="2158" t="s">
        <v>701</v>
      </c>
      <c r="D60" s="2168">
        <v>10000</v>
      </c>
      <c r="E60"/>
      <c r="F60"/>
      <c r="G60"/>
      <c r="H60"/>
    </row>
    <row r="61" spans="2:8" x14ac:dyDescent="0.35">
      <c r="B61" s="2158"/>
      <c r="C61" s="2158" t="s">
        <v>702</v>
      </c>
      <c r="D61" s="2168">
        <v>3990</v>
      </c>
      <c r="E61"/>
      <c r="F61"/>
      <c r="G61"/>
      <c r="H61"/>
    </row>
    <row r="62" spans="2:8" x14ac:dyDescent="0.35">
      <c r="B62" s="2158"/>
      <c r="C62" s="2158" t="s">
        <v>703</v>
      </c>
      <c r="D62" s="2168">
        <v>3030</v>
      </c>
      <c r="E62"/>
      <c r="F62"/>
      <c r="G62"/>
      <c r="H62"/>
    </row>
    <row r="63" spans="2:8" x14ac:dyDescent="0.35">
      <c r="B63" s="2158"/>
      <c r="C63" s="2158" t="s">
        <v>704</v>
      </c>
      <c r="D63" s="2168">
        <v>11690</v>
      </c>
      <c r="E63"/>
      <c r="F63"/>
      <c r="G63"/>
      <c r="H63"/>
    </row>
    <row r="64" spans="2:8" x14ac:dyDescent="0.35">
      <c r="B64" s="2158"/>
      <c r="C64" s="2158" t="s">
        <v>705</v>
      </c>
      <c r="D64" s="2168">
        <v>12833</v>
      </c>
      <c r="E64"/>
      <c r="F64"/>
      <c r="G64"/>
      <c r="H64"/>
    </row>
    <row r="65" spans="2:8" x14ac:dyDescent="0.35">
      <c r="B65" s="2158"/>
      <c r="C65" s="2158" t="s">
        <v>706</v>
      </c>
      <c r="D65" s="2168">
        <v>4070</v>
      </c>
      <c r="E65"/>
      <c r="F65"/>
      <c r="G65"/>
      <c r="H65"/>
    </row>
    <row r="66" spans="2:8" x14ac:dyDescent="0.35">
      <c r="B66" s="2158"/>
      <c r="C66" s="2158" t="s">
        <v>707</v>
      </c>
      <c r="D66" s="2168">
        <v>10990</v>
      </c>
      <c r="E66"/>
      <c r="F66"/>
      <c r="G66"/>
      <c r="H66"/>
    </row>
    <row r="67" spans="2:8" x14ac:dyDescent="0.35">
      <c r="B67" s="2158"/>
      <c r="C67" s="2158" t="s">
        <v>723</v>
      </c>
      <c r="D67" s="2168">
        <v>9990</v>
      </c>
      <c r="E67"/>
      <c r="F67"/>
      <c r="G67"/>
      <c r="H67"/>
    </row>
    <row r="68" spans="2:8" x14ac:dyDescent="0.35">
      <c r="B68" s="2158"/>
      <c r="C68" s="2158" t="s">
        <v>724</v>
      </c>
      <c r="D68" s="2168">
        <v>9990</v>
      </c>
      <c r="E68"/>
      <c r="F68"/>
      <c r="G68"/>
      <c r="H68"/>
    </row>
    <row r="69" spans="2:8" x14ac:dyDescent="0.35">
      <c r="B69" s="2158"/>
      <c r="C69" s="2158" t="s">
        <v>725</v>
      </c>
      <c r="D69" s="2168">
        <v>4290</v>
      </c>
      <c r="E69"/>
      <c r="F69"/>
      <c r="G69"/>
      <c r="H69"/>
    </row>
    <row r="70" spans="2:8" x14ac:dyDescent="0.35">
      <c r="B70" s="2158"/>
      <c r="C70" s="2158" t="s">
        <v>711</v>
      </c>
      <c r="D70" s="2168">
        <v>3690</v>
      </c>
      <c r="E70"/>
      <c r="F70"/>
      <c r="G70"/>
      <c r="H70"/>
    </row>
    <row r="71" spans="2:8" ht="15" x14ac:dyDescent="0.4">
      <c r="B71" s="2158"/>
      <c r="C71" s="2158" t="s">
        <v>712</v>
      </c>
      <c r="D71" s="2187">
        <v>7990</v>
      </c>
      <c r="E71"/>
      <c r="F71"/>
      <c r="G71"/>
      <c r="H71"/>
    </row>
    <row r="72" spans="2:8" x14ac:dyDescent="0.35">
      <c r="B72" s="2158"/>
      <c r="C72" s="2158"/>
      <c r="D72" s="2168">
        <f>SUM(D60:D71)</f>
        <v>92553</v>
      </c>
      <c r="E72" s="2188"/>
      <c r="F72" s="2189">
        <f>D72*1.05</f>
        <v>97180.650000000009</v>
      </c>
      <c r="G72"/>
      <c r="H72" s="2197"/>
    </row>
    <row r="73" spans="2:8" x14ac:dyDescent="0.35">
      <c r="B73" s="2158"/>
      <c r="C73" s="2158"/>
      <c r="D73"/>
      <c r="E73"/>
      <c r="F73"/>
      <c r="G73"/>
      <c r="H73"/>
    </row>
    <row r="74" spans="2:8" x14ac:dyDescent="0.35">
      <c r="B74" s="2158" t="s">
        <v>726</v>
      </c>
      <c r="C74" s="2158"/>
      <c r="D74"/>
      <c r="E74"/>
      <c r="F74"/>
      <c r="G74"/>
      <c r="H74"/>
    </row>
    <row r="75" spans="2:8" x14ac:dyDescent="0.35">
      <c r="B75" s="2158"/>
      <c r="C75" s="2158"/>
      <c r="D75"/>
      <c r="E75"/>
      <c r="F75"/>
      <c r="G75"/>
      <c r="H75"/>
    </row>
    <row r="76" spans="2:8" x14ac:dyDescent="0.35">
      <c r="B76" s="2158"/>
      <c r="C76" s="2158" t="s">
        <v>737</v>
      </c>
      <c r="D76" s="2168">
        <v>153930</v>
      </c>
      <c r="E76"/>
      <c r="F76"/>
      <c r="G76"/>
      <c r="H76"/>
    </row>
    <row r="77" spans="2:8" x14ac:dyDescent="0.35">
      <c r="B77" s="2158"/>
      <c r="C77" s="2171" t="s">
        <v>738</v>
      </c>
      <c r="D77" s="2168">
        <v>40260</v>
      </c>
      <c r="E77"/>
      <c r="F77"/>
      <c r="G77"/>
      <c r="H77"/>
    </row>
    <row r="78" spans="2:8" x14ac:dyDescent="0.35">
      <c r="B78" s="2158"/>
      <c r="C78" s="2158" t="s">
        <v>727</v>
      </c>
      <c r="D78" s="2168">
        <v>89990</v>
      </c>
      <c r="E78"/>
      <c r="F78"/>
      <c r="G78"/>
      <c r="H78"/>
    </row>
    <row r="79" spans="2:8" x14ac:dyDescent="0.35">
      <c r="B79" s="2158"/>
      <c r="C79" s="2158" t="s">
        <v>728</v>
      </c>
      <c r="D79" s="2168">
        <v>83970</v>
      </c>
      <c r="E79"/>
      <c r="F79"/>
      <c r="G79"/>
      <c r="H79"/>
    </row>
    <row r="80" spans="2:8" x14ac:dyDescent="0.35">
      <c r="B80" s="2158"/>
      <c r="C80" s="2158" t="s">
        <v>729</v>
      </c>
      <c r="D80" s="2168">
        <v>3490</v>
      </c>
      <c r="E80"/>
      <c r="F80"/>
      <c r="G80"/>
      <c r="H80"/>
    </row>
    <row r="81" spans="1:9" x14ac:dyDescent="0.35">
      <c r="B81" s="2158"/>
      <c r="C81" s="2158" t="s">
        <v>730</v>
      </c>
      <c r="D81" s="2168">
        <v>6000</v>
      </c>
      <c r="E81"/>
      <c r="F81"/>
      <c r="G81"/>
      <c r="H81"/>
    </row>
    <row r="82" spans="1:9" x14ac:dyDescent="0.35">
      <c r="B82" s="2158"/>
      <c r="C82" s="2158" t="s">
        <v>731</v>
      </c>
      <c r="D82" s="2168">
        <v>15990</v>
      </c>
      <c r="E82"/>
      <c r="F82"/>
      <c r="G82"/>
      <c r="H82"/>
    </row>
    <row r="83" spans="1:9" x14ac:dyDescent="0.35">
      <c r="B83" s="2158"/>
      <c r="C83" s="2158" t="s">
        <v>732</v>
      </c>
      <c r="D83" s="2168">
        <v>3780</v>
      </c>
      <c r="E83"/>
      <c r="F83"/>
      <c r="G83"/>
      <c r="H83"/>
    </row>
    <row r="84" spans="1:9" x14ac:dyDescent="0.35">
      <c r="B84" s="2158"/>
      <c r="C84" s="2158" t="s">
        <v>733</v>
      </c>
      <c r="D84" s="2168">
        <v>3000</v>
      </c>
      <c r="E84"/>
      <c r="F84"/>
      <c r="G84"/>
      <c r="H84"/>
    </row>
    <row r="85" spans="1:9" x14ac:dyDescent="0.35">
      <c r="B85" s="2158"/>
      <c r="C85" s="2158" t="s">
        <v>734</v>
      </c>
      <c r="D85" s="2168">
        <v>15000</v>
      </c>
      <c r="E85"/>
      <c r="F85"/>
      <c r="G85"/>
      <c r="H85"/>
    </row>
    <row r="86" spans="1:9" ht="15" x14ac:dyDescent="0.4">
      <c r="B86" s="2158"/>
      <c r="C86" s="2158" t="s">
        <v>735</v>
      </c>
      <c r="D86" s="2187">
        <v>13990</v>
      </c>
      <c r="E86"/>
      <c r="F86"/>
      <c r="G86"/>
      <c r="H86"/>
    </row>
    <row r="87" spans="1:9" ht="15" x14ac:dyDescent="0.4">
      <c r="B87" s="2158"/>
      <c r="C87" s="2158"/>
      <c r="D87" s="2168">
        <f>SUM(D76:D86)</f>
        <v>429400</v>
      </c>
      <c r="E87" s="2188"/>
      <c r="F87" s="2198">
        <f>D87*1.05</f>
        <v>450870</v>
      </c>
      <c r="G87"/>
      <c r="H87" s="2197"/>
    </row>
    <row r="88" spans="1:9" x14ac:dyDescent="0.35">
      <c r="B88" s="2158"/>
      <c r="C88" s="2158"/>
      <c r="D88" s="2168"/>
      <c r="E88" s="2199" t="s">
        <v>538</v>
      </c>
      <c r="F88" s="2175">
        <f>SUM(F39:F87)</f>
        <v>925171.8</v>
      </c>
      <c r="G88"/>
      <c r="H88" s="2200">
        <f>F88*1.045</f>
        <v>966804.53099999996</v>
      </c>
    </row>
    <row r="89" spans="1:9" x14ac:dyDescent="0.35">
      <c r="B89" s="2158"/>
      <c r="C89" s="2158"/>
      <c r="D89" s="2168"/>
      <c r="E89" s="2188"/>
      <c r="F89" s="156"/>
      <c r="G89"/>
      <c r="H89" s="2197"/>
    </row>
    <row r="90" spans="1:9" x14ac:dyDescent="0.35">
      <c r="B90" s="2158"/>
      <c r="C90" s="2158"/>
      <c r="D90" s="2168"/>
      <c r="E90" s="2188"/>
      <c r="F90" s="156"/>
      <c r="G90"/>
      <c r="H90" s="2197"/>
    </row>
    <row r="91" spans="1:9" ht="15.5" x14ac:dyDescent="0.35">
      <c r="A91">
        <v>76</v>
      </c>
      <c r="B91" s="2201" t="s">
        <v>1239</v>
      </c>
      <c r="C91" s="2158"/>
      <c r="D91" s="2168"/>
      <c r="E91" s="2188"/>
      <c r="F91" s="156"/>
      <c r="G91"/>
      <c r="H91" s="2197"/>
    </row>
    <row r="92" spans="1:9" ht="75" x14ac:dyDescent="0.35">
      <c r="B92" s="2158"/>
      <c r="C92" s="2202" t="s">
        <v>736</v>
      </c>
      <c r="D92" s="2168">
        <v>324000</v>
      </c>
      <c r="E92" s="2188"/>
      <c r="F92" s="2606">
        <f>D92</f>
        <v>324000</v>
      </c>
      <c r="G92" s="12"/>
      <c r="H92" s="2605">
        <f>F92*1.045</f>
        <v>338580</v>
      </c>
      <c r="I92" s="12"/>
    </row>
    <row r="93" spans="1:9" x14ac:dyDescent="0.35">
      <c r="B93" s="2158"/>
      <c r="C93" s="2202"/>
      <c r="D93" s="2168"/>
      <c r="E93" s="2188"/>
      <c r="F93" s="2203"/>
      <c r="G93"/>
      <c r="H93" s="2197"/>
    </row>
    <row r="94" spans="1:9" x14ac:dyDescent="0.35">
      <c r="B94" s="2204"/>
      <c r="C94" s="2171"/>
      <c r="D94" s="2168"/>
      <c r="E94" s="290"/>
      <c r="F94" s="290"/>
      <c r="G94" s="290"/>
      <c r="H94" s="290"/>
    </row>
    <row r="95" spans="1:9" x14ac:dyDescent="0.35">
      <c r="B95" s="2204"/>
      <c r="C95" s="2171"/>
      <c r="D95" s="2168"/>
      <c r="E95" s="290"/>
      <c r="F95" s="290"/>
      <c r="G95" s="290"/>
      <c r="H95" s="290"/>
    </row>
    <row r="96" spans="1:9" ht="15.5" x14ac:dyDescent="0.35">
      <c r="A96">
        <v>74</v>
      </c>
      <c r="B96" s="2166" t="s">
        <v>120</v>
      </c>
      <c r="C96" s="2171" t="s">
        <v>739</v>
      </c>
      <c r="D96" s="2168">
        <v>79990</v>
      </c>
      <c r="E96" s="290"/>
      <c r="F96" s="290"/>
      <c r="G96" s="290"/>
      <c r="H96" s="290"/>
    </row>
    <row r="97" spans="1:8" ht="15.5" x14ac:dyDescent="0.35">
      <c r="B97" s="2180"/>
      <c r="C97" s="2171" t="s">
        <v>740</v>
      </c>
      <c r="D97" s="2168">
        <v>18990</v>
      </c>
      <c r="E97" s="290"/>
      <c r="F97" s="290"/>
      <c r="G97" s="290"/>
      <c r="H97" s="290"/>
    </row>
    <row r="98" spans="1:8" ht="15.5" x14ac:dyDescent="0.35">
      <c r="B98" s="2180"/>
      <c r="C98" s="2171" t="s">
        <v>741</v>
      </c>
      <c r="D98" s="2168">
        <v>27990</v>
      </c>
      <c r="E98" s="290"/>
      <c r="F98" s="290"/>
      <c r="G98" s="290"/>
      <c r="H98" s="290"/>
    </row>
    <row r="99" spans="1:8" ht="15.5" x14ac:dyDescent="0.35">
      <c r="B99" s="2180"/>
      <c r="C99" s="2171" t="s">
        <v>742</v>
      </c>
      <c r="D99" s="2168">
        <v>24990</v>
      </c>
      <c r="E99" s="290"/>
      <c r="F99" s="290"/>
      <c r="G99" s="290"/>
      <c r="H99" s="290"/>
    </row>
    <row r="100" spans="1:8" ht="15.5" x14ac:dyDescent="0.35">
      <c r="B100" s="2180"/>
      <c r="C100" s="2171" t="s">
        <v>743</v>
      </c>
      <c r="D100" s="2168">
        <v>24990</v>
      </c>
      <c r="E100" s="290"/>
      <c r="F100" s="290"/>
      <c r="G100" s="290"/>
      <c r="H100" s="290"/>
    </row>
    <row r="101" spans="1:8" ht="15.5" x14ac:dyDescent="0.35">
      <c r="B101" s="2180"/>
      <c r="C101" s="2171" t="s">
        <v>744</v>
      </c>
      <c r="D101" s="2168">
        <v>152910</v>
      </c>
      <c r="E101" s="290"/>
      <c r="F101" s="290"/>
      <c r="G101" s="290"/>
      <c r="H101" s="290"/>
    </row>
    <row r="102" spans="1:8" ht="15.5" x14ac:dyDescent="0.35">
      <c r="B102" s="2180"/>
      <c r="C102" s="2171" t="s">
        <v>745</v>
      </c>
      <c r="D102" s="2168">
        <v>211894</v>
      </c>
      <c r="E102" s="290"/>
      <c r="F102" s="290"/>
      <c r="G102" s="290"/>
      <c r="H102" s="290"/>
    </row>
    <row r="103" spans="1:8" ht="15.5" x14ac:dyDescent="0.35">
      <c r="B103" s="2180"/>
      <c r="C103" s="2171" t="s">
        <v>796</v>
      </c>
      <c r="D103" s="2168">
        <v>109990</v>
      </c>
      <c r="E103" s="2205"/>
      <c r="F103" s="2175"/>
      <c r="G103" s="290"/>
      <c r="H103" s="2206"/>
    </row>
    <row r="104" spans="1:8" ht="15.5" x14ac:dyDescent="0.35">
      <c r="B104" s="2180"/>
      <c r="C104" s="2171" t="s">
        <v>797</v>
      </c>
      <c r="D104" s="2168">
        <v>114900</v>
      </c>
      <c r="E104" s="2205"/>
      <c r="F104" s="2175"/>
      <c r="G104" s="290"/>
      <c r="H104" s="2206"/>
    </row>
    <row r="105" spans="1:8" ht="16" x14ac:dyDescent="0.4">
      <c r="B105" s="2180"/>
      <c r="C105" s="2171" t="s">
        <v>798</v>
      </c>
      <c r="D105" s="2187">
        <v>269990</v>
      </c>
      <c r="E105" s="2205"/>
      <c r="F105" s="2175"/>
      <c r="G105" s="290"/>
      <c r="H105" s="2206"/>
    </row>
    <row r="106" spans="1:8" ht="15.5" x14ac:dyDescent="0.35">
      <c r="B106" s="2180"/>
      <c r="C106" s="2174"/>
      <c r="D106" s="2168">
        <f>SUM(D96:D105)</f>
        <v>1036634</v>
      </c>
      <c r="E106" s="2205"/>
      <c r="F106" s="2175">
        <f>D106*1.05</f>
        <v>1088465.7</v>
      </c>
      <c r="G106" s="290"/>
      <c r="H106" s="2206">
        <f>F106*1.045</f>
        <v>1137446.6564999998</v>
      </c>
    </row>
    <row r="107" spans="1:8" ht="15.5" x14ac:dyDescent="0.35">
      <c r="B107" s="2180"/>
      <c r="C107" s="2171"/>
      <c r="D107" s="2168"/>
      <c r="E107" s="2205"/>
      <c r="F107" s="2175"/>
      <c r="G107" s="290"/>
      <c r="H107" s="2206"/>
    </row>
    <row r="108" spans="1:8" ht="15.5" x14ac:dyDescent="0.35">
      <c r="B108" s="2180"/>
      <c r="C108" s="2171"/>
      <c r="D108" s="2168"/>
      <c r="E108" s="2205"/>
    </row>
    <row r="109" spans="1:8" ht="15.5" x14ac:dyDescent="0.35">
      <c r="B109" s="2180"/>
      <c r="C109" s="2171"/>
      <c r="D109" s="2168"/>
      <c r="E109" s="2205"/>
      <c r="F109" s="2175"/>
      <c r="G109" s="290"/>
      <c r="H109" s="2206"/>
    </row>
    <row r="110" spans="1:8" ht="15.5" x14ac:dyDescent="0.35">
      <c r="B110" s="2180"/>
      <c r="C110" s="2171"/>
      <c r="D110" s="2168"/>
      <c r="E110" s="290"/>
      <c r="F110" s="290"/>
      <c r="G110" s="290"/>
      <c r="H110" s="290"/>
    </row>
    <row r="111" spans="1:8" ht="26" x14ac:dyDescent="0.35">
      <c r="A111">
        <v>54</v>
      </c>
      <c r="B111" s="2166" t="s">
        <v>135</v>
      </c>
      <c r="C111" s="2179" t="s">
        <v>746</v>
      </c>
      <c r="D111" s="2168">
        <v>452948</v>
      </c>
      <c r="E111" s="290"/>
      <c r="F111" s="290"/>
      <c r="G111" s="290"/>
      <c r="H111" s="290"/>
    </row>
    <row r="112" spans="1:8" ht="15.5" x14ac:dyDescent="0.35">
      <c r="B112" s="2180"/>
      <c r="C112" s="2179" t="s">
        <v>747</v>
      </c>
      <c r="D112" s="2168">
        <v>56000</v>
      </c>
      <c r="E112" s="290"/>
      <c r="F112" s="290"/>
      <c r="G112" s="290"/>
      <c r="H112" s="290"/>
    </row>
    <row r="113" spans="1:8" ht="16" x14ac:dyDescent="0.4">
      <c r="B113" s="2180"/>
      <c r="C113" s="2179" t="s">
        <v>748</v>
      </c>
      <c r="D113" s="2187">
        <v>15000</v>
      </c>
      <c r="E113" s="290"/>
      <c r="F113" s="290"/>
      <c r="G113" s="290"/>
      <c r="H113" s="290"/>
    </row>
    <row r="114" spans="1:8" ht="15.5" x14ac:dyDescent="0.35">
      <c r="B114" s="2180"/>
      <c r="C114" s="2171"/>
      <c r="D114" s="2168">
        <f>SUM(D111:D113)</f>
        <v>523948</v>
      </c>
      <c r="E114" s="2205"/>
      <c r="F114" s="2175">
        <f>D114*1.05</f>
        <v>550145.4</v>
      </c>
      <c r="G114" s="290"/>
      <c r="H114" s="2206">
        <f>F114*1.045</f>
        <v>574901.94299999997</v>
      </c>
    </row>
    <row r="115" spans="1:8" ht="15.5" x14ac:dyDescent="0.35">
      <c r="B115" s="2180"/>
      <c r="C115" s="2171"/>
      <c r="D115" s="2168"/>
      <c r="E115" s="290"/>
      <c r="F115" s="2207"/>
      <c r="G115" s="2208"/>
      <c r="H115" s="2208"/>
    </row>
    <row r="116" spans="1:8" ht="15.5" x14ac:dyDescent="0.35">
      <c r="B116" s="2180"/>
      <c r="C116" s="2171"/>
      <c r="D116" s="2168"/>
      <c r="E116" s="290"/>
      <c r="F116" s="2207"/>
      <c r="G116" s="2208"/>
      <c r="H116" s="2208"/>
    </row>
    <row r="117" spans="1:8" ht="15.5" x14ac:dyDescent="0.35">
      <c r="A117">
        <v>55</v>
      </c>
      <c r="B117" s="2166" t="s">
        <v>136</v>
      </c>
      <c r="C117" s="2171" t="s">
        <v>749</v>
      </c>
      <c r="D117" s="2168">
        <v>25990</v>
      </c>
      <c r="E117" s="290"/>
      <c r="F117" s="2207"/>
      <c r="G117" s="2208"/>
      <c r="H117" s="2208"/>
    </row>
    <row r="118" spans="1:8" ht="15.5" x14ac:dyDescent="0.35">
      <c r="B118" s="2180"/>
      <c r="C118" s="2171" t="s">
        <v>750</v>
      </c>
      <c r="D118" s="2168">
        <v>25990</v>
      </c>
      <c r="E118" s="290"/>
      <c r="F118" s="2207"/>
      <c r="G118" s="2208"/>
      <c r="H118" s="2208"/>
    </row>
    <row r="119" spans="1:8" ht="16" x14ac:dyDescent="0.4">
      <c r="B119" s="2180"/>
      <c r="C119" s="2171" t="s">
        <v>751</v>
      </c>
      <c r="D119" s="2187">
        <v>179940</v>
      </c>
      <c r="E119" s="290"/>
      <c r="F119" s="2207"/>
      <c r="G119" s="2208"/>
      <c r="H119" s="2208"/>
    </row>
    <row r="120" spans="1:8" ht="15.5" x14ac:dyDescent="0.35">
      <c r="B120" s="2180"/>
      <c r="C120" s="2171"/>
      <c r="D120" s="2168">
        <f>SUM(D117:D119)</f>
        <v>231920</v>
      </c>
      <c r="E120" s="2205"/>
      <c r="F120" s="2175">
        <f>D120*1.05</f>
        <v>243516</v>
      </c>
      <c r="G120" s="2208"/>
      <c r="H120" s="2209">
        <f>F120*1.045</f>
        <v>254474.21999999997</v>
      </c>
    </row>
    <row r="121" spans="1:8" ht="15.5" x14ac:dyDescent="0.35">
      <c r="B121" s="2180"/>
      <c r="C121" s="2171"/>
      <c r="D121" s="2168"/>
      <c r="E121" s="2205"/>
      <c r="F121" s="156"/>
      <c r="G121" s="2208"/>
      <c r="H121" s="2208"/>
    </row>
    <row r="122" spans="1:8" ht="15.5" x14ac:dyDescent="0.35">
      <c r="B122" s="2180"/>
      <c r="C122" s="2171"/>
      <c r="D122" s="2168"/>
      <c r="E122" s="2205"/>
      <c r="F122" s="2210"/>
      <c r="G122" s="2208"/>
      <c r="H122" s="2208"/>
    </row>
    <row r="123" spans="1:8" ht="15.5" x14ac:dyDescent="0.35">
      <c r="B123" s="2180"/>
      <c r="C123" s="2171"/>
      <c r="D123" s="2168"/>
      <c r="E123" s="2205"/>
      <c r="F123" s="2210"/>
      <c r="G123" s="2208"/>
      <c r="H123" s="2208"/>
    </row>
    <row r="124" spans="1:8" ht="51" x14ac:dyDescent="0.35">
      <c r="A124" s="5">
        <v>62</v>
      </c>
      <c r="B124" s="2211" t="s">
        <v>144</v>
      </c>
      <c r="C124" s="2212" t="s">
        <v>752</v>
      </c>
      <c r="D124" s="2213">
        <v>116000</v>
      </c>
      <c r="E124" s="2214"/>
      <c r="F124" s="2215">
        <f>D124*1.05</f>
        <v>121800</v>
      </c>
      <c r="G124" s="290"/>
      <c r="H124" s="2216">
        <f>F124*1.045</f>
        <v>127280.99999999999</v>
      </c>
    </row>
    <row r="125" spans="1:8" ht="15.5" x14ac:dyDescent="0.35">
      <c r="A125" s="5"/>
      <c r="B125" s="2217"/>
      <c r="C125" s="2212"/>
      <c r="D125" s="2213"/>
      <c r="E125" s="2214"/>
      <c r="F125" s="2218"/>
      <c r="G125" s="290"/>
      <c r="H125" s="2219"/>
    </row>
    <row r="126" spans="1:8" ht="15.5" x14ac:dyDescent="0.35">
      <c r="A126" s="5">
        <v>65</v>
      </c>
      <c r="B126" s="2220" t="s">
        <v>753</v>
      </c>
      <c r="C126" s="2221" t="s">
        <v>754</v>
      </c>
      <c r="D126" s="2222">
        <v>3992</v>
      </c>
      <c r="E126" s="2031">
        <v>1</v>
      </c>
      <c r="F126" s="2222">
        <v>3992</v>
      </c>
      <c r="G126" s="290"/>
      <c r="H126" s="2219"/>
    </row>
    <row r="127" spans="1:8" ht="15.5" x14ac:dyDescent="0.35">
      <c r="A127" s="5"/>
      <c r="B127" s="2217"/>
      <c r="C127" s="2223" t="s">
        <v>755</v>
      </c>
      <c r="D127" s="2222">
        <v>1980</v>
      </c>
      <c r="E127" s="2031">
        <v>6</v>
      </c>
      <c r="F127" s="2222">
        <v>11880</v>
      </c>
      <c r="G127" s="290"/>
      <c r="H127" s="2219"/>
    </row>
    <row r="128" spans="1:8" ht="15.5" x14ac:dyDescent="0.35">
      <c r="A128" s="5"/>
      <c r="B128" s="2217"/>
      <c r="C128" s="2224" t="s">
        <v>756</v>
      </c>
      <c r="D128" s="2222">
        <v>3855</v>
      </c>
      <c r="E128" s="2031">
        <v>1</v>
      </c>
      <c r="F128" s="2222">
        <v>3855</v>
      </c>
      <c r="G128" s="290"/>
      <c r="H128" s="2219"/>
    </row>
    <row r="129" spans="1:8" ht="15.5" x14ac:dyDescent="0.35">
      <c r="A129" s="5"/>
      <c r="B129" s="2217"/>
      <c r="C129" s="2224" t="s">
        <v>757</v>
      </c>
      <c r="D129" s="2222">
        <v>4990</v>
      </c>
      <c r="E129" s="2031">
        <v>2</v>
      </c>
      <c r="F129" s="2222">
        <v>9980</v>
      </c>
      <c r="G129" s="290"/>
      <c r="H129" s="2219"/>
    </row>
    <row r="130" spans="1:8" ht="15.5" x14ac:dyDescent="0.35">
      <c r="A130" s="5"/>
      <c r="B130" s="2217"/>
      <c r="C130" s="2224" t="s">
        <v>758</v>
      </c>
      <c r="D130" s="2222">
        <v>5500</v>
      </c>
      <c r="E130" s="2031">
        <v>1</v>
      </c>
      <c r="F130" s="2222">
        <v>5500</v>
      </c>
      <c r="G130" s="290"/>
      <c r="H130" s="2219"/>
    </row>
    <row r="131" spans="1:8" ht="15.5" x14ac:dyDescent="0.35">
      <c r="A131" s="5"/>
      <c r="B131" s="2217"/>
      <c r="C131" s="2224" t="s">
        <v>759</v>
      </c>
      <c r="D131" s="2222">
        <v>4500</v>
      </c>
      <c r="E131" s="2031">
        <v>2</v>
      </c>
      <c r="F131" s="2222">
        <v>3890</v>
      </c>
      <c r="G131" s="290"/>
      <c r="H131" s="2219"/>
    </row>
    <row r="132" spans="1:8" ht="15.5" x14ac:dyDescent="0.35">
      <c r="A132" s="5"/>
      <c r="B132" s="2217"/>
      <c r="C132" s="2224" t="s">
        <v>760</v>
      </c>
      <c r="D132" s="2222">
        <v>3890</v>
      </c>
      <c r="E132" s="2031">
        <v>1</v>
      </c>
      <c r="F132" s="2222">
        <v>3890</v>
      </c>
      <c r="G132" s="290"/>
      <c r="H132" s="2219"/>
    </row>
    <row r="133" spans="1:8" ht="15.5" x14ac:dyDescent="0.35">
      <c r="A133" s="5"/>
      <c r="B133" s="2217"/>
      <c r="C133" s="2224" t="s">
        <v>761</v>
      </c>
      <c r="D133" s="2222">
        <v>3990</v>
      </c>
      <c r="E133" s="2031">
        <v>1</v>
      </c>
      <c r="F133" s="2222">
        <v>3990</v>
      </c>
      <c r="G133" s="290"/>
      <c r="H133" s="2219"/>
    </row>
    <row r="134" spans="1:8" ht="15.5" x14ac:dyDescent="0.35">
      <c r="A134" s="5"/>
      <c r="B134" s="2217"/>
      <c r="C134" s="2224" t="s">
        <v>762</v>
      </c>
      <c r="D134" s="2222">
        <v>6990</v>
      </c>
      <c r="E134" s="2031">
        <v>2</v>
      </c>
      <c r="F134" s="2222">
        <v>13980</v>
      </c>
      <c r="G134" s="290"/>
      <c r="H134" s="2219"/>
    </row>
    <row r="135" spans="1:8" ht="15.5" x14ac:dyDescent="0.35">
      <c r="A135" s="5"/>
      <c r="B135" s="2217"/>
      <c r="C135" s="2224" t="s">
        <v>763</v>
      </c>
      <c r="D135" s="2222">
        <v>850</v>
      </c>
      <c r="E135" s="2031">
        <v>10</v>
      </c>
      <c r="F135" s="2222">
        <v>8500</v>
      </c>
      <c r="G135" s="290"/>
      <c r="H135" s="2219"/>
    </row>
    <row r="136" spans="1:8" ht="15.5" x14ac:dyDescent="0.35">
      <c r="A136" s="5"/>
      <c r="B136" s="2217"/>
      <c r="C136" s="2224" t="s">
        <v>764</v>
      </c>
      <c r="D136" s="2222">
        <v>4500</v>
      </c>
      <c r="E136" s="2031">
        <v>1</v>
      </c>
      <c r="F136" s="2222">
        <v>4500</v>
      </c>
      <c r="G136" s="290"/>
      <c r="H136" s="2219"/>
    </row>
    <row r="137" spans="1:8" ht="15.5" x14ac:dyDescent="0.35">
      <c r="A137" s="5"/>
      <c r="B137" s="2217"/>
      <c r="C137" s="2224" t="s">
        <v>765</v>
      </c>
      <c r="D137" s="2222">
        <v>8990</v>
      </c>
      <c r="E137" s="2031">
        <v>1</v>
      </c>
      <c r="F137" s="2222">
        <v>8990</v>
      </c>
      <c r="G137" s="290"/>
      <c r="H137" s="2219"/>
    </row>
    <row r="138" spans="1:8" ht="15.5" x14ac:dyDescent="0.35">
      <c r="A138" s="5"/>
      <c r="B138" s="2217"/>
      <c r="C138" s="2158"/>
      <c r="D138"/>
      <c r="E138" s="2225" t="s">
        <v>538</v>
      </c>
      <c r="F138" s="2226">
        <v>82947</v>
      </c>
      <c r="G138" s="290"/>
      <c r="H138" s="2216">
        <f>F138*1.045</f>
        <v>86679.614999999991</v>
      </c>
    </row>
    <row r="139" spans="1:8" ht="15.5" x14ac:dyDescent="0.35">
      <c r="A139" s="5"/>
      <c r="B139" s="2217"/>
      <c r="C139" s="2212"/>
      <c r="D139" s="2213"/>
      <c r="E139" s="2214"/>
      <c r="F139" s="2218"/>
      <c r="G139" s="290"/>
      <c r="H139" s="2219"/>
    </row>
    <row r="140" spans="1:8" ht="15.5" x14ac:dyDescent="0.35">
      <c r="A140" s="5"/>
      <c r="B140" s="2217"/>
      <c r="C140" s="2212"/>
      <c r="D140" s="2213"/>
      <c r="E140" s="2214"/>
      <c r="F140" s="2218"/>
      <c r="G140" s="290"/>
      <c r="H140" s="2219"/>
    </row>
    <row r="141" spans="1:8" ht="15.5" x14ac:dyDescent="0.35">
      <c r="B141" s="2180"/>
      <c r="C141" s="2171"/>
      <c r="D141" s="2168"/>
      <c r="E141" s="2205"/>
      <c r="F141" s="2210"/>
      <c r="G141" s="2208"/>
      <c r="H141" s="2208"/>
    </row>
    <row r="142" spans="1:8" ht="15.5" x14ac:dyDescent="0.35">
      <c r="A142" s="5"/>
      <c r="B142" s="2180"/>
      <c r="C142" s="2171"/>
      <c r="D142" s="2168"/>
      <c r="E142" s="2205"/>
      <c r="F142" s="2210"/>
      <c r="G142" s="2208"/>
      <c r="H142" s="2208"/>
    </row>
    <row r="143" spans="1:8" ht="15.5" x14ac:dyDescent="0.35">
      <c r="A143">
        <v>67</v>
      </c>
      <c r="B143" s="2227" t="s">
        <v>146</v>
      </c>
      <c r="C143" s="2171" t="s">
        <v>766</v>
      </c>
      <c r="D143" s="2168">
        <v>49990</v>
      </c>
      <c r="E143" s="2205"/>
      <c r="F143" s="2168"/>
      <c r="G143" s="290"/>
      <c r="H143" s="2228"/>
    </row>
    <row r="144" spans="1:8" ht="16" x14ac:dyDescent="0.4">
      <c r="B144" s="2170"/>
      <c r="C144" s="2171" t="s">
        <v>767</v>
      </c>
      <c r="D144" s="2187">
        <v>30000</v>
      </c>
      <c r="E144" s="290"/>
      <c r="F144" s="290"/>
      <c r="G144" s="290"/>
      <c r="H144" s="2229"/>
    </row>
    <row r="145" spans="1:8" ht="15.5" x14ac:dyDescent="0.35">
      <c r="B145" s="2170"/>
      <c r="C145" s="2171"/>
      <c r="D145" s="2168">
        <v>79990</v>
      </c>
      <c r="E145" s="290"/>
      <c r="F145" s="2230">
        <f>D145</f>
        <v>79990</v>
      </c>
      <c r="G145" s="290"/>
      <c r="H145" s="2206">
        <f>F145*1.045</f>
        <v>83589.549999999988</v>
      </c>
    </row>
    <row r="146" spans="1:8" ht="16" x14ac:dyDescent="0.4">
      <c r="B146" s="2170"/>
      <c r="C146" s="2171"/>
      <c r="D146" s="2187"/>
      <c r="E146" s="290"/>
      <c r="F146" s="290"/>
      <c r="G146" s="290"/>
      <c r="H146" s="2229"/>
    </row>
    <row r="147" spans="1:8" ht="15.5" x14ac:dyDescent="0.35">
      <c r="B147" s="2180"/>
      <c r="C147" s="2171"/>
      <c r="D147" s="2168"/>
      <c r="E147" s="2231"/>
      <c r="F147" s="2232"/>
      <c r="G147" s="2208"/>
      <c r="H147" s="2208"/>
    </row>
    <row r="148" spans="1:8" ht="16" x14ac:dyDescent="0.4">
      <c r="A148">
        <v>68</v>
      </c>
      <c r="B148" s="2166" t="s">
        <v>147</v>
      </c>
      <c r="C148" s="2171" t="s">
        <v>768</v>
      </c>
      <c r="D148" s="2187">
        <v>423556</v>
      </c>
      <c r="E148" s="290" t="s">
        <v>769</v>
      </c>
      <c r="F148" s="2208"/>
      <c r="G148" s="2165"/>
      <c r="H148" s="2228"/>
    </row>
    <row r="149" spans="1:8" ht="15.5" x14ac:dyDescent="0.35">
      <c r="B149" s="2180"/>
      <c r="C149" s="2171"/>
      <c r="D149" s="2168">
        <v>1270668</v>
      </c>
      <c r="E149" s="2231"/>
      <c r="F149" s="2233">
        <f>D149</f>
        <v>1270668</v>
      </c>
      <c r="G149" s="2208"/>
      <c r="H149" s="2206">
        <f>F149*1.045</f>
        <v>1327848.0599999998</v>
      </c>
    </row>
    <row r="150" spans="1:8" ht="15.5" x14ac:dyDescent="0.35">
      <c r="B150" s="2180"/>
      <c r="C150" s="2171"/>
      <c r="D150" s="2168"/>
      <c r="E150" s="2231"/>
      <c r="G150" s="2208"/>
      <c r="H150"/>
    </row>
    <row r="151" spans="1:8" ht="15.5" x14ac:dyDescent="0.35">
      <c r="B151" s="2180"/>
      <c r="C151" s="2171"/>
      <c r="D151" s="2168"/>
      <c r="E151" s="2231"/>
      <c r="F151" s="2232"/>
      <c r="G151" s="2208"/>
      <c r="H151"/>
    </row>
    <row r="152" spans="1:8" ht="15.5" x14ac:dyDescent="0.35">
      <c r="B152" s="2180"/>
      <c r="C152" s="2171"/>
      <c r="D152" s="2168"/>
      <c r="E152" s="2231"/>
      <c r="F152" s="2232"/>
      <c r="G152" s="2208"/>
      <c r="H152"/>
    </row>
    <row r="153" spans="1:8" ht="50" x14ac:dyDescent="0.35">
      <c r="A153" s="5">
        <v>69</v>
      </c>
      <c r="B153" s="2220" t="s">
        <v>148</v>
      </c>
      <c r="C153" s="2234" t="s">
        <v>770</v>
      </c>
      <c r="D153" s="2213">
        <v>212000</v>
      </c>
      <c r="E153" s="2235"/>
      <c r="F153" s="2236">
        <f>D153</f>
        <v>212000</v>
      </c>
      <c r="G153" s="2237"/>
      <c r="H153" s="2216">
        <f t="shared" ref="H153" si="0">F153*1.045</f>
        <v>221539.99999999997</v>
      </c>
    </row>
    <row r="154" spans="1:8" ht="15.5" x14ac:dyDescent="0.35">
      <c r="B154" s="2180"/>
      <c r="C154" s="2171"/>
      <c r="D154" s="2168"/>
      <c r="E154" s="2231"/>
      <c r="F154" s="2232"/>
      <c r="G154" s="2208"/>
      <c r="H154" s="2208"/>
    </row>
    <row r="155" spans="1:8" ht="15.5" x14ac:dyDescent="0.35">
      <c r="B155" s="2180"/>
      <c r="C155" s="2171"/>
      <c r="D155" s="2168"/>
      <c r="E155" s="2231"/>
      <c r="F155" s="2232"/>
      <c r="G155" s="2208"/>
      <c r="H155" s="2208"/>
    </row>
    <row r="156" spans="1:8" ht="15.5" x14ac:dyDescent="0.35">
      <c r="A156">
        <v>70</v>
      </c>
      <c r="B156" s="2166" t="s">
        <v>771</v>
      </c>
      <c r="C156" s="2238" t="s">
        <v>772</v>
      </c>
      <c r="D156" s="2168">
        <v>45000</v>
      </c>
      <c r="E156" s="290"/>
      <c r="F156" s="2232"/>
      <c r="G156" s="290"/>
      <c r="H156" s="290"/>
    </row>
    <row r="157" spans="1:8" ht="15.5" x14ac:dyDescent="0.35">
      <c r="B157" s="2180"/>
      <c r="C157" s="2171" t="s">
        <v>773</v>
      </c>
      <c r="D157" s="2168">
        <v>43590</v>
      </c>
      <c r="E157" s="290"/>
      <c r="F157" s="2232"/>
      <c r="G157" s="290"/>
      <c r="H157" s="290"/>
    </row>
    <row r="158" spans="1:8" ht="15.5" x14ac:dyDescent="0.35">
      <c r="B158" s="2180"/>
      <c r="C158" s="2155" t="s">
        <v>622</v>
      </c>
      <c r="D158" s="2239">
        <v>85000</v>
      </c>
      <c r="E158" s="290"/>
      <c r="F158" s="2232"/>
      <c r="G158" s="290"/>
      <c r="H158" s="290"/>
    </row>
    <row r="159" spans="1:8" ht="15.5" x14ac:dyDescent="0.35">
      <c r="B159" s="2180"/>
      <c r="C159" s="2171" t="s">
        <v>774</v>
      </c>
      <c r="D159" s="2168">
        <v>29399</v>
      </c>
      <c r="E159" s="290"/>
      <c r="F159" s="2232"/>
      <c r="G159" s="290"/>
      <c r="H159" s="290"/>
    </row>
    <row r="160" spans="1:8" ht="16" x14ac:dyDescent="0.4">
      <c r="B160" s="2180"/>
      <c r="C160" s="2171" t="s">
        <v>775</v>
      </c>
      <c r="D160" s="2187">
        <v>8390</v>
      </c>
      <c r="E160" s="290"/>
      <c r="F160" s="2232"/>
      <c r="G160" s="290"/>
      <c r="H160" s="290"/>
    </row>
    <row r="161" spans="1:8" ht="15.5" x14ac:dyDescent="0.35">
      <c r="B161" s="2180"/>
      <c r="C161" s="2171"/>
      <c r="D161" s="2178">
        <f>SUM(D156:D160)</f>
        <v>211379</v>
      </c>
      <c r="E161" s="2205"/>
      <c r="F161" s="2175">
        <f>D161*1.05</f>
        <v>221947.95</v>
      </c>
      <c r="G161" s="290"/>
      <c r="H161" s="2175">
        <f>F161*1.045</f>
        <v>231935.60775</v>
      </c>
    </row>
    <row r="162" spans="1:8" ht="15.5" x14ac:dyDescent="0.35">
      <c r="B162" s="2180"/>
      <c r="C162" s="2171"/>
      <c r="D162" s="2178"/>
      <c r="E162" s="2205"/>
      <c r="F162" s="156"/>
      <c r="G162" s="290"/>
      <c r="H162" s="2240"/>
    </row>
    <row r="163" spans="1:8" ht="15.5" x14ac:dyDescent="0.35">
      <c r="B163" s="2180"/>
      <c r="E163" s="290"/>
      <c r="F163" s="2232"/>
      <c r="G163" s="290"/>
      <c r="H163" s="290"/>
    </row>
    <row r="164" spans="1:8" ht="15.5" x14ac:dyDescent="0.35">
      <c r="B164" s="2180"/>
      <c r="C164" s="2171"/>
      <c r="D164" s="2168"/>
      <c r="E164" s="2205"/>
      <c r="F164" s="2210"/>
      <c r="G164" s="2208"/>
      <c r="H164" s="2208"/>
    </row>
    <row r="165" spans="1:8" ht="15.5" x14ac:dyDescent="0.35">
      <c r="A165">
        <v>94</v>
      </c>
      <c r="B165" s="2166" t="s">
        <v>164</v>
      </c>
      <c r="C165" s="2155" t="s">
        <v>777</v>
      </c>
      <c r="D165" s="2168">
        <v>318000</v>
      </c>
      <c r="F165" s="2175">
        <f>D165</f>
        <v>318000</v>
      </c>
      <c r="H165" s="2206">
        <f>(F165*1.045)*2</f>
        <v>664620</v>
      </c>
    </row>
    <row r="166" spans="1:8" ht="38.5" x14ac:dyDescent="0.35">
      <c r="B166" s="2241"/>
      <c r="C166" s="2242" t="s">
        <v>778</v>
      </c>
      <c r="D166" s="2168"/>
    </row>
    <row r="167" spans="1:8" ht="15.5" x14ac:dyDescent="0.35">
      <c r="B167" s="2180"/>
      <c r="C167" s="2171"/>
      <c r="D167" s="2168"/>
      <c r="E167" s="2205"/>
      <c r="F167" s="2210"/>
      <c r="G167" s="2208"/>
      <c r="H167" s="2208"/>
    </row>
    <row r="168" spans="1:8" ht="15.5" x14ac:dyDescent="0.35">
      <c r="B168" s="2180"/>
      <c r="C168" s="2171"/>
      <c r="D168" s="2168"/>
      <c r="E168" s="2205"/>
      <c r="F168" s="2210"/>
      <c r="G168" s="2208"/>
      <c r="H168" s="2208"/>
    </row>
    <row r="169" spans="1:8" ht="15.5" x14ac:dyDescent="0.35">
      <c r="A169">
        <v>95</v>
      </c>
      <c r="B169" s="2166" t="s">
        <v>165</v>
      </c>
      <c r="C169" s="2155" t="s">
        <v>779</v>
      </c>
      <c r="D169" s="2239">
        <v>190000</v>
      </c>
      <c r="F169" s="2243">
        <f>D169</f>
        <v>190000</v>
      </c>
      <c r="H169" s="2244">
        <f>F169*1.045</f>
        <v>198550</v>
      </c>
    </row>
    <row r="170" spans="1:8" ht="15.5" x14ac:dyDescent="0.35">
      <c r="B170" s="2180"/>
      <c r="C170" s="2171"/>
      <c r="D170" s="2168"/>
      <c r="E170" s="2205"/>
      <c r="F170" s="2210"/>
      <c r="G170" s="2208"/>
      <c r="H170" s="2208"/>
    </row>
    <row r="171" spans="1:8" ht="15.5" x14ac:dyDescent="0.35">
      <c r="B171" s="2180"/>
      <c r="C171" s="2171"/>
      <c r="D171" s="290"/>
      <c r="E171" s="2205"/>
      <c r="F171" s="2210"/>
      <c r="G171" s="2208"/>
      <c r="H171" s="2208"/>
    </row>
    <row r="172" spans="1:8" ht="15.5" x14ac:dyDescent="0.35">
      <c r="A172">
        <v>97</v>
      </c>
      <c r="B172" s="2166" t="s">
        <v>166</v>
      </c>
      <c r="C172" s="2212" t="s">
        <v>780</v>
      </c>
      <c r="D172" s="2168">
        <v>50932</v>
      </c>
      <c r="E172" s="267"/>
      <c r="F172" s="2203"/>
      <c r="G172" s="290"/>
      <c r="H172" s="290"/>
    </row>
    <row r="173" spans="1:8" ht="15.5" x14ac:dyDescent="0.35">
      <c r="B173" s="2170"/>
      <c r="C173" s="2212" t="s">
        <v>781</v>
      </c>
      <c r="D173" s="2168">
        <f>110000*12</f>
        <v>1320000</v>
      </c>
      <c r="E173" s="267"/>
      <c r="F173" s="2203"/>
      <c r="G173" s="290"/>
      <c r="H173" s="290"/>
    </row>
    <row r="174" spans="1:8" ht="15.5" x14ac:dyDescent="0.35">
      <c r="B174" s="2170"/>
      <c r="C174" s="2212" t="s">
        <v>782</v>
      </c>
      <c r="D174" s="2168">
        <v>120000</v>
      </c>
      <c r="E174" s="267"/>
      <c r="F174" s="2203"/>
      <c r="G174" s="290"/>
      <c r="H174" s="290"/>
    </row>
    <row r="175" spans="1:8" ht="15.5" x14ac:dyDescent="0.35">
      <c r="B175" s="2170"/>
      <c r="C175" s="2171" t="s">
        <v>783</v>
      </c>
      <c r="D175" s="2168">
        <v>476000</v>
      </c>
      <c r="E175" s="267"/>
      <c r="F175" s="2203"/>
      <c r="G175" s="290"/>
      <c r="H175" s="290"/>
    </row>
    <row r="176" spans="1:8" ht="15.5" x14ac:dyDescent="0.35">
      <c r="B176" s="2170"/>
      <c r="C176" s="2212" t="s">
        <v>784</v>
      </c>
      <c r="D176" s="2168">
        <v>68523</v>
      </c>
      <c r="E176" s="267"/>
      <c r="F176" s="2203"/>
      <c r="G176" s="290"/>
      <c r="H176" s="290"/>
    </row>
    <row r="177" spans="1:8" ht="15.5" x14ac:dyDescent="0.35">
      <c r="B177" s="2170"/>
      <c r="C177" s="2212" t="s">
        <v>785</v>
      </c>
      <c r="D177" s="2168">
        <v>58082</v>
      </c>
      <c r="E177" s="267"/>
      <c r="F177" s="2203"/>
      <c r="G177" s="290"/>
      <c r="H177" s="290"/>
    </row>
    <row r="178" spans="1:8" ht="26" x14ac:dyDescent="0.35">
      <c r="B178" s="2170"/>
      <c r="C178" s="2179" t="s">
        <v>786</v>
      </c>
      <c r="D178" s="2168">
        <v>90000</v>
      </c>
      <c r="E178" s="290"/>
      <c r="F178" s="290"/>
      <c r="G178" s="290"/>
      <c r="H178" s="290"/>
    </row>
    <row r="179" spans="1:8" ht="15.5" x14ac:dyDescent="0.35">
      <c r="B179" s="2170"/>
      <c r="D179" s="2190"/>
      <c r="F179" s="290"/>
      <c r="G179" s="290"/>
      <c r="H179" s="290"/>
    </row>
    <row r="180" spans="1:8" ht="15.5" x14ac:dyDescent="0.35">
      <c r="B180" s="2170"/>
      <c r="C180" s="2179"/>
      <c r="D180" s="2178">
        <f>SUM(D172:D179)</f>
        <v>2183537</v>
      </c>
      <c r="E180" s="2205"/>
      <c r="F180" s="2245">
        <f>D180*1.05</f>
        <v>2292713.85</v>
      </c>
      <c r="G180" s="290"/>
      <c r="H180" s="2206">
        <f>F180*1.045</f>
        <v>2395885.9732499998</v>
      </c>
    </row>
    <row r="181" spans="1:8" ht="15.5" x14ac:dyDescent="0.35">
      <c r="B181" s="2170"/>
      <c r="C181" s="2171"/>
      <c r="G181" s="290"/>
      <c r="H181" s="290"/>
    </row>
    <row r="182" spans="1:8" ht="15.5" x14ac:dyDescent="0.35">
      <c r="B182" s="2180"/>
      <c r="C182" s="2171"/>
      <c r="D182" s="290"/>
      <c r="E182" s="2205"/>
      <c r="F182" s="2210"/>
      <c r="G182" s="2208"/>
      <c r="H182" s="2208"/>
    </row>
    <row r="183" spans="1:8" ht="15.5" x14ac:dyDescent="0.35">
      <c r="B183" s="2180"/>
      <c r="C183" s="2171"/>
      <c r="D183" s="290"/>
      <c r="E183" s="2205"/>
      <c r="F183" s="2210"/>
      <c r="G183" s="2208"/>
      <c r="H183" s="2208"/>
    </row>
    <row r="184" spans="1:8" ht="15.5" x14ac:dyDescent="0.35">
      <c r="A184">
        <v>98</v>
      </c>
      <c r="B184" s="2227" t="s">
        <v>167</v>
      </c>
      <c r="C184" s="2238" t="s">
        <v>787</v>
      </c>
      <c r="D184" s="2168">
        <v>110000</v>
      </c>
      <c r="E184" s="2205"/>
      <c r="F184" s="2175">
        <f>D184*1.05</f>
        <v>115500</v>
      </c>
      <c r="G184" s="2208"/>
      <c r="H184" s="2209">
        <f>F184*1.045</f>
        <v>120697.49999999999</v>
      </c>
    </row>
    <row r="185" spans="1:8" ht="15.5" x14ac:dyDescent="0.35">
      <c r="B185" s="2180"/>
      <c r="C185" s="2171"/>
      <c r="D185" s="2178"/>
      <c r="E185" s="2205"/>
      <c r="F185" s="2203"/>
      <c r="G185" s="2208"/>
      <c r="H185" s="2246"/>
    </row>
    <row r="186" spans="1:8" ht="15.5" x14ac:dyDescent="0.35">
      <c r="B186" s="2180"/>
      <c r="C186" s="2171"/>
      <c r="D186" s="2178"/>
      <c r="E186" s="2205"/>
      <c r="F186" s="2203"/>
      <c r="G186" s="2208"/>
      <c r="H186" s="2246"/>
    </row>
    <row r="187" spans="1:8" ht="15.5" x14ac:dyDescent="0.35">
      <c r="B187" s="2180"/>
      <c r="C187" s="2242"/>
      <c r="D187" s="290"/>
      <c r="E187" s="2205"/>
      <c r="G187" s="2208"/>
      <c r="H187" s="2208"/>
    </row>
    <row r="188" spans="1:8" ht="15.5" x14ac:dyDescent="0.35">
      <c r="B188" s="2170"/>
      <c r="C188" s="2171"/>
      <c r="D188" s="290"/>
      <c r="E188" s="290"/>
      <c r="F188" s="290"/>
      <c r="G188" s="290"/>
      <c r="H188" s="290"/>
    </row>
    <row r="189" spans="1:8" ht="15.5" x14ac:dyDescent="0.35">
      <c r="A189">
        <v>99</v>
      </c>
      <c r="B189" s="2247" t="s">
        <v>788</v>
      </c>
      <c r="C189" s="2171"/>
      <c r="D189" s="290"/>
      <c r="E189" s="290"/>
      <c r="F189" s="290"/>
      <c r="G189" s="290"/>
      <c r="H189" s="290"/>
    </row>
    <row r="190" spans="1:8" ht="15.5" x14ac:dyDescent="0.35">
      <c r="B190" s="2248"/>
      <c r="C190" s="2171" t="s">
        <v>789</v>
      </c>
      <c r="D190" s="2168">
        <v>1740000</v>
      </c>
      <c r="E190" s="241"/>
      <c r="F190" s="2249"/>
      <c r="G190" s="2249"/>
      <c r="H190" s="2249"/>
    </row>
    <row r="191" spans="1:8" ht="15.5" x14ac:dyDescent="0.35">
      <c r="B191" s="2248"/>
      <c r="C191" s="2171" t="s">
        <v>790</v>
      </c>
      <c r="D191" s="2168">
        <v>1272619</v>
      </c>
      <c r="E191" s="241"/>
      <c r="F191" s="290"/>
      <c r="G191" s="2249"/>
      <c r="H191" s="2249"/>
    </row>
    <row r="192" spans="1:8" ht="51" x14ac:dyDescent="0.35">
      <c r="B192" s="2248"/>
      <c r="C192" s="2179" t="s">
        <v>776</v>
      </c>
      <c r="D192" s="2607">
        <v>420000</v>
      </c>
      <c r="E192" s="2205"/>
      <c r="F192"/>
      <c r="G192"/>
      <c r="H192"/>
    </row>
    <row r="193" spans="1:8" ht="15.5" x14ac:dyDescent="0.35">
      <c r="B193" s="2248"/>
      <c r="C193" s="2202"/>
      <c r="D193" s="2213"/>
      <c r="E193" s="2205"/>
      <c r="F193" s="2215"/>
      <c r="G193" s="2249"/>
      <c r="H193" s="2216"/>
    </row>
    <row r="194" spans="1:8" ht="15.5" x14ac:dyDescent="0.35">
      <c r="B194" s="2248"/>
      <c r="C194" s="2202"/>
      <c r="D194" s="2213">
        <f>SUM(D190:D192)</f>
        <v>3432619</v>
      </c>
      <c r="E194" s="2205"/>
      <c r="F194" s="2215">
        <f>D194*1.05</f>
        <v>3604249.95</v>
      </c>
      <c r="G194" s="2249"/>
      <c r="H194" s="2216">
        <f>F194*1.045</f>
        <v>3766441.1977499998</v>
      </c>
    </row>
    <row r="195" spans="1:8" ht="15.5" x14ac:dyDescent="0.35">
      <c r="B195" s="2248"/>
      <c r="C195" s="2202"/>
      <c r="D195" s="2213"/>
      <c r="E195" s="12"/>
      <c r="F195" s="2250"/>
      <c r="G195" s="2249"/>
      <c r="H195" s="2249"/>
    </row>
    <row r="196" spans="1:8" ht="15.5" x14ac:dyDescent="0.35">
      <c r="A196">
        <v>106</v>
      </c>
      <c r="B196" s="2211" t="s">
        <v>791</v>
      </c>
      <c r="C196" s="2202" t="s">
        <v>792</v>
      </c>
      <c r="D196" s="2213">
        <v>495516</v>
      </c>
      <c r="E196" s="12"/>
      <c r="F196" s="2250"/>
      <c r="G196" s="2249"/>
      <c r="H196" s="2249"/>
    </row>
    <row r="197" spans="1:8" ht="15.5" x14ac:dyDescent="0.4">
      <c r="B197" s="2248"/>
      <c r="C197" s="2202" t="s">
        <v>793</v>
      </c>
      <c r="D197" s="2187">
        <v>536214</v>
      </c>
      <c r="E197" s="12"/>
      <c r="F197" s="2250"/>
      <c r="G197" s="2249"/>
      <c r="H197" s="2249"/>
    </row>
    <row r="198" spans="1:8" ht="15.5" x14ac:dyDescent="0.35">
      <c r="B198" s="2248"/>
      <c r="C198" s="2202"/>
      <c r="D198" s="2213">
        <f>SUM(D196:D197)</f>
        <v>1031730</v>
      </c>
      <c r="E198" s="12"/>
      <c r="F198" s="2215">
        <v>1031730</v>
      </c>
      <c r="G198" s="2249"/>
      <c r="H198" s="2251">
        <f>F198*1.045</f>
        <v>1078157.8499999999</v>
      </c>
    </row>
    <row r="199" spans="1:8" ht="15.5" x14ac:dyDescent="0.35">
      <c r="B199" s="2248"/>
      <c r="C199" s="2202"/>
      <c r="D199" s="2213"/>
      <c r="E199" s="241"/>
      <c r="F199" s="2218"/>
      <c r="G199" s="2249"/>
      <c r="H199" s="2249"/>
    </row>
    <row r="200" spans="1:8" ht="15.5" x14ac:dyDescent="0.35">
      <c r="B200" s="2170"/>
      <c r="C200" s="2171"/>
      <c r="D200" s="290"/>
      <c r="E200" s="290"/>
      <c r="F200" s="290"/>
      <c r="G200" s="290"/>
      <c r="H200" s="290"/>
    </row>
    <row r="201" spans="1:8" ht="37.5" x14ac:dyDescent="0.35">
      <c r="A201">
        <v>129</v>
      </c>
      <c r="B201" s="2211" t="s">
        <v>137</v>
      </c>
      <c r="C201" s="2234" t="s">
        <v>794</v>
      </c>
      <c r="D201" s="2213"/>
      <c r="E201" s="2252"/>
      <c r="F201"/>
      <c r="G201"/>
      <c r="H201"/>
    </row>
    <row r="202" spans="1:8" ht="15.5" x14ac:dyDescent="0.35">
      <c r="B202" s="2170"/>
      <c r="E202" s="290"/>
      <c r="F202" s="290"/>
      <c r="G202" s="290"/>
      <c r="H202" s="290"/>
    </row>
    <row r="203" spans="1:8" ht="15.5" x14ac:dyDescent="0.35">
      <c r="B203" s="2170"/>
      <c r="C203" s="235"/>
      <c r="D203" s="2253"/>
      <c r="E203" s="2253"/>
      <c r="F203" s="2253"/>
      <c r="G203" s="2253"/>
      <c r="H203" s="2253"/>
    </row>
    <row r="204" spans="1:8" ht="15.5" x14ac:dyDescent="0.35">
      <c r="B204" s="2170"/>
      <c r="C204" s="2171"/>
      <c r="D204" s="290"/>
      <c r="E204" s="290"/>
      <c r="F204" s="290"/>
      <c r="G204" s="290"/>
      <c r="H204" s="290"/>
    </row>
    <row r="205" spans="1:8" ht="15.5" x14ac:dyDescent="0.35">
      <c r="B205" s="2241"/>
    </row>
    <row r="206" spans="1:8" ht="16" thickBot="1" x14ac:dyDescent="0.4">
      <c r="B206" s="2241"/>
    </row>
    <row r="207" spans="1:8" ht="50.5" thickBot="1" x14ac:dyDescent="0.4">
      <c r="B207" s="2254" t="s">
        <v>647</v>
      </c>
      <c r="C207" s="2255" t="s">
        <v>799</v>
      </c>
      <c r="D207" s="2256"/>
      <c r="E207" s="2237"/>
      <c r="F207" s="2237"/>
      <c r="G207" s="2237"/>
      <c r="H207" s="2237"/>
    </row>
    <row r="208" spans="1:8" x14ac:dyDescent="0.35">
      <c r="C208" s="2257" t="s">
        <v>800</v>
      </c>
      <c r="E208" s="2231"/>
      <c r="F208" s="156"/>
    </row>
    <row r="209" spans="2:8" x14ac:dyDescent="0.35">
      <c r="C209" s="2257" t="s">
        <v>801</v>
      </c>
      <c r="D209" s="2258"/>
    </row>
    <row r="210" spans="2:8" x14ac:dyDescent="0.35">
      <c r="C210" s="2257" t="s">
        <v>802</v>
      </c>
      <c r="D210" s="2258"/>
    </row>
    <row r="211" spans="2:8" x14ac:dyDescent="0.35">
      <c r="B211" s="2158"/>
      <c r="C211" s="2257" t="s">
        <v>803</v>
      </c>
      <c r="E211"/>
      <c r="F211"/>
      <c r="G211"/>
      <c r="H211"/>
    </row>
    <row r="212" spans="2:8" x14ac:dyDescent="0.35">
      <c r="B212" s="2158"/>
      <c r="C212" s="2257" t="s">
        <v>804</v>
      </c>
      <c r="E212"/>
      <c r="F212"/>
      <c r="G212"/>
      <c r="H212"/>
    </row>
    <row r="213" spans="2:8" ht="114" thickBot="1" x14ac:dyDescent="0.4">
      <c r="B213" s="2158"/>
      <c r="C213" s="2259" t="s">
        <v>805</v>
      </c>
      <c r="E213"/>
      <c r="F213"/>
      <c r="G213"/>
      <c r="H213"/>
    </row>
    <row r="218" spans="2:8" ht="15" thickBot="1" x14ac:dyDescent="0.4"/>
    <row r="219" spans="2:8" ht="16" thickBot="1" x14ac:dyDescent="0.4">
      <c r="C219" s="3213" t="s">
        <v>806</v>
      </c>
      <c r="D219" s="3214"/>
      <c r="E219" s="3214"/>
      <c r="F219" s="3215"/>
      <c r="G219"/>
      <c r="H219"/>
    </row>
    <row r="220" spans="2:8" ht="15" thickBot="1" x14ac:dyDescent="0.4">
      <c r="C220" s="2260" t="s">
        <v>807</v>
      </c>
      <c r="D220" s="3216" t="s">
        <v>808</v>
      </c>
      <c r="E220" s="3217"/>
      <c r="F220" s="3218"/>
      <c r="G220"/>
      <c r="H220"/>
    </row>
    <row r="221" spans="2:8" ht="15" thickBot="1" x14ac:dyDescent="0.4">
      <c r="C221" s="2261" t="s">
        <v>809</v>
      </c>
      <c r="D221" s="2262" t="s">
        <v>810</v>
      </c>
      <c r="E221" s="2263" t="s">
        <v>811</v>
      </c>
      <c r="F221" s="2264" t="s">
        <v>812</v>
      </c>
      <c r="G221" s="2265" t="s">
        <v>813</v>
      </c>
      <c r="H221" s="2266" t="s">
        <v>538</v>
      </c>
    </row>
    <row r="222" spans="2:8" x14ac:dyDescent="0.35">
      <c r="C222" s="2267" t="s">
        <v>814</v>
      </c>
      <c r="D222" s="2268">
        <v>1560838</v>
      </c>
      <c r="E222" s="2268">
        <v>371753</v>
      </c>
      <c r="F222" s="2269">
        <v>175730</v>
      </c>
      <c r="G222" s="2270">
        <v>43644</v>
      </c>
      <c r="H222" s="2271"/>
    </row>
    <row r="223" spans="2:8" x14ac:dyDescent="0.35">
      <c r="C223" s="2272" t="s">
        <v>815</v>
      </c>
      <c r="D223" s="2268">
        <v>1078000</v>
      </c>
      <c r="E223" s="2273">
        <v>369547</v>
      </c>
      <c r="F223" s="2274">
        <v>192930</v>
      </c>
      <c r="G223" s="2275">
        <v>38980</v>
      </c>
      <c r="H223" s="2275"/>
    </row>
    <row r="224" spans="2:8" x14ac:dyDescent="0.35">
      <c r="C224" s="2272" t="s">
        <v>816</v>
      </c>
      <c r="D224" s="2268">
        <v>1454420</v>
      </c>
      <c r="E224" s="2276">
        <v>332144</v>
      </c>
      <c r="F224" s="2274">
        <v>191700</v>
      </c>
      <c r="G224" s="2275">
        <v>38980</v>
      </c>
      <c r="H224" s="2275"/>
    </row>
    <row r="225" spans="3:8" x14ac:dyDescent="0.35">
      <c r="C225" s="2272" t="s">
        <v>817</v>
      </c>
      <c r="D225" s="2268">
        <v>1488990</v>
      </c>
      <c r="E225" s="2276">
        <v>365964</v>
      </c>
      <c r="F225" s="2274">
        <v>185180</v>
      </c>
      <c r="G225" s="2275">
        <v>38980</v>
      </c>
      <c r="H225" s="2275"/>
    </row>
    <row r="226" spans="3:8" x14ac:dyDescent="0.35">
      <c r="C226" s="2272" t="s">
        <v>818</v>
      </c>
      <c r="D226" s="2274">
        <v>1671150</v>
      </c>
      <c r="E226" s="2277">
        <v>385811</v>
      </c>
      <c r="F226" s="2274">
        <v>151450</v>
      </c>
      <c r="G226" s="2274">
        <v>38980</v>
      </c>
      <c r="H226" s="2275"/>
    </row>
    <row r="227" spans="3:8" x14ac:dyDescent="0.35">
      <c r="C227" s="2272" t="s">
        <v>819</v>
      </c>
      <c r="D227" s="2274">
        <v>2167940</v>
      </c>
      <c r="E227" s="2277">
        <v>385811</v>
      </c>
      <c r="F227" s="2274">
        <v>150980</v>
      </c>
      <c r="G227" s="2274">
        <v>38980</v>
      </c>
      <c r="H227" s="2275"/>
    </row>
    <row r="228" spans="3:8" x14ac:dyDescent="0.35">
      <c r="C228" s="2272" t="s">
        <v>820</v>
      </c>
      <c r="D228" s="2274">
        <v>1606850</v>
      </c>
      <c r="E228" s="2277">
        <v>385811</v>
      </c>
      <c r="F228" s="2278">
        <v>173700</v>
      </c>
      <c r="G228" s="2274">
        <v>58144</v>
      </c>
      <c r="H228" s="2275"/>
    </row>
    <row r="229" spans="3:8" x14ac:dyDescent="0.35">
      <c r="C229" s="2272" t="s">
        <v>821</v>
      </c>
      <c r="D229" s="2279">
        <v>2419360</v>
      </c>
      <c r="E229" s="2277">
        <v>385811</v>
      </c>
      <c r="F229" s="2280">
        <v>221610</v>
      </c>
      <c r="G229" s="2280">
        <v>58144</v>
      </c>
      <c r="H229" s="2275"/>
    </row>
    <row r="230" spans="3:8" x14ac:dyDescent="0.35">
      <c r="C230" s="2272" t="s">
        <v>822</v>
      </c>
      <c r="D230" s="2279">
        <v>2419360</v>
      </c>
      <c r="E230" s="2277">
        <v>385811</v>
      </c>
      <c r="F230" s="2280">
        <v>336270</v>
      </c>
      <c r="G230" s="2280">
        <v>58144</v>
      </c>
      <c r="H230" s="2275"/>
    </row>
    <row r="231" spans="3:8" x14ac:dyDescent="0.35">
      <c r="C231" s="2272" t="s">
        <v>823</v>
      </c>
      <c r="D231" s="2279">
        <v>2419360</v>
      </c>
      <c r="E231" s="2277">
        <v>385811</v>
      </c>
      <c r="F231" s="2280">
        <v>336270</v>
      </c>
      <c r="G231" s="2280">
        <v>58144</v>
      </c>
      <c r="H231" s="2275"/>
    </row>
    <row r="232" spans="3:8" x14ac:dyDescent="0.35">
      <c r="C232" s="2272" t="s">
        <v>824</v>
      </c>
      <c r="D232" s="2279">
        <v>2419360</v>
      </c>
      <c r="E232" s="2277">
        <v>385811</v>
      </c>
      <c r="F232" s="2280">
        <v>597900</v>
      </c>
      <c r="G232" s="2280">
        <v>58144</v>
      </c>
      <c r="H232" s="2275"/>
    </row>
    <row r="233" spans="3:8" ht="15" thickBot="1" x14ac:dyDescent="0.4">
      <c r="C233" s="2281" t="s">
        <v>825</v>
      </c>
      <c r="D233" s="2279">
        <v>2419360</v>
      </c>
      <c r="E233" s="2277">
        <v>385811</v>
      </c>
      <c r="F233" s="2280">
        <v>597900</v>
      </c>
      <c r="G233" s="2280">
        <v>58144</v>
      </c>
      <c r="H233" s="2282"/>
    </row>
    <row r="234" spans="3:8" ht="15" thickBot="1" x14ac:dyDescent="0.4">
      <c r="C234" s="2283" t="s">
        <v>826</v>
      </c>
      <c r="D234" s="2284">
        <f>SUM(D222:D233)</f>
        <v>23124988</v>
      </c>
      <c r="E234" s="2285">
        <f>SUM(E222:E233)</f>
        <v>4525896</v>
      </c>
      <c r="F234" s="2286">
        <f>SUM(F222:F233)</f>
        <v>3311620</v>
      </c>
      <c r="G234" s="2287">
        <f>SUM(G222:G233)</f>
        <v>587408</v>
      </c>
      <c r="H234" s="2288">
        <f>SUM(H222:H233)</f>
        <v>0</v>
      </c>
    </row>
    <row r="236" spans="3:8" ht="15" thickBot="1" x14ac:dyDescent="0.4"/>
    <row r="237" spans="3:8" ht="15" thickBot="1" x14ac:dyDescent="0.4">
      <c r="C237" s="2289" t="s">
        <v>827</v>
      </c>
      <c r="D237" s="2284">
        <f>+D234*C239</f>
        <v>24281237.400000002</v>
      </c>
      <c r="E237" s="2285">
        <f>+E234*C239</f>
        <v>4752190.8</v>
      </c>
      <c r="F237" s="2286">
        <v>4507864</v>
      </c>
      <c r="G237" s="2287">
        <v>1135512</v>
      </c>
      <c r="H237"/>
    </row>
    <row r="239" spans="3:8" x14ac:dyDescent="0.35">
      <c r="C239" s="2155">
        <v>1.05</v>
      </c>
    </row>
  </sheetData>
  <mergeCells count="2">
    <mergeCell ref="C219:F219"/>
    <mergeCell ref="D220:F220"/>
  </mergeCells>
  <pageMargins left="0.7" right="0.7" top="0.75" bottom="0.75" header="0.3" footer="0.3"/>
  <pageSetup orientation="portrait" horizontalDpi="0" verticalDpi="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K79"/>
  <sheetViews>
    <sheetView workbookViewId="0">
      <selection activeCell="L37" sqref="L37"/>
    </sheetView>
  </sheetViews>
  <sheetFormatPr baseColWidth="10" defaultRowHeight="14" x14ac:dyDescent="0.3"/>
  <cols>
    <col min="1" max="1" width="4.26953125" style="2186" customWidth="1"/>
    <col min="2" max="2" width="18" style="2186" customWidth="1"/>
    <col min="3" max="3" width="56.7265625" style="2186" customWidth="1"/>
    <col min="4" max="4" width="14.7265625" style="2321" customWidth="1"/>
    <col min="5" max="5" width="16.1796875" style="2186" customWidth="1"/>
    <col min="6" max="256" width="11.453125" style="2186"/>
    <col min="257" max="257" width="4.26953125" style="2186" customWidth="1"/>
    <col min="258" max="258" width="16.26953125" style="2186" customWidth="1"/>
    <col min="259" max="259" width="49" style="2186" customWidth="1"/>
    <col min="260" max="260" width="14.7265625" style="2186" customWidth="1"/>
    <col min="261" max="261" width="16.7265625" style="2186" customWidth="1"/>
    <col min="262" max="512" width="11.453125" style="2186"/>
    <col min="513" max="513" width="4.26953125" style="2186" customWidth="1"/>
    <col min="514" max="514" width="16.26953125" style="2186" customWidth="1"/>
    <col min="515" max="515" width="49" style="2186" customWidth="1"/>
    <col min="516" max="516" width="14.7265625" style="2186" customWidth="1"/>
    <col min="517" max="517" width="16.7265625" style="2186" customWidth="1"/>
    <col min="518" max="768" width="11.453125" style="2186"/>
    <col min="769" max="769" width="4.26953125" style="2186" customWidth="1"/>
    <col min="770" max="770" width="16.26953125" style="2186" customWidth="1"/>
    <col min="771" max="771" width="49" style="2186" customWidth="1"/>
    <col min="772" max="772" width="14.7265625" style="2186" customWidth="1"/>
    <col min="773" max="773" width="16.7265625" style="2186" customWidth="1"/>
    <col min="774" max="1024" width="11.453125" style="2186"/>
    <col min="1025" max="1025" width="4.26953125" style="2186" customWidth="1"/>
    <col min="1026" max="1026" width="16.26953125" style="2186" customWidth="1"/>
    <col min="1027" max="1027" width="49" style="2186" customWidth="1"/>
    <col min="1028" max="1028" width="14.7265625" style="2186" customWidth="1"/>
    <col min="1029" max="1029" width="16.7265625" style="2186" customWidth="1"/>
    <col min="1030" max="1280" width="11.453125" style="2186"/>
    <col min="1281" max="1281" width="4.26953125" style="2186" customWidth="1"/>
    <col min="1282" max="1282" width="16.26953125" style="2186" customWidth="1"/>
    <col min="1283" max="1283" width="49" style="2186" customWidth="1"/>
    <col min="1284" max="1284" width="14.7265625" style="2186" customWidth="1"/>
    <col min="1285" max="1285" width="16.7265625" style="2186" customWidth="1"/>
    <col min="1286" max="1536" width="11.453125" style="2186"/>
    <col min="1537" max="1537" width="4.26953125" style="2186" customWidth="1"/>
    <col min="1538" max="1538" width="16.26953125" style="2186" customWidth="1"/>
    <col min="1539" max="1539" width="49" style="2186" customWidth="1"/>
    <col min="1540" max="1540" width="14.7265625" style="2186" customWidth="1"/>
    <col min="1541" max="1541" width="16.7265625" style="2186" customWidth="1"/>
    <col min="1542" max="1792" width="11.453125" style="2186"/>
    <col min="1793" max="1793" width="4.26953125" style="2186" customWidth="1"/>
    <col min="1794" max="1794" width="16.26953125" style="2186" customWidth="1"/>
    <col min="1795" max="1795" width="49" style="2186" customWidth="1"/>
    <col min="1796" max="1796" width="14.7265625" style="2186" customWidth="1"/>
    <col min="1797" max="1797" width="16.7265625" style="2186" customWidth="1"/>
    <col min="1798" max="2048" width="11.453125" style="2186"/>
    <col min="2049" max="2049" width="4.26953125" style="2186" customWidth="1"/>
    <col min="2050" max="2050" width="16.26953125" style="2186" customWidth="1"/>
    <col min="2051" max="2051" width="49" style="2186" customWidth="1"/>
    <col min="2052" max="2052" width="14.7265625" style="2186" customWidth="1"/>
    <col min="2053" max="2053" width="16.7265625" style="2186" customWidth="1"/>
    <col min="2054" max="2304" width="11.453125" style="2186"/>
    <col min="2305" max="2305" width="4.26953125" style="2186" customWidth="1"/>
    <col min="2306" max="2306" width="16.26953125" style="2186" customWidth="1"/>
    <col min="2307" max="2307" width="49" style="2186" customWidth="1"/>
    <col min="2308" max="2308" width="14.7265625" style="2186" customWidth="1"/>
    <col min="2309" max="2309" width="16.7265625" style="2186" customWidth="1"/>
    <col min="2310" max="2560" width="11.453125" style="2186"/>
    <col min="2561" max="2561" width="4.26953125" style="2186" customWidth="1"/>
    <col min="2562" max="2562" width="16.26953125" style="2186" customWidth="1"/>
    <col min="2563" max="2563" width="49" style="2186" customWidth="1"/>
    <col min="2564" max="2564" width="14.7265625" style="2186" customWidth="1"/>
    <col min="2565" max="2565" width="16.7265625" style="2186" customWidth="1"/>
    <col min="2566" max="2816" width="11.453125" style="2186"/>
    <col min="2817" max="2817" width="4.26953125" style="2186" customWidth="1"/>
    <col min="2818" max="2818" width="16.26953125" style="2186" customWidth="1"/>
    <col min="2819" max="2819" width="49" style="2186" customWidth="1"/>
    <col min="2820" max="2820" width="14.7265625" style="2186" customWidth="1"/>
    <col min="2821" max="2821" width="16.7265625" style="2186" customWidth="1"/>
    <col min="2822" max="3072" width="11.453125" style="2186"/>
    <col min="3073" max="3073" width="4.26953125" style="2186" customWidth="1"/>
    <col min="3074" max="3074" width="16.26953125" style="2186" customWidth="1"/>
    <col min="3075" max="3075" width="49" style="2186" customWidth="1"/>
    <col min="3076" max="3076" width="14.7265625" style="2186" customWidth="1"/>
    <col min="3077" max="3077" width="16.7265625" style="2186" customWidth="1"/>
    <col min="3078" max="3328" width="11.453125" style="2186"/>
    <col min="3329" max="3329" width="4.26953125" style="2186" customWidth="1"/>
    <col min="3330" max="3330" width="16.26953125" style="2186" customWidth="1"/>
    <col min="3331" max="3331" width="49" style="2186" customWidth="1"/>
    <col min="3332" max="3332" width="14.7265625" style="2186" customWidth="1"/>
    <col min="3333" max="3333" width="16.7265625" style="2186" customWidth="1"/>
    <col min="3334" max="3584" width="11.453125" style="2186"/>
    <col min="3585" max="3585" width="4.26953125" style="2186" customWidth="1"/>
    <col min="3586" max="3586" width="16.26953125" style="2186" customWidth="1"/>
    <col min="3587" max="3587" width="49" style="2186" customWidth="1"/>
    <col min="3588" max="3588" width="14.7265625" style="2186" customWidth="1"/>
    <col min="3589" max="3589" width="16.7265625" style="2186" customWidth="1"/>
    <col min="3590" max="3840" width="11.453125" style="2186"/>
    <col min="3841" max="3841" width="4.26953125" style="2186" customWidth="1"/>
    <col min="3842" max="3842" width="16.26953125" style="2186" customWidth="1"/>
    <col min="3843" max="3843" width="49" style="2186" customWidth="1"/>
    <col min="3844" max="3844" width="14.7265625" style="2186" customWidth="1"/>
    <col min="3845" max="3845" width="16.7265625" style="2186" customWidth="1"/>
    <col min="3846" max="4096" width="11.453125" style="2186"/>
    <col min="4097" max="4097" width="4.26953125" style="2186" customWidth="1"/>
    <col min="4098" max="4098" width="16.26953125" style="2186" customWidth="1"/>
    <col min="4099" max="4099" width="49" style="2186" customWidth="1"/>
    <col min="4100" max="4100" width="14.7265625" style="2186" customWidth="1"/>
    <col min="4101" max="4101" width="16.7265625" style="2186" customWidth="1"/>
    <col min="4102" max="4352" width="11.453125" style="2186"/>
    <col min="4353" max="4353" width="4.26953125" style="2186" customWidth="1"/>
    <col min="4354" max="4354" width="16.26953125" style="2186" customWidth="1"/>
    <col min="4355" max="4355" width="49" style="2186" customWidth="1"/>
    <col min="4356" max="4356" width="14.7265625" style="2186" customWidth="1"/>
    <col min="4357" max="4357" width="16.7265625" style="2186" customWidth="1"/>
    <col min="4358" max="4608" width="11.453125" style="2186"/>
    <col min="4609" max="4609" width="4.26953125" style="2186" customWidth="1"/>
    <col min="4610" max="4610" width="16.26953125" style="2186" customWidth="1"/>
    <col min="4611" max="4611" width="49" style="2186" customWidth="1"/>
    <col min="4612" max="4612" width="14.7265625" style="2186" customWidth="1"/>
    <col min="4613" max="4613" width="16.7265625" style="2186" customWidth="1"/>
    <col min="4614" max="4864" width="11.453125" style="2186"/>
    <col min="4865" max="4865" width="4.26953125" style="2186" customWidth="1"/>
    <col min="4866" max="4866" width="16.26953125" style="2186" customWidth="1"/>
    <col min="4867" max="4867" width="49" style="2186" customWidth="1"/>
    <col min="4868" max="4868" width="14.7265625" style="2186" customWidth="1"/>
    <col min="4869" max="4869" width="16.7265625" style="2186" customWidth="1"/>
    <col min="4870" max="5120" width="11.453125" style="2186"/>
    <col min="5121" max="5121" width="4.26953125" style="2186" customWidth="1"/>
    <col min="5122" max="5122" width="16.26953125" style="2186" customWidth="1"/>
    <col min="5123" max="5123" width="49" style="2186" customWidth="1"/>
    <col min="5124" max="5124" width="14.7265625" style="2186" customWidth="1"/>
    <col min="5125" max="5125" width="16.7265625" style="2186" customWidth="1"/>
    <col min="5126" max="5376" width="11.453125" style="2186"/>
    <col min="5377" max="5377" width="4.26953125" style="2186" customWidth="1"/>
    <col min="5378" max="5378" width="16.26953125" style="2186" customWidth="1"/>
    <col min="5379" max="5379" width="49" style="2186" customWidth="1"/>
    <col min="5380" max="5380" width="14.7265625" style="2186" customWidth="1"/>
    <col min="5381" max="5381" width="16.7265625" style="2186" customWidth="1"/>
    <col min="5382" max="5632" width="11.453125" style="2186"/>
    <col min="5633" max="5633" width="4.26953125" style="2186" customWidth="1"/>
    <col min="5634" max="5634" width="16.26953125" style="2186" customWidth="1"/>
    <col min="5635" max="5635" width="49" style="2186" customWidth="1"/>
    <col min="5636" max="5636" width="14.7265625" style="2186" customWidth="1"/>
    <col min="5637" max="5637" width="16.7265625" style="2186" customWidth="1"/>
    <col min="5638" max="5888" width="11.453125" style="2186"/>
    <col min="5889" max="5889" width="4.26953125" style="2186" customWidth="1"/>
    <col min="5890" max="5890" width="16.26953125" style="2186" customWidth="1"/>
    <col min="5891" max="5891" width="49" style="2186" customWidth="1"/>
    <col min="5892" max="5892" width="14.7265625" style="2186" customWidth="1"/>
    <col min="5893" max="5893" width="16.7265625" style="2186" customWidth="1"/>
    <col min="5894" max="6144" width="11.453125" style="2186"/>
    <col min="6145" max="6145" width="4.26953125" style="2186" customWidth="1"/>
    <col min="6146" max="6146" width="16.26953125" style="2186" customWidth="1"/>
    <col min="6147" max="6147" width="49" style="2186" customWidth="1"/>
    <col min="6148" max="6148" width="14.7265625" style="2186" customWidth="1"/>
    <col min="6149" max="6149" width="16.7265625" style="2186" customWidth="1"/>
    <col min="6150" max="6400" width="11.453125" style="2186"/>
    <col min="6401" max="6401" width="4.26953125" style="2186" customWidth="1"/>
    <col min="6402" max="6402" width="16.26953125" style="2186" customWidth="1"/>
    <col min="6403" max="6403" width="49" style="2186" customWidth="1"/>
    <col min="6404" max="6404" width="14.7265625" style="2186" customWidth="1"/>
    <col min="6405" max="6405" width="16.7265625" style="2186" customWidth="1"/>
    <col min="6406" max="6656" width="11.453125" style="2186"/>
    <col min="6657" max="6657" width="4.26953125" style="2186" customWidth="1"/>
    <col min="6658" max="6658" width="16.26953125" style="2186" customWidth="1"/>
    <col min="6659" max="6659" width="49" style="2186" customWidth="1"/>
    <col min="6660" max="6660" width="14.7265625" style="2186" customWidth="1"/>
    <col min="6661" max="6661" width="16.7265625" style="2186" customWidth="1"/>
    <col min="6662" max="6912" width="11.453125" style="2186"/>
    <col min="6913" max="6913" width="4.26953125" style="2186" customWidth="1"/>
    <col min="6914" max="6914" width="16.26953125" style="2186" customWidth="1"/>
    <col min="6915" max="6915" width="49" style="2186" customWidth="1"/>
    <col min="6916" max="6916" width="14.7265625" style="2186" customWidth="1"/>
    <col min="6917" max="6917" width="16.7265625" style="2186" customWidth="1"/>
    <col min="6918" max="7168" width="11.453125" style="2186"/>
    <col min="7169" max="7169" width="4.26953125" style="2186" customWidth="1"/>
    <col min="7170" max="7170" width="16.26953125" style="2186" customWidth="1"/>
    <col min="7171" max="7171" width="49" style="2186" customWidth="1"/>
    <col min="7172" max="7172" width="14.7265625" style="2186" customWidth="1"/>
    <col min="7173" max="7173" width="16.7265625" style="2186" customWidth="1"/>
    <col min="7174" max="7424" width="11.453125" style="2186"/>
    <col min="7425" max="7425" width="4.26953125" style="2186" customWidth="1"/>
    <col min="7426" max="7426" width="16.26953125" style="2186" customWidth="1"/>
    <col min="7427" max="7427" width="49" style="2186" customWidth="1"/>
    <col min="7428" max="7428" width="14.7265625" style="2186" customWidth="1"/>
    <col min="7429" max="7429" width="16.7265625" style="2186" customWidth="1"/>
    <col min="7430" max="7680" width="11.453125" style="2186"/>
    <col min="7681" max="7681" width="4.26953125" style="2186" customWidth="1"/>
    <col min="7682" max="7682" width="16.26953125" style="2186" customWidth="1"/>
    <col min="7683" max="7683" width="49" style="2186" customWidth="1"/>
    <col min="7684" max="7684" width="14.7265625" style="2186" customWidth="1"/>
    <col min="7685" max="7685" width="16.7265625" style="2186" customWidth="1"/>
    <col min="7686" max="7936" width="11.453125" style="2186"/>
    <col min="7937" max="7937" width="4.26953125" style="2186" customWidth="1"/>
    <col min="7938" max="7938" width="16.26953125" style="2186" customWidth="1"/>
    <col min="7939" max="7939" width="49" style="2186" customWidth="1"/>
    <col min="7940" max="7940" width="14.7265625" style="2186" customWidth="1"/>
    <col min="7941" max="7941" width="16.7265625" style="2186" customWidth="1"/>
    <col min="7942" max="8192" width="11.453125" style="2186"/>
    <col min="8193" max="8193" width="4.26953125" style="2186" customWidth="1"/>
    <col min="8194" max="8194" width="16.26953125" style="2186" customWidth="1"/>
    <col min="8195" max="8195" width="49" style="2186" customWidth="1"/>
    <col min="8196" max="8196" width="14.7265625" style="2186" customWidth="1"/>
    <col min="8197" max="8197" width="16.7265625" style="2186" customWidth="1"/>
    <col min="8198" max="8448" width="11.453125" style="2186"/>
    <col min="8449" max="8449" width="4.26953125" style="2186" customWidth="1"/>
    <col min="8450" max="8450" width="16.26953125" style="2186" customWidth="1"/>
    <col min="8451" max="8451" width="49" style="2186" customWidth="1"/>
    <col min="8452" max="8452" width="14.7265625" style="2186" customWidth="1"/>
    <col min="8453" max="8453" width="16.7265625" style="2186" customWidth="1"/>
    <col min="8454" max="8704" width="11.453125" style="2186"/>
    <col min="8705" max="8705" width="4.26953125" style="2186" customWidth="1"/>
    <col min="8706" max="8706" width="16.26953125" style="2186" customWidth="1"/>
    <col min="8707" max="8707" width="49" style="2186" customWidth="1"/>
    <col min="8708" max="8708" width="14.7265625" style="2186" customWidth="1"/>
    <col min="8709" max="8709" width="16.7265625" style="2186" customWidth="1"/>
    <col min="8710" max="8960" width="11.453125" style="2186"/>
    <col min="8961" max="8961" width="4.26953125" style="2186" customWidth="1"/>
    <col min="8962" max="8962" width="16.26953125" style="2186" customWidth="1"/>
    <col min="8963" max="8963" width="49" style="2186" customWidth="1"/>
    <col min="8964" max="8964" width="14.7265625" style="2186" customWidth="1"/>
    <col min="8965" max="8965" width="16.7265625" style="2186" customWidth="1"/>
    <col min="8966" max="9216" width="11.453125" style="2186"/>
    <col min="9217" max="9217" width="4.26953125" style="2186" customWidth="1"/>
    <col min="9218" max="9218" width="16.26953125" style="2186" customWidth="1"/>
    <col min="9219" max="9219" width="49" style="2186" customWidth="1"/>
    <col min="9220" max="9220" width="14.7265625" style="2186" customWidth="1"/>
    <col min="9221" max="9221" width="16.7265625" style="2186" customWidth="1"/>
    <col min="9222" max="9472" width="11.453125" style="2186"/>
    <col min="9473" max="9473" width="4.26953125" style="2186" customWidth="1"/>
    <col min="9474" max="9474" width="16.26953125" style="2186" customWidth="1"/>
    <col min="9475" max="9475" width="49" style="2186" customWidth="1"/>
    <col min="9476" max="9476" width="14.7265625" style="2186" customWidth="1"/>
    <col min="9477" max="9477" width="16.7265625" style="2186" customWidth="1"/>
    <col min="9478" max="9728" width="11.453125" style="2186"/>
    <col min="9729" max="9729" width="4.26953125" style="2186" customWidth="1"/>
    <col min="9730" max="9730" width="16.26953125" style="2186" customWidth="1"/>
    <col min="9731" max="9731" width="49" style="2186" customWidth="1"/>
    <col min="9732" max="9732" width="14.7265625" style="2186" customWidth="1"/>
    <col min="9733" max="9733" width="16.7265625" style="2186" customWidth="1"/>
    <col min="9734" max="9984" width="11.453125" style="2186"/>
    <col min="9985" max="9985" width="4.26953125" style="2186" customWidth="1"/>
    <col min="9986" max="9986" width="16.26953125" style="2186" customWidth="1"/>
    <col min="9987" max="9987" width="49" style="2186" customWidth="1"/>
    <col min="9988" max="9988" width="14.7265625" style="2186" customWidth="1"/>
    <col min="9989" max="9989" width="16.7265625" style="2186" customWidth="1"/>
    <col min="9990" max="10240" width="11.453125" style="2186"/>
    <col min="10241" max="10241" width="4.26953125" style="2186" customWidth="1"/>
    <col min="10242" max="10242" width="16.26953125" style="2186" customWidth="1"/>
    <col min="10243" max="10243" width="49" style="2186" customWidth="1"/>
    <col min="10244" max="10244" width="14.7265625" style="2186" customWidth="1"/>
    <col min="10245" max="10245" width="16.7265625" style="2186" customWidth="1"/>
    <col min="10246" max="10496" width="11.453125" style="2186"/>
    <col min="10497" max="10497" width="4.26953125" style="2186" customWidth="1"/>
    <col min="10498" max="10498" width="16.26953125" style="2186" customWidth="1"/>
    <col min="10499" max="10499" width="49" style="2186" customWidth="1"/>
    <col min="10500" max="10500" width="14.7265625" style="2186" customWidth="1"/>
    <col min="10501" max="10501" width="16.7265625" style="2186" customWidth="1"/>
    <col min="10502" max="10752" width="11.453125" style="2186"/>
    <col min="10753" max="10753" width="4.26953125" style="2186" customWidth="1"/>
    <col min="10754" max="10754" width="16.26953125" style="2186" customWidth="1"/>
    <col min="10755" max="10755" width="49" style="2186" customWidth="1"/>
    <col min="10756" max="10756" width="14.7265625" style="2186" customWidth="1"/>
    <col min="10757" max="10757" width="16.7265625" style="2186" customWidth="1"/>
    <col min="10758" max="11008" width="11.453125" style="2186"/>
    <col min="11009" max="11009" width="4.26953125" style="2186" customWidth="1"/>
    <col min="11010" max="11010" width="16.26953125" style="2186" customWidth="1"/>
    <col min="11011" max="11011" width="49" style="2186" customWidth="1"/>
    <col min="11012" max="11012" width="14.7265625" style="2186" customWidth="1"/>
    <col min="11013" max="11013" width="16.7265625" style="2186" customWidth="1"/>
    <col min="11014" max="11264" width="11.453125" style="2186"/>
    <col min="11265" max="11265" width="4.26953125" style="2186" customWidth="1"/>
    <col min="11266" max="11266" width="16.26953125" style="2186" customWidth="1"/>
    <col min="11267" max="11267" width="49" style="2186" customWidth="1"/>
    <col min="11268" max="11268" width="14.7265625" style="2186" customWidth="1"/>
    <col min="11269" max="11269" width="16.7265625" style="2186" customWidth="1"/>
    <col min="11270" max="11520" width="11.453125" style="2186"/>
    <col min="11521" max="11521" width="4.26953125" style="2186" customWidth="1"/>
    <col min="11522" max="11522" width="16.26953125" style="2186" customWidth="1"/>
    <col min="11523" max="11523" width="49" style="2186" customWidth="1"/>
    <col min="11524" max="11524" width="14.7265625" style="2186" customWidth="1"/>
    <col min="11525" max="11525" width="16.7265625" style="2186" customWidth="1"/>
    <col min="11526" max="11776" width="11.453125" style="2186"/>
    <col min="11777" max="11777" width="4.26953125" style="2186" customWidth="1"/>
    <col min="11778" max="11778" width="16.26953125" style="2186" customWidth="1"/>
    <col min="11779" max="11779" width="49" style="2186" customWidth="1"/>
    <col min="11780" max="11780" width="14.7265625" style="2186" customWidth="1"/>
    <col min="11781" max="11781" width="16.7265625" style="2186" customWidth="1"/>
    <col min="11782" max="12032" width="11.453125" style="2186"/>
    <col min="12033" max="12033" width="4.26953125" style="2186" customWidth="1"/>
    <col min="12034" max="12034" width="16.26953125" style="2186" customWidth="1"/>
    <col min="12035" max="12035" width="49" style="2186" customWidth="1"/>
    <col min="12036" max="12036" width="14.7265625" style="2186" customWidth="1"/>
    <col min="12037" max="12037" width="16.7265625" style="2186" customWidth="1"/>
    <col min="12038" max="12288" width="11.453125" style="2186"/>
    <col min="12289" max="12289" width="4.26953125" style="2186" customWidth="1"/>
    <col min="12290" max="12290" width="16.26953125" style="2186" customWidth="1"/>
    <col min="12291" max="12291" width="49" style="2186" customWidth="1"/>
    <col min="12292" max="12292" width="14.7265625" style="2186" customWidth="1"/>
    <col min="12293" max="12293" width="16.7265625" style="2186" customWidth="1"/>
    <col min="12294" max="12544" width="11.453125" style="2186"/>
    <col min="12545" max="12545" width="4.26953125" style="2186" customWidth="1"/>
    <col min="12546" max="12546" width="16.26953125" style="2186" customWidth="1"/>
    <col min="12547" max="12547" width="49" style="2186" customWidth="1"/>
    <col min="12548" max="12548" width="14.7265625" style="2186" customWidth="1"/>
    <col min="12549" max="12549" width="16.7265625" style="2186" customWidth="1"/>
    <col min="12550" max="12800" width="11.453125" style="2186"/>
    <col min="12801" max="12801" width="4.26953125" style="2186" customWidth="1"/>
    <col min="12802" max="12802" width="16.26953125" style="2186" customWidth="1"/>
    <col min="12803" max="12803" width="49" style="2186" customWidth="1"/>
    <col min="12804" max="12804" width="14.7265625" style="2186" customWidth="1"/>
    <col min="12805" max="12805" width="16.7265625" style="2186" customWidth="1"/>
    <col min="12806" max="13056" width="11.453125" style="2186"/>
    <col min="13057" max="13057" width="4.26953125" style="2186" customWidth="1"/>
    <col min="13058" max="13058" width="16.26953125" style="2186" customWidth="1"/>
    <col min="13059" max="13059" width="49" style="2186" customWidth="1"/>
    <col min="13060" max="13060" width="14.7265625" style="2186" customWidth="1"/>
    <col min="13061" max="13061" width="16.7265625" style="2186" customWidth="1"/>
    <col min="13062" max="13312" width="11.453125" style="2186"/>
    <col min="13313" max="13313" width="4.26953125" style="2186" customWidth="1"/>
    <col min="13314" max="13314" width="16.26953125" style="2186" customWidth="1"/>
    <col min="13315" max="13315" width="49" style="2186" customWidth="1"/>
    <col min="13316" max="13316" width="14.7265625" style="2186" customWidth="1"/>
    <col min="13317" max="13317" width="16.7265625" style="2186" customWidth="1"/>
    <col min="13318" max="13568" width="11.453125" style="2186"/>
    <col min="13569" max="13569" width="4.26953125" style="2186" customWidth="1"/>
    <col min="13570" max="13570" width="16.26953125" style="2186" customWidth="1"/>
    <col min="13571" max="13571" width="49" style="2186" customWidth="1"/>
    <col min="13572" max="13572" width="14.7265625" style="2186" customWidth="1"/>
    <col min="13573" max="13573" width="16.7265625" style="2186" customWidth="1"/>
    <col min="13574" max="13824" width="11.453125" style="2186"/>
    <col min="13825" max="13825" width="4.26953125" style="2186" customWidth="1"/>
    <col min="13826" max="13826" width="16.26953125" style="2186" customWidth="1"/>
    <col min="13827" max="13827" width="49" style="2186" customWidth="1"/>
    <col min="13828" max="13828" width="14.7265625" style="2186" customWidth="1"/>
    <col min="13829" max="13829" width="16.7265625" style="2186" customWidth="1"/>
    <col min="13830" max="14080" width="11.453125" style="2186"/>
    <col min="14081" max="14081" width="4.26953125" style="2186" customWidth="1"/>
    <col min="14082" max="14082" width="16.26953125" style="2186" customWidth="1"/>
    <col min="14083" max="14083" width="49" style="2186" customWidth="1"/>
    <col min="14084" max="14084" width="14.7265625" style="2186" customWidth="1"/>
    <col min="14085" max="14085" width="16.7265625" style="2186" customWidth="1"/>
    <col min="14086" max="14336" width="11.453125" style="2186"/>
    <col min="14337" max="14337" width="4.26953125" style="2186" customWidth="1"/>
    <col min="14338" max="14338" width="16.26953125" style="2186" customWidth="1"/>
    <col min="14339" max="14339" width="49" style="2186" customWidth="1"/>
    <col min="14340" max="14340" width="14.7265625" style="2186" customWidth="1"/>
    <col min="14341" max="14341" width="16.7265625" style="2186" customWidth="1"/>
    <col min="14342" max="14592" width="11.453125" style="2186"/>
    <col min="14593" max="14593" width="4.26953125" style="2186" customWidth="1"/>
    <col min="14594" max="14594" width="16.26953125" style="2186" customWidth="1"/>
    <col min="14595" max="14595" width="49" style="2186" customWidth="1"/>
    <col min="14596" max="14596" width="14.7265625" style="2186" customWidth="1"/>
    <col min="14597" max="14597" width="16.7265625" style="2186" customWidth="1"/>
    <col min="14598" max="14848" width="11.453125" style="2186"/>
    <col min="14849" max="14849" width="4.26953125" style="2186" customWidth="1"/>
    <col min="14850" max="14850" width="16.26953125" style="2186" customWidth="1"/>
    <col min="14851" max="14851" width="49" style="2186" customWidth="1"/>
    <col min="14852" max="14852" width="14.7265625" style="2186" customWidth="1"/>
    <col min="14853" max="14853" width="16.7265625" style="2186" customWidth="1"/>
    <col min="14854" max="15104" width="11.453125" style="2186"/>
    <col min="15105" max="15105" width="4.26953125" style="2186" customWidth="1"/>
    <col min="15106" max="15106" width="16.26953125" style="2186" customWidth="1"/>
    <col min="15107" max="15107" width="49" style="2186" customWidth="1"/>
    <col min="15108" max="15108" width="14.7265625" style="2186" customWidth="1"/>
    <col min="15109" max="15109" width="16.7265625" style="2186" customWidth="1"/>
    <col min="15110" max="15360" width="11.453125" style="2186"/>
    <col min="15361" max="15361" width="4.26953125" style="2186" customWidth="1"/>
    <col min="15362" max="15362" width="16.26953125" style="2186" customWidth="1"/>
    <col min="15363" max="15363" width="49" style="2186" customWidth="1"/>
    <col min="15364" max="15364" width="14.7265625" style="2186" customWidth="1"/>
    <col min="15365" max="15365" width="16.7265625" style="2186" customWidth="1"/>
    <col min="15366" max="15616" width="11.453125" style="2186"/>
    <col min="15617" max="15617" width="4.26953125" style="2186" customWidth="1"/>
    <col min="15618" max="15618" width="16.26953125" style="2186" customWidth="1"/>
    <col min="15619" max="15619" width="49" style="2186" customWidth="1"/>
    <col min="15620" max="15620" width="14.7265625" style="2186" customWidth="1"/>
    <col min="15621" max="15621" width="16.7265625" style="2186" customWidth="1"/>
    <col min="15622" max="15872" width="11.453125" style="2186"/>
    <col min="15873" max="15873" width="4.26953125" style="2186" customWidth="1"/>
    <col min="15874" max="15874" width="16.26953125" style="2186" customWidth="1"/>
    <col min="15875" max="15875" width="49" style="2186" customWidth="1"/>
    <col min="15876" max="15876" width="14.7265625" style="2186" customWidth="1"/>
    <col min="15877" max="15877" width="16.7265625" style="2186" customWidth="1"/>
    <col min="15878" max="16128" width="11.453125" style="2186"/>
    <col min="16129" max="16129" width="4.26953125" style="2186" customWidth="1"/>
    <col min="16130" max="16130" width="16.26953125" style="2186" customWidth="1"/>
    <col min="16131" max="16131" width="49" style="2186" customWidth="1"/>
    <col min="16132" max="16132" width="14.7265625" style="2186" customWidth="1"/>
    <col min="16133" max="16133" width="16.7265625" style="2186" customWidth="1"/>
    <col min="16134" max="16384" width="11.453125" style="2186"/>
  </cols>
  <sheetData>
    <row r="2" spans="2:10" x14ac:dyDescent="0.3">
      <c r="B2" s="2320" t="s">
        <v>846</v>
      </c>
    </row>
    <row r="3" spans="2:10" x14ac:dyDescent="0.3">
      <c r="B3" s="2322" t="s">
        <v>531</v>
      </c>
      <c r="C3" s="2323" t="s">
        <v>113</v>
      </c>
      <c r="D3" s="2324" t="s">
        <v>581</v>
      </c>
      <c r="E3" s="2325">
        <v>1.05</v>
      </c>
      <c r="H3" s="2326"/>
      <c r="I3" s="2321"/>
      <c r="J3" s="2321"/>
    </row>
    <row r="4" spans="2:10" x14ac:dyDescent="0.3">
      <c r="B4" s="2327">
        <v>53202010100000</v>
      </c>
      <c r="C4" s="2328" t="s">
        <v>115</v>
      </c>
      <c r="D4" s="2329">
        <f>SUM(D5:D7)</f>
        <v>328000</v>
      </c>
      <c r="E4" s="2330">
        <f>+D4*$E$3</f>
        <v>344400</v>
      </c>
      <c r="F4" s="2294"/>
      <c r="H4" s="2331"/>
      <c r="I4" s="2321"/>
      <c r="J4" s="2321"/>
    </row>
    <row r="5" spans="2:10" x14ac:dyDescent="0.3">
      <c r="B5" s="2332">
        <v>7</v>
      </c>
      <c r="C5" s="2333" t="s">
        <v>829</v>
      </c>
      <c r="D5" s="2334">
        <v>154000</v>
      </c>
      <c r="H5" s="2331"/>
      <c r="I5" s="2321"/>
      <c r="J5" s="2321"/>
    </row>
    <row r="6" spans="2:10" x14ac:dyDescent="0.3">
      <c r="B6" s="2332">
        <v>7</v>
      </c>
      <c r="C6" s="2333" t="s">
        <v>847</v>
      </c>
      <c r="D6" s="2334">
        <v>154000</v>
      </c>
      <c r="H6" s="2331"/>
      <c r="I6" s="2321"/>
      <c r="J6" s="2321"/>
    </row>
    <row r="7" spans="2:10" x14ac:dyDescent="0.3">
      <c r="B7" s="2332">
        <v>10</v>
      </c>
      <c r="C7" s="2333" t="s">
        <v>830</v>
      </c>
      <c r="D7" s="2334">
        <v>20000</v>
      </c>
      <c r="H7" s="2331"/>
      <c r="I7" s="2321"/>
      <c r="J7" s="2321"/>
    </row>
    <row r="8" spans="2:10" x14ac:dyDescent="0.3">
      <c r="B8" s="2327">
        <v>53203010100000</v>
      </c>
      <c r="C8" s="2328" t="s">
        <v>116</v>
      </c>
      <c r="D8" s="2329">
        <v>0</v>
      </c>
      <c r="E8" s="2335" t="s">
        <v>594</v>
      </c>
      <c r="H8" s="2331"/>
      <c r="I8" s="2321"/>
      <c r="J8" s="2321"/>
    </row>
    <row r="9" spans="2:10" x14ac:dyDescent="0.3">
      <c r="B9" s="2327">
        <v>53203030000000</v>
      </c>
      <c r="C9" s="2328" t="s">
        <v>117</v>
      </c>
      <c r="D9" s="2336">
        <v>0</v>
      </c>
      <c r="E9" s="2335" t="s">
        <v>594</v>
      </c>
      <c r="H9" s="2331"/>
      <c r="I9" s="2321"/>
      <c r="J9" s="2321"/>
    </row>
    <row r="10" spans="2:10" x14ac:dyDescent="0.3">
      <c r="B10" s="2337">
        <v>53204030000000</v>
      </c>
      <c r="C10" s="2328" t="s">
        <v>118</v>
      </c>
      <c r="D10" s="2329">
        <v>0</v>
      </c>
      <c r="E10" s="2338" t="s">
        <v>594</v>
      </c>
      <c r="H10" s="2331"/>
      <c r="I10" s="2321"/>
      <c r="J10" s="2321"/>
    </row>
    <row r="11" spans="2:10" s="2343" customFormat="1" ht="14.5" x14ac:dyDescent="0.3">
      <c r="B11" s="2339">
        <v>53211020000000</v>
      </c>
      <c r="C11" s="2340" t="s">
        <v>137</v>
      </c>
      <c r="D11" s="2341">
        <v>0</v>
      </c>
      <c r="E11" s="2342">
        <v>0</v>
      </c>
      <c r="H11" s="2331"/>
      <c r="I11" s="2344"/>
      <c r="J11" s="2344"/>
    </row>
    <row r="12" spans="2:10" s="2343" customFormat="1" ht="14.5" x14ac:dyDescent="0.3">
      <c r="B12" s="2345"/>
      <c r="C12" s="2145"/>
      <c r="D12" s="2334"/>
      <c r="H12" s="2331"/>
      <c r="I12" s="2344"/>
      <c r="J12" s="2344"/>
    </row>
    <row r="13" spans="2:10" x14ac:dyDescent="0.3">
      <c r="B13" s="2327">
        <v>53204100100001</v>
      </c>
      <c r="C13" s="2346" t="s">
        <v>119</v>
      </c>
      <c r="D13" s="2336">
        <f>SUM(D14:D15)</f>
        <v>550000</v>
      </c>
      <c r="E13" s="2330">
        <f>+D13*$E$3</f>
        <v>577500</v>
      </c>
      <c r="F13" s="2294"/>
      <c r="H13" s="2331"/>
      <c r="I13" s="2321"/>
      <c r="J13" s="2321"/>
    </row>
    <row r="14" spans="2:10" x14ac:dyDescent="0.3">
      <c r="B14" s="2332">
        <v>1</v>
      </c>
      <c r="C14" s="2347" t="s">
        <v>848</v>
      </c>
      <c r="D14" s="2334">
        <v>300000</v>
      </c>
      <c r="E14" s="2158"/>
      <c r="H14" s="2326"/>
      <c r="I14" s="2321"/>
      <c r="J14" s="2321"/>
    </row>
    <row r="15" spans="2:10" x14ac:dyDescent="0.3">
      <c r="B15" s="2332">
        <v>1</v>
      </c>
      <c r="C15" s="2347" t="s">
        <v>833</v>
      </c>
      <c r="D15" s="2334">
        <v>250000</v>
      </c>
      <c r="H15" s="2331"/>
      <c r="I15" s="2321"/>
      <c r="J15" s="2321"/>
    </row>
    <row r="16" spans="2:10" x14ac:dyDescent="0.3">
      <c r="B16" s="2327">
        <v>53204130100000</v>
      </c>
      <c r="C16" s="2328" t="s">
        <v>120</v>
      </c>
      <c r="D16" s="2336">
        <f>SUM(D17:D17)</f>
        <v>60000</v>
      </c>
      <c r="E16" s="2330">
        <f>+D16*$E$3</f>
        <v>63000</v>
      </c>
      <c r="F16" s="2294"/>
      <c r="H16" s="2331"/>
      <c r="I16" s="2321"/>
      <c r="J16" s="2321"/>
    </row>
    <row r="17" spans="2:11" x14ac:dyDescent="0.3">
      <c r="B17" s="2332">
        <v>1</v>
      </c>
      <c r="C17" s="2333" t="s">
        <v>834</v>
      </c>
      <c r="D17" s="2348">
        <v>60000</v>
      </c>
      <c r="H17" s="2331"/>
      <c r="I17" s="2321"/>
      <c r="J17" s="2321"/>
    </row>
    <row r="18" spans="2:11" x14ac:dyDescent="0.3">
      <c r="B18" s="2349">
        <v>53214020000000</v>
      </c>
      <c r="C18" s="2350" t="s">
        <v>132</v>
      </c>
      <c r="D18" s="2329">
        <v>0</v>
      </c>
      <c r="E18" s="2336">
        <f>D18*6%+D18</f>
        <v>0</v>
      </c>
      <c r="H18" s="2331"/>
      <c r="I18" s="2321"/>
      <c r="J18" s="2321"/>
    </row>
    <row r="19" spans="2:11" x14ac:dyDescent="0.3">
      <c r="B19" s="2351">
        <v>1</v>
      </c>
      <c r="C19" s="2333"/>
      <c r="D19" s="2334"/>
      <c r="H19" s="2331"/>
      <c r="I19" s="2321"/>
      <c r="J19" s="2321"/>
    </row>
    <row r="20" spans="2:11" x14ac:dyDescent="0.3">
      <c r="B20" s="2352">
        <v>53202020100000</v>
      </c>
      <c r="C20" s="2353" t="s">
        <v>611</v>
      </c>
      <c r="D20" s="2354"/>
      <c r="E20" s="2336"/>
      <c r="F20" s="2294"/>
      <c r="H20" s="2331"/>
      <c r="I20" s="2321"/>
      <c r="J20" s="2321"/>
    </row>
    <row r="21" spans="2:11" x14ac:dyDescent="0.3">
      <c r="B21" s="2355">
        <v>1</v>
      </c>
      <c r="C21" s="2356" t="s">
        <v>849</v>
      </c>
      <c r="D21" s="2334"/>
      <c r="H21" s="2331"/>
      <c r="I21" s="2321"/>
      <c r="J21" s="2321"/>
    </row>
    <row r="22" spans="2:11" x14ac:dyDescent="0.3">
      <c r="B22" s="2357">
        <v>1</v>
      </c>
      <c r="C22" s="2356" t="s">
        <v>850</v>
      </c>
      <c r="D22" s="2334"/>
      <c r="H22" s="2331"/>
      <c r="I22" s="2321"/>
      <c r="J22" s="2321"/>
    </row>
    <row r="23" spans="2:11" x14ac:dyDescent="0.3">
      <c r="B23" s="2352">
        <v>53202030000000</v>
      </c>
      <c r="C23" s="2353" t="s">
        <v>136</v>
      </c>
      <c r="D23" s="2358"/>
      <c r="E23" s="2336"/>
      <c r="F23" s="2294"/>
      <c r="H23" s="2326"/>
      <c r="I23" s="2321"/>
      <c r="J23" s="2321"/>
    </row>
    <row r="24" spans="2:11" x14ac:dyDescent="0.3">
      <c r="B24" s="2359">
        <v>1</v>
      </c>
      <c r="C24" s="2356" t="s">
        <v>620</v>
      </c>
      <c r="D24" s="2334"/>
      <c r="H24" s="2331"/>
      <c r="I24" s="2321"/>
      <c r="J24" s="2321"/>
    </row>
    <row r="25" spans="2:11" x14ac:dyDescent="0.3">
      <c r="B25" s="2352">
        <v>53204010000000</v>
      </c>
      <c r="C25" s="2360" t="s">
        <v>144</v>
      </c>
      <c r="D25" s="2361">
        <f>SUM(D26:D27)</f>
        <v>0</v>
      </c>
      <c r="E25" s="2354">
        <v>0</v>
      </c>
      <c r="H25" s="2331"/>
      <c r="I25" s="2321"/>
      <c r="J25" s="2321"/>
    </row>
    <row r="26" spans="2:11" x14ac:dyDescent="0.3">
      <c r="B26" s="2357"/>
      <c r="C26" s="2362"/>
      <c r="D26" s="2334"/>
      <c r="H26" s="2331"/>
      <c r="I26" s="2321"/>
      <c r="J26" s="2321"/>
    </row>
    <row r="27" spans="2:11" x14ac:dyDescent="0.3">
      <c r="B27" s="2357"/>
      <c r="C27" s="2363"/>
      <c r="D27" s="2334"/>
      <c r="H27" s="2331"/>
      <c r="I27" s="2321"/>
      <c r="J27" s="2321"/>
    </row>
    <row r="28" spans="2:11" x14ac:dyDescent="0.3">
      <c r="B28" s="2352">
        <v>53204060000000</v>
      </c>
      <c r="C28" s="2360" t="s">
        <v>146</v>
      </c>
      <c r="D28" s="2364">
        <f>SUM(D29:D29)</f>
        <v>250000</v>
      </c>
      <c r="E28" s="2330">
        <f>+D28*$E$3</f>
        <v>262500</v>
      </c>
      <c r="F28" s="2294"/>
      <c r="H28" s="2331"/>
      <c r="I28" s="2321"/>
      <c r="J28" s="2321"/>
    </row>
    <row r="29" spans="2:11" x14ac:dyDescent="0.3">
      <c r="B29" s="2357">
        <v>1</v>
      </c>
      <c r="C29" s="2362" t="s">
        <v>623</v>
      </c>
      <c r="D29" s="2334">
        <v>250000</v>
      </c>
      <c r="H29" s="2326"/>
      <c r="I29" s="2321"/>
      <c r="J29" s="2321"/>
    </row>
    <row r="30" spans="2:11" x14ac:dyDescent="0.3">
      <c r="B30" s="2352">
        <v>53204070000000</v>
      </c>
      <c r="C30" s="2360" t="s">
        <v>147</v>
      </c>
      <c r="D30" s="2364">
        <f>SUM(D31:D31)</f>
        <v>300000</v>
      </c>
      <c r="E30" s="2330">
        <f>+D30*$E$3</f>
        <v>315000</v>
      </c>
      <c r="F30" s="2294"/>
      <c r="H30" s="2331"/>
      <c r="I30" s="2321"/>
      <c r="J30" s="2321"/>
    </row>
    <row r="31" spans="2:11" x14ac:dyDescent="0.3">
      <c r="B31" s="2365">
        <v>2</v>
      </c>
      <c r="C31" s="2366" t="s">
        <v>851</v>
      </c>
      <c r="D31" s="2367">
        <v>300000</v>
      </c>
      <c r="H31" s="2331"/>
      <c r="I31" s="2321"/>
      <c r="J31" s="2321"/>
      <c r="K31" s="2321"/>
    </row>
    <row r="32" spans="2:11" x14ac:dyDescent="0.3">
      <c r="B32" s="2352">
        <v>53204080000000</v>
      </c>
      <c r="C32" s="2360" t="s">
        <v>148</v>
      </c>
      <c r="D32" s="2368">
        <f>SUM(D33:D35)</f>
        <v>114000</v>
      </c>
      <c r="E32" s="2330">
        <f>+D32*$E$3</f>
        <v>119700</v>
      </c>
      <c r="F32" s="2294"/>
      <c r="H32" s="2331"/>
      <c r="I32" s="2321"/>
      <c r="J32" s="2321"/>
      <c r="K32" s="2321"/>
    </row>
    <row r="33" spans="1:11" x14ac:dyDescent="0.3">
      <c r="B33" s="2369">
        <v>1</v>
      </c>
      <c r="C33" s="2363" t="s">
        <v>837</v>
      </c>
      <c r="D33" s="2370">
        <v>50000</v>
      </c>
      <c r="H33" s="2331"/>
      <c r="I33" s="2321"/>
      <c r="J33" s="2321"/>
      <c r="K33" s="2321"/>
    </row>
    <row r="34" spans="1:11" x14ac:dyDescent="0.3">
      <c r="B34" s="2369">
        <v>2</v>
      </c>
      <c r="C34" s="2363" t="s">
        <v>838</v>
      </c>
      <c r="D34" s="2370">
        <v>14000</v>
      </c>
      <c r="H34" s="2331"/>
      <c r="I34" s="2321"/>
      <c r="J34" s="2321"/>
      <c r="K34" s="2321"/>
    </row>
    <row r="35" spans="1:11" x14ac:dyDescent="0.3">
      <c r="B35" s="2355">
        <v>1</v>
      </c>
      <c r="C35" s="2362" t="s">
        <v>852</v>
      </c>
      <c r="D35" s="2334">
        <v>50000</v>
      </c>
      <c r="H35" s="2331"/>
      <c r="I35" s="2321"/>
      <c r="J35" s="2321"/>
    </row>
    <row r="36" spans="1:11" x14ac:dyDescent="0.3">
      <c r="B36" s="2352">
        <v>53214010000000</v>
      </c>
      <c r="C36" s="2360" t="s">
        <v>149</v>
      </c>
      <c r="D36" s="2368">
        <f>SUM(D37:D38)</f>
        <v>1050000</v>
      </c>
      <c r="E36" s="2330">
        <f>+D36*$E$3</f>
        <v>1102500</v>
      </c>
      <c r="F36" s="2294"/>
      <c r="H36" s="2326"/>
      <c r="I36" s="2321"/>
      <c r="J36" s="2321"/>
    </row>
    <row r="37" spans="1:11" x14ac:dyDescent="0.3">
      <c r="B37" s="2357">
        <v>1</v>
      </c>
      <c r="C37" s="2362" t="s">
        <v>853</v>
      </c>
      <c r="D37" s="2334">
        <v>250000</v>
      </c>
      <c r="H37" s="2326"/>
      <c r="I37" s="2321"/>
      <c r="J37" s="2321"/>
    </row>
    <row r="38" spans="1:11" x14ac:dyDescent="0.3">
      <c r="B38" s="2332">
        <v>4</v>
      </c>
      <c r="C38" s="2362" t="s">
        <v>854</v>
      </c>
      <c r="D38" s="2334">
        <v>800000</v>
      </c>
      <c r="H38" s="2331"/>
      <c r="I38" s="2321"/>
      <c r="J38" s="2321"/>
    </row>
    <row r="39" spans="1:11" x14ac:dyDescent="0.3">
      <c r="B39" s="2352">
        <v>53207020000000</v>
      </c>
      <c r="C39" s="2360" t="s">
        <v>155</v>
      </c>
      <c r="D39" s="2371">
        <v>0</v>
      </c>
      <c r="H39" s="2331"/>
      <c r="I39" s="2321"/>
      <c r="J39" s="2321"/>
    </row>
    <row r="40" spans="1:11" x14ac:dyDescent="0.3">
      <c r="B40" s="2352">
        <v>53206060000000</v>
      </c>
      <c r="C40" s="2360" t="s">
        <v>166</v>
      </c>
      <c r="D40" s="2364">
        <f>SUM(D41:D45)</f>
        <v>400000</v>
      </c>
      <c r="E40" s="2330">
        <f>+D40*$E$3</f>
        <v>420000</v>
      </c>
      <c r="F40" s="2294"/>
      <c r="H40" s="2331"/>
      <c r="I40" s="2321"/>
      <c r="J40" s="2321"/>
    </row>
    <row r="41" spans="1:11" x14ac:dyDescent="0.3">
      <c r="B41" s="2355">
        <v>2</v>
      </c>
      <c r="C41" s="2362" t="s">
        <v>841</v>
      </c>
      <c r="D41" s="2334">
        <v>90000</v>
      </c>
      <c r="H41" s="2331"/>
      <c r="I41" s="2321"/>
      <c r="J41" s="2321"/>
    </row>
    <row r="42" spans="1:11" x14ac:dyDescent="0.3">
      <c r="B42" s="2355">
        <v>1</v>
      </c>
      <c r="C42" s="2362" t="s">
        <v>634</v>
      </c>
      <c r="D42" s="2334">
        <v>70000</v>
      </c>
      <c r="H42" s="2331"/>
      <c r="I42" s="2321"/>
      <c r="J42" s="2321"/>
    </row>
    <row r="43" spans="1:11" x14ac:dyDescent="0.3">
      <c r="B43" s="2355">
        <v>1</v>
      </c>
      <c r="C43" s="2362" t="s">
        <v>842</v>
      </c>
      <c r="D43" s="2334">
        <v>70000</v>
      </c>
      <c r="H43" s="2331"/>
      <c r="I43" s="2321"/>
      <c r="J43" s="2321"/>
    </row>
    <row r="44" spans="1:11" x14ac:dyDescent="0.3">
      <c r="B44" s="2355">
        <v>1</v>
      </c>
      <c r="C44" s="2362" t="s">
        <v>635</v>
      </c>
      <c r="D44" s="2334">
        <v>70000</v>
      </c>
      <c r="H44" s="2331"/>
      <c r="I44" s="2321"/>
      <c r="J44" s="2321"/>
    </row>
    <row r="45" spans="1:11" x14ac:dyDescent="0.3">
      <c r="B45" s="2332">
        <v>2</v>
      </c>
      <c r="C45" s="2372" t="s">
        <v>637</v>
      </c>
      <c r="D45" s="2334">
        <v>100000</v>
      </c>
      <c r="H45" s="2331"/>
      <c r="I45" s="2321"/>
      <c r="J45" s="2321"/>
    </row>
    <row r="46" spans="1:11" x14ac:dyDescent="0.3">
      <c r="B46" s="2352">
        <v>53206990000000</v>
      </c>
      <c r="C46" s="2360" t="s">
        <v>168</v>
      </c>
      <c r="D46" s="2368">
        <v>0</v>
      </c>
      <c r="E46" s="2368">
        <f>D46*6%+D46</f>
        <v>0</v>
      </c>
      <c r="H46" s="2331"/>
      <c r="I46" s="2321"/>
      <c r="J46" s="2321"/>
    </row>
    <row r="47" spans="1:11" x14ac:dyDescent="0.3">
      <c r="B47" s="2355"/>
      <c r="C47" s="2362"/>
      <c r="D47" s="2348"/>
      <c r="E47" s="2373"/>
      <c r="H47" s="2331"/>
      <c r="I47" s="2321"/>
      <c r="J47" s="2321"/>
    </row>
    <row r="48" spans="1:11" x14ac:dyDescent="0.3">
      <c r="A48" s="2374"/>
      <c r="B48" s="2352">
        <v>53208030000000</v>
      </c>
      <c r="C48" s="2360" t="s">
        <v>169</v>
      </c>
      <c r="D48" s="2368">
        <v>0</v>
      </c>
      <c r="E48" s="2368">
        <f>D48*6%+D48</f>
        <v>0</v>
      </c>
      <c r="H48" s="2331"/>
      <c r="I48" s="2321"/>
      <c r="J48" s="2321"/>
    </row>
    <row r="49" spans="1:10" x14ac:dyDescent="0.3">
      <c r="B49" s="2352">
        <v>53212060000000</v>
      </c>
      <c r="C49" s="2360" t="s">
        <v>170</v>
      </c>
      <c r="D49" s="2368">
        <v>0</v>
      </c>
      <c r="E49" s="2158"/>
      <c r="H49" s="2326"/>
      <c r="I49" s="2321"/>
      <c r="J49" s="2321"/>
    </row>
    <row r="50" spans="1:10" x14ac:dyDescent="0.3">
      <c r="A50" s="2374"/>
      <c r="B50" s="2352">
        <v>53210020500000</v>
      </c>
      <c r="C50" s="2375" t="s">
        <v>641</v>
      </c>
      <c r="D50" s="2368">
        <v>0</v>
      </c>
      <c r="E50" s="2368">
        <f>D50*6%+D50</f>
        <v>0</v>
      </c>
      <c r="H50" s="2331"/>
      <c r="I50" s="2321"/>
      <c r="J50" s="2321"/>
    </row>
    <row r="51" spans="1:10" x14ac:dyDescent="0.3">
      <c r="B51" s="2352">
        <v>53204999000000</v>
      </c>
      <c r="C51" s="2360" t="s">
        <v>173</v>
      </c>
      <c r="D51" s="2368">
        <v>0</v>
      </c>
      <c r="E51" s="2368">
        <f>D51*6%+D51</f>
        <v>0</v>
      </c>
      <c r="H51" s="2331"/>
      <c r="I51" s="2321"/>
      <c r="J51" s="2321"/>
    </row>
    <row r="52" spans="1:10" x14ac:dyDescent="0.3">
      <c r="B52" s="2376"/>
      <c r="C52" s="2035" t="s">
        <v>844</v>
      </c>
      <c r="D52" s="1989">
        <v>360000</v>
      </c>
      <c r="E52" s="2330">
        <f>+D52*$E$3</f>
        <v>378000</v>
      </c>
    </row>
    <row r="53" spans="1:10" ht="14.5" x14ac:dyDescent="0.3">
      <c r="B53" s="2339">
        <v>53208010100000</v>
      </c>
      <c r="C53" s="2375" t="s">
        <v>127</v>
      </c>
      <c r="D53" s="2368">
        <f>SUM(D54:D55)</f>
        <v>479841</v>
      </c>
      <c r="E53" s="2330">
        <f>+D53*$E$3</f>
        <v>503833.05000000005</v>
      </c>
      <c r="F53" s="2294"/>
    </row>
    <row r="54" spans="1:10" x14ac:dyDescent="0.3">
      <c r="C54" s="2377" t="s">
        <v>643</v>
      </c>
      <c r="D54" s="2334">
        <v>70000</v>
      </c>
    </row>
    <row r="55" spans="1:10" x14ac:dyDescent="0.3">
      <c r="C55" s="2378" t="s">
        <v>644</v>
      </c>
      <c r="D55" s="2334">
        <v>409841</v>
      </c>
    </row>
    <row r="56" spans="1:10" ht="14.5" x14ac:dyDescent="0.3">
      <c r="B56" s="2339">
        <v>53205080000000</v>
      </c>
      <c r="C56" s="2375" t="s">
        <v>140</v>
      </c>
      <c r="D56" s="2368">
        <v>540000</v>
      </c>
      <c r="E56" s="2330">
        <f>+D56*$E$3</f>
        <v>567000</v>
      </c>
      <c r="F56" s="2294"/>
    </row>
    <row r="57" spans="1:10" x14ac:dyDescent="0.3">
      <c r="C57" s="2378" t="s">
        <v>855</v>
      </c>
    </row>
    <row r="59" spans="1:10" x14ac:dyDescent="0.3">
      <c r="C59" s="2375" t="s">
        <v>856</v>
      </c>
      <c r="D59" s="2368">
        <f>55000*12</f>
        <v>660000</v>
      </c>
      <c r="E59" s="2379">
        <f>+D59*$E$3</f>
        <v>693000</v>
      </c>
    </row>
    <row r="60" spans="1:10" x14ac:dyDescent="0.3">
      <c r="D60" s="2186"/>
    </row>
    <row r="61" spans="1:10" x14ac:dyDescent="0.3">
      <c r="D61" s="2186"/>
    </row>
    <row r="62" spans="1:10" ht="15.5" x14ac:dyDescent="0.3">
      <c r="B62" s="2380"/>
      <c r="D62" s="2186"/>
    </row>
    <row r="63" spans="1:10" ht="15.5" x14ac:dyDescent="0.3">
      <c r="B63" s="2380"/>
      <c r="D63" s="2186"/>
    </row>
    <row r="64" spans="1:10" ht="15.5" x14ac:dyDescent="0.3">
      <c r="B64" s="2380"/>
      <c r="D64" s="2186"/>
    </row>
    <row r="65" spans="2:4" ht="15.5" x14ac:dyDescent="0.3">
      <c r="B65" s="2380"/>
      <c r="D65" s="2186"/>
    </row>
    <row r="66" spans="2:4" ht="15.5" x14ac:dyDescent="0.3">
      <c r="B66" s="2380"/>
      <c r="D66" s="2186"/>
    </row>
    <row r="67" spans="2:4" x14ac:dyDescent="0.3">
      <c r="B67" s="2381"/>
      <c r="D67" s="2186"/>
    </row>
    <row r="68" spans="2:4" x14ac:dyDescent="0.3">
      <c r="B68" s="2381"/>
      <c r="D68" s="2186"/>
    </row>
    <row r="69" spans="2:4" x14ac:dyDescent="0.3">
      <c r="B69" s="2381"/>
      <c r="D69" s="2186"/>
    </row>
    <row r="70" spans="2:4" x14ac:dyDescent="0.3">
      <c r="B70" s="2381"/>
      <c r="D70" s="2186"/>
    </row>
    <row r="71" spans="2:4" x14ac:dyDescent="0.3">
      <c r="B71" s="2381"/>
      <c r="D71" s="2186"/>
    </row>
    <row r="72" spans="2:4" x14ac:dyDescent="0.3">
      <c r="B72" s="2381"/>
      <c r="D72" s="2186"/>
    </row>
    <row r="73" spans="2:4" x14ac:dyDescent="0.3">
      <c r="B73" s="2382"/>
      <c r="D73" s="2186"/>
    </row>
    <row r="78" spans="2:4" x14ac:dyDescent="0.3">
      <c r="D78" s="2186"/>
    </row>
    <row r="79" spans="2:4" x14ac:dyDescent="0.3">
      <c r="D79" s="2186"/>
    </row>
  </sheetData>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3:G135"/>
  <sheetViews>
    <sheetView topLeftCell="A49" workbookViewId="0">
      <selection activeCell="E62" sqref="E62"/>
    </sheetView>
  </sheetViews>
  <sheetFormatPr baseColWidth="10" defaultRowHeight="14.5" x14ac:dyDescent="0.35"/>
  <cols>
    <col min="2" max="2" width="15.1796875" customWidth="1"/>
    <col min="3" max="3" width="45.1796875" customWidth="1"/>
    <col min="4" max="4" width="11.81640625" bestFit="1" customWidth="1"/>
    <col min="5" max="5" width="13.54296875" style="2449" customWidth="1"/>
  </cols>
  <sheetData>
    <row r="3" spans="2:5" x14ac:dyDescent="0.35">
      <c r="B3" s="2436">
        <v>2100000000</v>
      </c>
      <c r="C3" s="2437" t="s">
        <v>935</v>
      </c>
      <c r="E3" s="2438"/>
    </row>
    <row r="4" spans="2:5" x14ac:dyDescent="0.35">
      <c r="B4" s="2439">
        <v>2101000000</v>
      </c>
      <c r="C4" s="2440" t="s">
        <v>936</v>
      </c>
      <c r="E4" s="2438"/>
    </row>
    <row r="5" spans="2:5" x14ac:dyDescent="0.35">
      <c r="B5" s="2441">
        <v>2101004000</v>
      </c>
      <c r="C5" s="2050" t="s">
        <v>937</v>
      </c>
      <c r="E5" s="2438"/>
    </row>
    <row r="6" spans="2:5" x14ac:dyDescent="0.35">
      <c r="B6" s="2439">
        <v>2103000000</v>
      </c>
      <c r="C6" s="2440" t="s">
        <v>938</v>
      </c>
      <c r="E6" s="2438"/>
    </row>
    <row r="7" spans="2:5" x14ac:dyDescent="0.35">
      <c r="B7" s="2442">
        <v>2103001000</v>
      </c>
      <c r="C7" s="2443" t="s">
        <v>939</v>
      </c>
      <c r="E7" s="2438"/>
    </row>
    <row r="8" spans="2:5" x14ac:dyDescent="0.35">
      <c r="B8" s="2441">
        <v>2103004000</v>
      </c>
      <c r="C8" s="2050" t="s">
        <v>940</v>
      </c>
      <c r="E8" s="2438"/>
    </row>
    <row r="9" spans="2:5" x14ac:dyDescent="0.35">
      <c r="B9" s="2442">
        <v>2103007000</v>
      </c>
      <c r="C9" s="2443" t="s">
        <v>941</v>
      </c>
      <c r="E9" s="2438"/>
    </row>
    <row r="10" spans="2:5" x14ac:dyDescent="0.35">
      <c r="B10" s="2442">
        <v>2103999001</v>
      </c>
      <c r="C10" s="2443" t="s">
        <v>942</v>
      </c>
      <c r="E10" s="2438"/>
    </row>
    <row r="11" spans="2:5" x14ac:dyDescent="0.35">
      <c r="B11" s="2442">
        <v>2103999002</v>
      </c>
      <c r="C11" s="2443" t="s">
        <v>943</v>
      </c>
      <c r="E11" s="2438"/>
    </row>
    <row r="12" spans="2:5" x14ac:dyDescent="0.35">
      <c r="B12" s="2436">
        <v>2200000000</v>
      </c>
      <c r="C12" s="2437" t="s">
        <v>944</v>
      </c>
      <c r="E12" s="2438"/>
    </row>
    <row r="13" spans="2:5" x14ac:dyDescent="0.35">
      <c r="B13" s="2439">
        <v>2201000000</v>
      </c>
      <c r="C13" s="2440" t="s">
        <v>945</v>
      </c>
      <c r="E13" s="2438"/>
    </row>
    <row r="14" spans="2:5" x14ac:dyDescent="0.35">
      <c r="B14" s="2441">
        <v>2201001000</v>
      </c>
      <c r="C14" s="2050" t="s">
        <v>946</v>
      </c>
      <c r="E14" s="2438"/>
    </row>
    <row r="15" spans="2:5" x14ac:dyDescent="0.35">
      <c r="B15" s="2441"/>
      <c r="C15" s="2050"/>
      <c r="D15" s="2590">
        <v>1224000</v>
      </c>
      <c r="E15" s="2589">
        <v>1224000</v>
      </c>
    </row>
    <row r="16" spans="2:5" x14ac:dyDescent="0.35">
      <c r="B16" s="2441"/>
      <c r="C16" s="2050"/>
      <c r="D16" s="2445"/>
      <c r="E16" s="2438"/>
    </row>
    <row r="17" spans="2:5" x14ac:dyDescent="0.35">
      <c r="B17" s="2441"/>
      <c r="C17" s="2050"/>
      <c r="D17" s="856"/>
      <c r="E17" s="2438"/>
    </row>
    <row r="18" spans="2:5" x14ac:dyDescent="0.35">
      <c r="B18" s="2439">
        <v>2202000000</v>
      </c>
      <c r="C18" s="2440" t="s">
        <v>947</v>
      </c>
      <c r="E18" s="2438"/>
    </row>
    <row r="19" spans="2:5" x14ac:dyDescent="0.35">
      <c r="B19" s="2441">
        <v>2202001000</v>
      </c>
      <c r="C19" s="2050" t="s">
        <v>948</v>
      </c>
      <c r="D19" s="2444">
        <f>'[4]ST 22 02 001'!G14</f>
        <v>350000</v>
      </c>
      <c r="E19" s="2589">
        <v>350000</v>
      </c>
    </row>
    <row r="20" spans="2:5" x14ac:dyDescent="0.35">
      <c r="B20" s="2441"/>
      <c r="C20" s="2050" t="s">
        <v>949</v>
      </c>
      <c r="D20" s="856"/>
      <c r="E20" s="2438"/>
    </row>
    <row r="21" spans="2:5" x14ac:dyDescent="0.35">
      <c r="B21" s="2441">
        <v>2202002000</v>
      </c>
      <c r="C21" s="2050" t="s">
        <v>950</v>
      </c>
      <c r="D21" s="2444">
        <f>'[4]ST 22 02 002'!G16</f>
        <v>276500</v>
      </c>
      <c r="E21" s="2589">
        <v>276500</v>
      </c>
    </row>
    <row r="22" spans="2:5" x14ac:dyDescent="0.35">
      <c r="B22" s="2441"/>
      <c r="C22" s="2050" t="s">
        <v>951</v>
      </c>
      <c r="D22" s="2445"/>
      <c r="E22" s="2438"/>
    </row>
    <row r="23" spans="2:5" x14ac:dyDescent="0.35">
      <c r="B23" s="2441"/>
      <c r="C23" s="2050" t="s">
        <v>952</v>
      </c>
      <c r="D23" s="2445"/>
      <c r="E23" s="2438"/>
    </row>
    <row r="24" spans="2:5" x14ac:dyDescent="0.35">
      <c r="B24" s="2441"/>
      <c r="C24" s="2050" t="s">
        <v>953</v>
      </c>
      <c r="D24" s="2445"/>
      <c r="E24" s="2438"/>
    </row>
    <row r="25" spans="2:5" x14ac:dyDescent="0.35">
      <c r="B25" s="2441">
        <v>2202003000</v>
      </c>
      <c r="C25" s="2050" t="s">
        <v>954</v>
      </c>
      <c r="D25" s="2444">
        <f>'[4]ST 22 02 003'!G14</f>
        <v>264000</v>
      </c>
      <c r="E25" s="2589">
        <v>264000</v>
      </c>
    </row>
    <row r="26" spans="2:5" x14ac:dyDescent="0.35">
      <c r="B26" s="2441"/>
      <c r="C26" s="2050" t="s">
        <v>955</v>
      </c>
      <c r="D26" s="856"/>
      <c r="E26" s="2438"/>
    </row>
    <row r="27" spans="2:5" x14ac:dyDescent="0.35">
      <c r="B27" s="2439">
        <v>2203000000</v>
      </c>
      <c r="C27" s="2440" t="s">
        <v>956</v>
      </c>
      <c r="E27" s="2438"/>
    </row>
    <row r="28" spans="2:5" x14ac:dyDescent="0.35">
      <c r="B28" s="2446">
        <v>2203001000</v>
      </c>
      <c r="C28" s="2447" t="s">
        <v>957</v>
      </c>
      <c r="E28" s="2438"/>
    </row>
    <row r="29" spans="2:5" x14ac:dyDescent="0.35">
      <c r="B29" s="2446">
        <v>2203002000</v>
      </c>
      <c r="C29" s="2447" t="s">
        <v>958</v>
      </c>
      <c r="E29" s="2438"/>
    </row>
    <row r="30" spans="2:5" x14ac:dyDescent="0.35">
      <c r="B30" s="2446">
        <v>2203003000</v>
      </c>
      <c r="C30" s="2447" t="s">
        <v>959</v>
      </c>
      <c r="E30" s="2438"/>
    </row>
    <row r="31" spans="2:5" x14ac:dyDescent="0.35">
      <c r="B31" s="2446">
        <v>2203999000</v>
      </c>
      <c r="C31" s="2447" t="s">
        <v>960</v>
      </c>
      <c r="E31" s="2438"/>
    </row>
    <row r="32" spans="2:5" x14ac:dyDescent="0.35">
      <c r="B32" s="2439">
        <v>2204000000</v>
      </c>
      <c r="C32" s="2440" t="s">
        <v>961</v>
      </c>
      <c r="E32" s="2438"/>
    </row>
    <row r="33" spans="2:5" x14ac:dyDescent="0.35">
      <c r="B33" s="2441">
        <v>2204001000</v>
      </c>
      <c r="C33" s="2050" t="s">
        <v>962</v>
      </c>
      <c r="D33" s="2444">
        <f>'[4]ST 22 04 001'!G29</f>
        <v>317310</v>
      </c>
      <c r="E33" s="2589">
        <v>317310</v>
      </c>
    </row>
    <row r="34" spans="2:5" x14ac:dyDescent="0.35">
      <c r="B34" s="2441"/>
      <c r="C34" s="2050" t="s">
        <v>963</v>
      </c>
      <c r="D34" s="856"/>
      <c r="E34" s="2438"/>
    </row>
    <row r="35" spans="2:5" x14ac:dyDescent="0.35">
      <c r="B35" s="2441">
        <v>2204002000</v>
      </c>
      <c r="C35" s="2050" t="s">
        <v>964</v>
      </c>
      <c r="E35" s="2438"/>
    </row>
    <row r="36" spans="2:5" x14ac:dyDescent="0.35">
      <c r="B36" s="2441">
        <v>2204003000</v>
      </c>
      <c r="C36" s="2050" t="s">
        <v>1232</v>
      </c>
      <c r="D36" s="2444"/>
      <c r="E36" s="2589">
        <f>3013031+552220</f>
        <v>3565251</v>
      </c>
    </row>
    <row r="37" spans="2:5" x14ac:dyDescent="0.35">
      <c r="B37" s="2441">
        <v>2204004000</v>
      </c>
      <c r="C37" s="2050" t="s">
        <v>965</v>
      </c>
      <c r="D37" s="2444">
        <f>'[4]ST 22 04 004'!G29</f>
        <v>160000</v>
      </c>
      <c r="E37" s="2589">
        <f>160000+108000</f>
        <v>268000</v>
      </c>
    </row>
    <row r="38" spans="2:5" x14ac:dyDescent="0.35">
      <c r="B38" s="2441"/>
      <c r="C38" s="2050" t="s">
        <v>1234</v>
      </c>
      <c r="D38" s="856"/>
      <c r="E38" s="2438"/>
    </row>
    <row r="39" spans="2:5" x14ac:dyDescent="0.35">
      <c r="B39" s="2441">
        <v>2204005000</v>
      </c>
      <c r="C39" s="2050" t="s">
        <v>966</v>
      </c>
      <c r="E39" s="2438"/>
    </row>
    <row r="40" spans="2:5" x14ac:dyDescent="0.35">
      <c r="B40" s="2441">
        <v>2204006000</v>
      </c>
      <c r="C40" s="2050" t="s">
        <v>967</v>
      </c>
      <c r="E40" s="2438"/>
    </row>
    <row r="41" spans="2:5" x14ac:dyDescent="0.35">
      <c r="B41" s="2441">
        <v>2204007000</v>
      </c>
      <c r="C41" s="2050" t="s">
        <v>968</v>
      </c>
      <c r="D41" s="2444">
        <f>'[4]ST 22 04 007'!G34</f>
        <v>3333500</v>
      </c>
      <c r="E41" s="2589">
        <v>3333500</v>
      </c>
    </row>
    <row r="42" spans="2:5" x14ac:dyDescent="0.35">
      <c r="B42" s="2441"/>
      <c r="C42" s="2050" t="s">
        <v>969</v>
      </c>
      <c r="D42" s="2444"/>
      <c r="E42" s="2438"/>
    </row>
    <row r="43" spans="2:5" x14ac:dyDescent="0.35">
      <c r="B43" s="2591"/>
      <c r="C43" s="2593" t="s">
        <v>1233</v>
      </c>
      <c r="D43" s="2444">
        <v>125190</v>
      </c>
      <c r="E43" s="2589">
        <f>D43</f>
        <v>125190</v>
      </c>
    </row>
    <row r="44" spans="2:5" x14ac:dyDescent="0.35">
      <c r="B44" s="2441">
        <v>2204008000</v>
      </c>
      <c r="C44" s="2050" t="s">
        <v>970</v>
      </c>
      <c r="D44" s="2444">
        <f>'[4]ST 22 04 008'!G29</f>
        <v>639480</v>
      </c>
      <c r="E44" s="2589">
        <v>639480</v>
      </c>
    </row>
    <row r="45" spans="2:5" x14ac:dyDescent="0.35">
      <c r="B45" s="2441"/>
      <c r="C45" s="2050" t="s">
        <v>971</v>
      </c>
      <c r="D45" s="2444"/>
      <c r="E45" s="2438"/>
    </row>
    <row r="46" spans="2:5" x14ac:dyDescent="0.35">
      <c r="B46" s="2441"/>
      <c r="C46" s="2050" t="s">
        <v>972</v>
      </c>
      <c r="D46" s="2444"/>
      <c r="E46" s="2438"/>
    </row>
    <row r="47" spans="2:5" x14ac:dyDescent="0.35">
      <c r="B47" s="2441">
        <v>2204009000</v>
      </c>
      <c r="C47" s="2050" t="s">
        <v>973</v>
      </c>
      <c r="E47" s="2438"/>
    </row>
    <row r="48" spans="2:5" x14ac:dyDescent="0.35">
      <c r="B48" s="2441">
        <v>2204010000</v>
      </c>
      <c r="C48" s="2050" t="s">
        <v>974</v>
      </c>
      <c r="D48" s="2444">
        <f>'[4]ST 22 04 010'!G29</f>
        <v>3692640</v>
      </c>
      <c r="E48" s="2589">
        <v>3692640</v>
      </c>
    </row>
    <row r="49" spans="2:5" x14ac:dyDescent="0.35">
      <c r="B49" s="2441"/>
      <c r="C49" s="2050" t="s">
        <v>975</v>
      </c>
      <c r="D49" s="2444"/>
      <c r="E49" s="2438"/>
    </row>
    <row r="50" spans="2:5" x14ac:dyDescent="0.35">
      <c r="B50" s="2441">
        <v>2204011000</v>
      </c>
      <c r="C50" s="2050" t="s">
        <v>976</v>
      </c>
      <c r="E50" s="2438"/>
    </row>
    <row r="51" spans="2:5" x14ac:dyDescent="0.35">
      <c r="B51" s="2441">
        <v>2204012000</v>
      </c>
      <c r="C51" s="2050" t="s">
        <v>977</v>
      </c>
      <c r="E51" s="2438"/>
    </row>
    <row r="52" spans="2:5" x14ac:dyDescent="0.35">
      <c r="B52" s="2441">
        <v>2204013000</v>
      </c>
      <c r="C52" s="2050" t="s">
        <v>978</v>
      </c>
      <c r="E52" s="2438"/>
    </row>
    <row r="53" spans="2:5" x14ac:dyDescent="0.35">
      <c r="B53" s="2441">
        <v>2204014000</v>
      </c>
      <c r="C53" s="2050" t="s">
        <v>979</v>
      </c>
      <c r="E53" s="2438"/>
    </row>
    <row r="54" spans="2:5" x14ac:dyDescent="0.35">
      <c r="B54" s="2441">
        <v>2204015000</v>
      </c>
      <c r="C54" s="2050" t="s">
        <v>980</v>
      </c>
      <c r="E54" s="2438"/>
    </row>
    <row r="55" spans="2:5" x14ac:dyDescent="0.35">
      <c r="B55" s="2441">
        <v>2204016000</v>
      </c>
      <c r="C55" s="2050" t="s">
        <v>981</v>
      </c>
      <c r="E55" s="2438"/>
    </row>
    <row r="56" spans="2:5" x14ac:dyDescent="0.35">
      <c r="B56" s="2441">
        <v>2204999000</v>
      </c>
      <c r="C56" s="2050" t="s">
        <v>982</v>
      </c>
      <c r="E56" s="2438"/>
    </row>
    <row r="57" spans="2:5" x14ac:dyDescent="0.35">
      <c r="B57" s="2441">
        <v>2204999002</v>
      </c>
      <c r="C57" s="2050" t="s">
        <v>983</v>
      </c>
      <c r="E57" s="2438"/>
    </row>
    <row r="58" spans="2:5" x14ac:dyDescent="0.35">
      <c r="B58" s="2441">
        <v>2204999004</v>
      </c>
      <c r="C58" s="2050" t="s">
        <v>984</v>
      </c>
      <c r="E58" s="2438"/>
    </row>
    <row r="59" spans="2:5" x14ac:dyDescent="0.35">
      <c r="B59" s="2439">
        <v>2205000000</v>
      </c>
      <c r="C59" s="2440" t="s">
        <v>985</v>
      </c>
      <c r="E59" s="2438"/>
    </row>
    <row r="60" spans="2:5" x14ac:dyDescent="0.35">
      <c r="B60" s="2441">
        <v>2205001000</v>
      </c>
      <c r="C60" s="2050" t="s">
        <v>321</v>
      </c>
      <c r="D60" s="1869"/>
      <c r="E60" s="2589">
        <v>11267973</v>
      </c>
    </row>
    <row r="61" spans="2:5" x14ac:dyDescent="0.35">
      <c r="B61" s="2441">
        <v>2205002000</v>
      </c>
      <c r="C61" s="2050" t="s">
        <v>986</v>
      </c>
      <c r="D61" s="1869"/>
      <c r="E61" s="2589">
        <v>11500000</v>
      </c>
    </row>
    <row r="62" spans="2:5" x14ac:dyDescent="0.35">
      <c r="B62" s="2441">
        <v>2205003000</v>
      </c>
      <c r="C62" s="2050" t="s">
        <v>322</v>
      </c>
      <c r="E62" s="2589">
        <v>2437948</v>
      </c>
    </row>
    <row r="63" spans="2:5" x14ac:dyDescent="0.35">
      <c r="B63" s="2441">
        <v>2205004000</v>
      </c>
      <c r="C63" s="2050" t="s">
        <v>987</v>
      </c>
      <c r="E63" s="2438"/>
    </row>
    <row r="64" spans="2:5" x14ac:dyDescent="0.35">
      <c r="B64" s="2441">
        <v>2205005000</v>
      </c>
      <c r="C64" s="2050" t="s">
        <v>988</v>
      </c>
      <c r="E64" s="2438"/>
    </row>
    <row r="65" spans="2:5" x14ac:dyDescent="0.35">
      <c r="B65" s="2441">
        <v>2205006000</v>
      </c>
      <c r="C65" s="2050" t="s">
        <v>989</v>
      </c>
      <c r="E65" s="2589">
        <f>22000*12</f>
        <v>264000</v>
      </c>
    </row>
    <row r="66" spans="2:5" x14ac:dyDescent="0.35">
      <c r="B66" s="2441">
        <v>2205007000</v>
      </c>
      <c r="C66" s="2050" t="s">
        <v>990</v>
      </c>
      <c r="E66" s="2589">
        <v>4320000</v>
      </c>
    </row>
    <row r="67" spans="2:5" x14ac:dyDescent="0.35">
      <c r="B67" s="2441">
        <v>2205008000</v>
      </c>
      <c r="C67" s="2050" t="s">
        <v>991</v>
      </c>
      <c r="D67" s="1869">
        <v>1180000</v>
      </c>
      <c r="E67" s="2589">
        <v>1180000</v>
      </c>
    </row>
    <row r="68" spans="2:5" x14ac:dyDescent="0.35">
      <c r="B68" s="2441">
        <v>2205999000</v>
      </c>
      <c r="C68" s="2050" t="s">
        <v>992</v>
      </c>
      <c r="E68" s="2438"/>
    </row>
    <row r="69" spans="2:5" x14ac:dyDescent="0.35">
      <c r="B69" s="2439">
        <v>2206000000</v>
      </c>
      <c r="C69" s="2440" t="s">
        <v>993</v>
      </c>
      <c r="E69" s="2438"/>
    </row>
    <row r="70" spans="2:5" x14ac:dyDescent="0.35">
      <c r="B70" s="2441">
        <v>2206001000</v>
      </c>
      <c r="C70" s="2050" t="s">
        <v>994</v>
      </c>
      <c r="E70" s="2438"/>
    </row>
    <row r="71" spans="2:5" x14ac:dyDescent="0.35">
      <c r="B71" s="2441">
        <v>2206002000</v>
      </c>
      <c r="C71" s="2050" t="s">
        <v>995</v>
      </c>
      <c r="E71" s="2438"/>
    </row>
    <row r="72" spans="2:5" x14ac:dyDescent="0.35">
      <c r="B72" s="2441">
        <v>2206003000</v>
      </c>
      <c r="C72" s="2050" t="s">
        <v>996</v>
      </c>
      <c r="E72" s="2438"/>
    </row>
    <row r="73" spans="2:5" x14ac:dyDescent="0.35">
      <c r="B73" s="2441">
        <v>2206004000</v>
      </c>
      <c r="C73" s="2050" t="s">
        <v>997</v>
      </c>
      <c r="E73" s="2438"/>
    </row>
    <row r="74" spans="2:5" x14ac:dyDescent="0.35">
      <c r="B74" s="2441">
        <v>2206005000</v>
      </c>
      <c r="C74" s="2050" t="s">
        <v>998</v>
      </c>
      <c r="E74" s="2438"/>
    </row>
    <row r="75" spans="2:5" x14ac:dyDescent="0.35">
      <c r="B75" s="2441">
        <v>2206006000</v>
      </c>
      <c r="C75" s="2050" t="s">
        <v>999</v>
      </c>
      <c r="E75" s="2438"/>
    </row>
    <row r="76" spans="2:5" x14ac:dyDescent="0.35">
      <c r="B76" s="2441">
        <v>2206007000</v>
      </c>
      <c r="C76" s="2050" t="s">
        <v>1000</v>
      </c>
      <c r="E76" s="2438"/>
    </row>
    <row r="77" spans="2:5" x14ac:dyDescent="0.35">
      <c r="B77" s="2441">
        <v>2206999000</v>
      </c>
      <c r="C77" s="2050" t="s">
        <v>1001</v>
      </c>
      <c r="E77" s="2438"/>
    </row>
    <row r="78" spans="2:5" x14ac:dyDescent="0.35">
      <c r="B78" s="2439">
        <v>2207000000</v>
      </c>
      <c r="C78" s="2440" t="s">
        <v>1002</v>
      </c>
      <c r="E78" s="2438"/>
    </row>
    <row r="79" spans="2:5" x14ac:dyDescent="0.35">
      <c r="B79" s="2441">
        <v>2207001000</v>
      </c>
      <c r="C79" s="2050" t="s">
        <v>1003</v>
      </c>
      <c r="E79" s="2438"/>
    </row>
    <row r="80" spans="2:5" x14ac:dyDescent="0.35">
      <c r="B80" s="2441">
        <v>2207002000</v>
      </c>
      <c r="C80" s="2050" t="s">
        <v>1004</v>
      </c>
      <c r="E80" s="2438"/>
    </row>
    <row r="81" spans="2:7" x14ac:dyDescent="0.35">
      <c r="B81" s="2441">
        <v>2207003000</v>
      </c>
      <c r="C81" s="2050" t="s">
        <v>1005</v>
      </c>
      <c r="E81" s="2438"/>
    </row>
    <row r="82" spans="2:7" x14ac:dyDescent="0.35">
      <c r="B82" s="2441">
        <v>2207999000</v>
      </c>
      <c r="C82" s="2050" t="s">
        <v>1006</v>
      </c>
      <c r="E82" s="2438"/>
    </row>
    <row r="83" spans="2:7" x14ac:dyDescent="0.35">
      <c r="B83" s="2439">
        <v>2208000000</v>
      </c>
      <c r="C83" s="2440" t="s">
        <v>1007</v>
      </c>
      <c r="E83" s="2438"/>
    </row>
    <row r="84" spans="2:7" x14ac:dyDescent="0.35">
      <c r="B84" s="2441">
        <v>2208001000</v>
      </c>
      <c r="C84" s="2050" t="s">
        <v>1008</v>
      </c>
      <c r="E84" s="2438"/>
    </row>
    <row r="85" spans="2:7" x14ac:dyDescent="0.35">
      <c r="B85" s="2441">
        <v>2208002000</v>
      </c>
      <c r="C85" s="2050" t="s">
        <v>1009</v>
      </c>
      <c r="E85" s="2438"/>
    </row>
    <row r="86" spans="2:7" x14ac:dyDescent="0.35">
      <c r="B86" s="2441">
        <v>2208003000</v>
      </c>
      <c r="C86" s="2050" t="s">
        <v>1010</v>
      </c>
      <c r="E86" s="2438"/>
    </row>
    <row r="87" spans="2:7" x14ac:dyDescent="0.35">
      <c r="B87" s="2441">
        <v>2208007000</v>
      </c>
      <c r="C87" s="2050" t="s">
        <v>1011</v>
      </c>
      <c r="E87" s="2438"/>
    </row>
    <row r="88" spans="2:7" x14ac:dyDescent="0.35">
      <c r="B88" s="2441">
        <v>2208008000</v>
      </c>
      <c r="C88" s="2050" t="s">
        <v>1012</v>
      </c>
      <c r="E88" s="2438"/>
    </row>
    <row r="89" spans="2:7" x14ac:dyDescent="0.35">
      <c r="B89" s="2441">
        <v>2208009000</v>
      </c>
      <c r="C89" s="2050" t="s">
        <v>1013</v>
      </c>
      <c r="E89" s="2438"/>
    </row>
    <row r="90" spans="2:7" x14ac:dyDescent="0.35">
      <c r="B90" s="2441">
        <v>2208010000</v>
      </c>
      <c r="C90" s="2050" t="s">
        <v>1014</v>
      </c>
      <c r="E90" s="2438"/>
    </row>
    <row r="91" spans="2:7" x14ac:dyDescent="0.35">
      <c r="B91" s="2441">
        <v>2208011000</v>
      </c>
      <c r="C91" s="2050" t="s">
        <v>1015</v>
      </c>
      <c r="E91" s="2438"/>
    </row>
    <row r="92" spans="2:7" x14ac:dyDescent="0.35">
      <c r="B92" s="2441">
        <v>2208999000</v>
      </c>
      <c r="C92" s="2050" t="s">
        <v>1016</v>
      </c>
      <c r="D92" s="2444">
        <f>SUM(D93:D96)</f>
        <v>6750000</v>
      </c>
      <c r="E92" s="2589">
        <f>D92</f>
        <v>6750000</v>
      </c>
    </row>
    <row r="93" spans="2:7" x14ac:dyDescent="0.35">
      <c r="B93" s="2441"/>
      <c r="C93" s="2050" t="s">
        <v>1017</v>
      </c>
      <c r="D93" s="2438">
        <f>2*1100000</f>
        <v>2200000</v>
      </c>
      <c r="E93" s="2438"/>
      <c r="F93" s="2448"/>
      <c r="G93" s="2448"/>
    </row>
    <row r="94" spans="2:7" x14ac:dyDescent="0.35">
      <c r="B94" s="2441"/>
      <c r="C94" s="2050" t="s">
        <v>1018</v>
      </c>
      <c r="D94" s="2438">
        <f>2*1500000</f>
        <v>3000000</v>
      </c>
      <c r="E94" s="2438"/>
      <c r="F94" s="2448"/>
      <c r="G94" s="2448"/>
    </row>
    <row r="95" spans="2:7" x14ac:dyDescent="0.35">
      <c r="B95" s="2441"/>
      <c r="C95" s="2050" t="s">
        <v>1020</v>
      </c>
      <c r="D95" s="2438">
        <v>150000</v>
      </c>
      <c r="E95" s="2438"/>
      <c r="F95" s="2448"/>
      <c r="G95" s="2448"/>
    </row>
    <row r="96" spans="2:7" x14ac:dyDescent="0.35">
      <c r="B96" s="2591"/>
      <c r="C96" s="2050" t="s">
        <v>1019</v>
      </c>
      <c r="D96" s="2438">
        <v>1400000</v>
      </c>
      <c r="E96" s="2589"/>
      <c r="F96" s="2448"/>
      <c r="G96" s="2448"/>
    </row>
    <row r="97" spans="2:7" x14ac:dyDescent="0.35">
      <c r="B97" s="2441"/>
      <c r="F97" s="2448"/>
      <c r="G97" s="2448"/>
    </row>
    <row r="98" spans="2:7" x14ac:dyDescent="0.35">
      <c r="B98" s="2439">
        <v>2209000000</v>
      </c>
      <c r="C98" s="2440" t="s">
        <v>1021</v>
      </c>
      <c r="E98" s="2438"/>
    </row>
    <row r="99" spans="2:7" x14ac:dyDescent="0.35">
      <c r="B99" s="2441">
        <v>2209002000</v>
      </c>
      <c r="C99" s="2050" t="s">
        <v>1022</v>
      </c>
      <c r="E99" s="2438"/>
    </row>
    <row r="100" spans="2:7" x14ac:dyDescent="0.35">
      <c r="B100" s="2441">
        <v>2209003000</v>
      </c>
      <c r="C100" s="2050" t="s">
        <v>1023</v>
      </c>
      <c r="E100" s="2438"/>
    </row>
    <row r="101" spans="2:7" x14ac:dyDescent="0.35">
      <c r="B101" s="2441">
        <v>2209004000</v>
      </c>
      <c r="C101" s="2050" t="s">
        <v>1024</v>
      </c>
      <c r="E101" s="2438"/>
    </row>
    <row r="102" spans="2:7" x14ac:dyDescent="0.35">
      <c r="B102" s="2441">
        <v>2209005000</v>
      </c>
      <c r="C102" s="2050" t="s">
        <v>1025</v>
      </c>
      <c r="E102" s="2438"/>
    </row>
    <row r="103" spans="2:7" x14ac:dyDescent="0.35">
      <c r="B103" s="2441">
        <v>2209006000</v>
      </c>
      <c r="C103" s="2050" t="s">
        <v>1026</v>
      </c>
      <c r="E103" s="2438"/>
    </row>
    <row r="104" spans="2:7" x14ac:dyDescent="0.35">
      <c r="B104" s="2441">
        <v>2209999000</v>
      </c>
      <c r="C104" s="2050" t="s">
        <v>1027</v>
      </c>
      <c r="E104" s="2438"/>
    </row>
    <row r="105" spans="2:7" x14ac:dyDescent="0.35">
      <c r="B105" s="2439">
        <v>2210000000</v>
      </c>
      <c r="C105" s="2440" t="s">
        <v>1028</v>
      </c>
      <c r="E105" s="2438"/>
    </row>
    <row r="106" spans="2:7" x14ac:dyDescent="0.35">
      <c r="B106" s="2441">
        <v>2210002000</v>
      </c>
      <c r="C106" s="2050" t="s">
        <v>1029</v>
      </c>
      <c r="E106" s="2438"/>
    </row>
    <row r="107" spans="2:7" x14ac:dyDescent="0.35">
      <c r="B107" s="2441">
        <v>2210003000</v>
      </c>
      <c r="C107" s="2050" t="s">
        <v>1030</v>
      </c>
      <c r="E107" s="2438"/>
    </row>
    <row r="108" spans="2:7" x14ac:dyDescent="0.35">
      <c r="B108" s="2441">
        <v>2210004000</v>
      </c>
      <c r="C108" s="2050" t="s">
        <v>1031</v>
      </c>
      <c r="E108" s="2438"/>
    </row>
    <row r="109" spans="2:7" x14ac:dyDescent="0.35">
      <c r="B109" s="2441">
        <v>2210999000</v>
      </c>
      <c r="C109" s="2050" t="s">
        <v>1032</v>
      </c>
      <c r="E109" s="2438"/>
    </row>
    <row r="110" spans="2:7" x14ac:dyDescent="0.35">
      <c r="B110" s="2439">
        <v>2211000000</v>
      </c>
      <c r="C110" s="2440" t="s">
        <v>1033</v>
      </c>
      <c r="E110" s="2438"/>
    </row>
    <row r="111" spans="2:7" x14ac:dyDescent="0.35">
      <c r="B111" s="2441">
        <v>2211001000</v>
      </c>
      <c r="C111" s="2050" t="s">
        <v>1034</v>
      </c>
      <c r="E111" s="2438"/>
    </row>
    <row r="112" spans="2:7" x14ac:dyDescent="0.35">
      <c r="B112" s="2441">
        <v>2211002000</v>
      </c>
      <c r="C112" s="2050" t="s">
        <v>1035</v>
      </c>
      <c r="E112" s="2438"/>
    </row>
    <row r="113" spans="2:5" x14ac:dyDescent="0.35">
      <c r="B113" s="2441">
        <v>2211003000</v>
      </c>
      <c r="C113" s="2050" t="s">
        <v>1036</v>
      </c>
      <c r="E113" s="2438"/>
    </row>
    <row r="114" spans="2:5" x14ac:dyDescent="0.35">
      <c r="B114" s="2441">
        <v>2211999000</v>
      </c>
      <c r="C114" s="2050" t="s">
        <v>1037</v>
      </c>
      <c r="E114" s="2438"/>
    </row>
    <row r="115" spans="2:5" x14ac:dyDescent="0.35">
      <c r="B115" s="2439">
        <v>2212000000</v>
      </c>
      <c r="C115" s="2440" t="s">
        <v>1038</v>
      </c>
      <c r="E115" s="2438"/>
    </row>
    <row r="116" spans="2:5" x14ac:dyDescent="0.35">
      <c r="B116" s="2441">
        <v>2212002000</v>
      </c>
      <c r="C116" s="2050" t="s">
        <v>1039</v>
      </c>
      <c r="D116" s="856"/>
      <c r="E116" s="2589">
        <v>6006660</v>
      </c>
    </row>
    <row r="117" spans="2:5" x14ac:dyDescent="0.35">
      <c r="B117" s="2441"/>
      <c r="C117" s="2050" t="s">
        <v>1040</v>
      </c>
      <c r="D117" s="856"/>
      <c r="E117" s="2438"/>
    </row>
    <row r="118" spans="2:5" x14ac:dyDescent="0.35">
      <c r="B118" s="2441">
        <v>2212003000</v>
      </c>
      <c r="C118" s="2050" t="s">
        <v>1041</v>
      </c>
      <c r="E118" s="2438"/>
    </row>
    <row r="119" spans="2:5" x14ac:dyDescent="0.35">
      <c r="B119" s="2441">
        <v>2212004000</v>
      </c>
      <c r="C119" s="2050" t="s">
        <v>1042</v>
      </c>
      <c r="E119" s="2438"/>
    </row>
    <row r="120" spans="2:5" x14ac:dyDescent="0.35">
      <c r="B120" s="2446">
        <v>2212005000</v>
      </c>
      <c r="C120" s="2447" t="s">
        <v>1043</v>
      </c>
      <c r="E120" s="2438"/>
    </row>
    <row r="121" spans="2:5" x14ac:dyDescent="0.35">
      <c r="B121" s="2446">
        <v>2212006000</v>
      </c>
      <c r="C121" s="2447" t="s">
        <v>1044</v>
      </c>
      <c r="E121" s="2438"/>
    </row>
    <row r="122" spans="2:5" x14ac:dyDescent="0.35">
      <c r="B122" s="2446">
        <v>2212999000</v>
      </c>
      <c r="C122" s="2447" t="s">
        <v>1038</v>
      </c>
      <c r="E122" s="2438"/>
    </row>
    <row r="123" spans="2:5" x14ac:dyDescent="0.35">
      <c r="E123" s="2438"/>
    </row>
    <row r="124" spans="2:5" x14ac:dyDescent="0.35">
      <c r="D124" s="1869"/>
    </row>
    <row r="126" spans="2:5" x14ac:dyDescent="0.35">
      <c r="B126" s="2084">
        <v>53206060000000</v>
      </c>
      <c r="C126" s="2089" t="s">
        <v>166</v>
      </c>
      <c r="D126" s="2088">
        <f>SUM(D127:D131)</f>
        <v>2762000</v>
      </c>
      <c r="E126" s="2067">
        <f>D126*5%+D126</f>
        <v>2900100</v>
      </c>
    </row>
    <row r="127" spans="2:5" x14ac:dyDescent="0.35">
      <c r="B127" s="2078">
        <v>15</v>
      </c>
      <c r="C127" s="2100" t="s">
        <v>1231</v>
      </c>
      <c r="D127" s="1995">
        <v>2500000</v>
      </c>
      <c r="E127" s="2051"/>
    </row>
    <row r="128" spans="2:5" x14ac:dyDescent="0.35">
      <c r="B128" s="2450">
        <v>1</v>
      </c>
      <c r="C128" s="2451" t="s">
        <v>639</v>
      </c>
      <c r="D128" s="2414">
        <v>192000</v>
      </c>
      <c r="E128" s="2051"/>
    </row>
    <row r="129" spans="2:5" x14ac:dyDescent="0.35">
      <c r="B129" s="2078"/>
      <c r="C129" s="2100" t="s">
        <v>1045</v>
      </c>
      <c r="D129" s="1995">
        <v>70000</v>
      </c>
      <c r="E129" s="2051"/>
    </row>
    <row r="130" spans="2:5" x14ac:dyDescent="0.35">
      <c r="E130" s="2051"/>
    </row>
    <row r="132" spans="2:5" x14ac:dyDescent="0.35">
      <c r="B132" s="2078"/>
      <c r="C132" s="2050" t="s">
        <v>1046</v>
      </c>
      <c r="D132" s="2435">
        <v>800000</v>
      </c>
    </row>
    <row r="134" spans="2:5" x14ac:dyDescent="0.35">
      <c r="E134" s="2438"/>
    </row>
    <row r="135" spans="2:5" x14ac:dyDescent="0.35">
      <c r="E135" s="2592">
        <f>SUM(E3:E126)</f>
        <v>60682552</v>
      </c>
    </row>
  </sheetData>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87"/>
  <sheetViews>
    <sheetView workbookViewId="0">
      <selection activeCell="L21" sqref="L21"/>
    </sheetView>
  </sheetViews>
  <sheetFormatPr baseColWidth="10" defaultRowHeight="14.5" x14ac:dyDescent="0.35"/>
  <cols>
    <col min="1" max="1" width="13" bestFit="1" customWidth="1"/>
    <col min="2" max="2" width="55.81640625" bestFit="1" customWidth="1"/>
    <col min="3" max="3" width="14.54296875" customWidth="1"/>
    <col min="5" max="5" width="12.26953125" bestFit="1" customWidth="1"/>
  </cols>
  <sheetData>
    <row r="1" spans="1:6" x14ac:dyDescent="0.35">
      <c r="A1" s="1982" t="s">
        <v>531</v>
      </c>
      <c r="B1" s="1983" t="s">
        <v>113</v>
      </c>
      <c r="C1" s="2383" t="s">
        <v>857</v>
      </c>
      <c r="D1" s="1984" t="s">
        <v>581</v>
      </c>
      <c r="E1" s="2384" t="s">
        <v>858</v>
      </c>
      <c r="F1">
        <v>1.05</v>
      </c>
    </row>
    <row r="2" spans="1:6" x14ac:dyDescent="0.35">
      <c r="A2" s="2055">
        <v>53201010100000</v>
      </c>
      <c r="B2" s="2385" t="s">
        <v>534</v>
      </c>
      <c r="C2" s="2386"/>
      <c r="D2" s="2057"/>
      <c r="E2" s="2058">
        <f>+D3*F1</f>
        <v>341250</v>
      </c>
    </row>
    <row r="3" spans="1:6" x14ac:dyDescent="0.35">
      <c r="A3" s="1997">
        <v>50</v>
      </c>
      <c r="B3" s="2060" t="s">
        <v>859</v>
      </c>
      <c r="C3" s="1995">
        <v>6500</v>
      </c>
      <c r="D3" s="1995">
        <f>C3*A3</f>
        <v>325000</v>
      </c>
      <c r="E3" s="2051"/>
    </row>
    <row r="4" spans="1:6" x14ac:dyDescent="0.35">
      <c r="A4" s="2061">
        <v>53202010100000</v>
      </c>
      <c r="B4" s="2300" t="s">
        <v>115</v>
      </c>
      <c r="C4" s="2387"/>
      <c r="D4" s="2057">
        <f>SUM(D5:D19)</f>
        <v>1033090</v>
      </c>
      <c r="E4" s="2058">
        <f>D4*F1</f>
        <v>1084744.5</v>
      </c>
    </row>
    <row r="5" spans="1:6" x14ac:dyDescent="0.35">
      <c r="A5" s="1997">
        <v>2</v>
      </c>
      <c r="B5" s="2301" t="s">
        <v>860</v>
      </c>
      <c r="C5" s="2035">
        <v>22000</v>
      </c>
      <c r="D5" s="1995">
        <f t="shared" ref="D5:D18" si="0">C5*A5</f>
        <v>44000</v>
      </c>
      <c r="E5" s="2051"/>
    </row>
    <row r="6" spans="1:6" x14ac:dyDescent="0.35">
      <c r="A6" s="1997">
        <v>8</v>
      </c>
      <c r="B6" s="2301" t="s">
        <v>861</v>
      </c>
      <c r="C6" s="2035">
        <v>19000</v>
      </c>
      <c r="D6" s="1995">
        <f t="shared" si="0"/>
        <v>152000</v>
      </c>
      <c r="E6" s="2051"/>
    </row>
    <row r="7" spans="1:6" x14ac:dyDescent="0.35">
      <c r="A7" s="1997">
        <v>6</v>
      </c>
      <c r="B7" s="2301" t="s">
        <v>862</v>
      </c>
      <c r="C7" s="2035">
        <v>6000</v>
      </c>
      <c r="D7" s="1995">
        <f t="shared" si="0"/>
        <v>36000</v>
      </c>
      <c r="E7" s="2051"/>
    </row>
    <row r="8" spans="1:6" x14ac:dyDescent="0.35">
      <c r="A8" s="1997">
        <v>2</v>
      </c>
      <c r="B8" s="2301" t="s">
        <v>863</v>
      </c>
      <c r="C8" s="2035">
        <v>25000</v>
      </c>
      <c r="D8" s="1995">
        <f t="shared" si="0"/>
        <v>50000</v>
      </c>
      <c r="E8" s="2051"/>
    </row>
    <row r="9" spans="1:6" x14ac:dyDescent="0.35">
      <c r="A9" s="1997">
        <v>4</v>
      </c>
      <c r="B9" s="2301" t="s">
        <v>864</v>
      </c>
      <c r="C9" s="2035">
        <v>22000</v>
      </c>
      <c r="D9" s="1995">
        <f t="shared" si="0"/>
        <v>88000</v>
      </c>
      <c r="E9" s="2051"/>
    </row>
    <row r="10" spans="1:6" x14ac:dyDescent="0.35">
      <c r="A10" s="1997">
        <v>2</v>
      </c>
      <c r="B10" s="2301" t="s">
        <v>865</v>
      </c>
      <c r="C10" s="2035">
        <v>20000</v>
      </c>
      <c r="D10" s="1995">
        <f t="shared" si="0"/>
        <v>40000</v>
      </c>
      <c r="E10" s="2051"/>
    </row>
    <row r="11" spans="1:6" x14ac:dyDescent="0.35">
      <c r="A11" s="1997">
        <v>8</v>
      </c>
      <c r="B11" s="2388" t="s">
        <v>866</v>
      </c>
      <c r="C11" s="2035">
        <v>15000</v>
      </c>
      <c r="D11" s="1995">
        <f t="shared" si="0"/>
        <v>120000</v>
      </c>
      <c r="E11" s="2051"/>
    </row>
    <row r="12" spans="1:6" x14ac:dyDescent="0.35">
      <c r="A12" s="2389">
        <v>18</v>
      </c>
      <c r="B12" s="2390" t="s">
        <v>867</v>
      </c>
      <c r="C12" s="2137">
        <v>12705</v>
      </c>
      <c r="D12" s="2138">
        <f t="shared" si="0"/>
        <v>228690</v>
      </c>
      <c r="E12" s="2051"/>
    </row>
    <row r="13" spans="1:6" x14ac:dyDescent="0.35">
      <c r="A13" s="2099">
        <v>6</v>
      </c>
      <c r="B13" s="2390" t="s">
        <v>868</v>
      </c>
      <c r="C13" s="2137">
        <v>4400</v>
      </c>
      <c r="D13" s="2138">
        <f t="shared" si="0"/>
        <v>26400</v>
      </c>
      <c r="E13" s="2051"/>
    </row>
    <row r="14" spans="1:6" x14ac:dyDescent="0.35">
      <c r="A14" s="2391">
        <v>4</v>
      </c>
      <c r="B14" s="2392" t="s">
        <v>869</v>
      </c>
      <c r="C14" s="2137">
        <v>15000</v>
      </c>
      <c r="D14" s="2138">
        <f t="shared" si="0"/>
        <v>60000</v>
      </c>
      <c r="E14" s="2051"/>
    </row>
    <row r="15" spans="1:6" x14ac:dyDescent="0.35">
      <c r="A15" s="2391">
        <v>1</v>
      </c>
      <c r="B15" s="2392" t="s">
        <v>870</v>
      </c>
      <c r="C15" s="2137">
        <v>40000</v>
      </c>
      <c r="D15" s="2138">
        <f t="shared" si="0"/>
        <v>40000</v>
      </c>
      <c r="E15" s="2051"/>
    </row>
    <row r="16" spans="1:6" x14ac:dyDescent="0.35">
      <c r="A16" s="2391">
        <v>1</v>
      </c>
      <c r="B16" s="2392" t="s">
        <v>871</v>
      </c>
      <c r="C16" s="2137">
        <v>23000</v>
      </c>
      <c r="D16" s="2138">
        <f t="shared" si="0"/>
        <v>23000</v>
      </c>
      <c r="E16" s="2051"/>
    </row>
    <row r="17" spans="1:5" x14ac:dyDescent="0.35">
      <c r="A17" s="2391">
        <v>8</v>
      </c>
      <c r="B17" s="2392" t="s">
        <v>872</v>
      </c>
      <c r="C17" s="2137">
        <v>10000</v>
      </c>
      <c r="D17" s="2138">
        <f t="shared" si="0"/>
        <v>80000</v>
      </c>
      <c r="E17" s="2051"/>
    </row>
    <row r="18" spans="1:5" x14ac:dyDescent="0.35">
      <c r="A18" s="2391">
        <v>3</v>
      </c>
      <c r="B18" s="2392" t="s">
        <v>873</v>
      </c>
      <c r="C18" s="2137">
        <v>15000</v>
      </c>
      <c r="D18" s="2138">
        <f t="shared" si="0"/>
        <v>45000</v>
      </c>
      <c r="E18" s="2051"/>
    </row>
    <row r="19" spans="1:5" x14ac:dyDescent="0.35">
      <c r="A19" s="2393"/>
      <c r="B19" s="2394"/>
      <c r="C19" s="2393"/>
      <c r="D19" s="2395"/>
      <c r="E19" s="2051"/>
    </row>
    <row r="20" spans="1:5" x14ac:dyDescent="0.35">
      <c r="A20" s="2064">
        <v>53203010100000</v>
      </c>
      <c r="B20" s="2396" t="s">
        <v>116</v>
      </c>
      <c r="C20" s="2397"/>
      <c r="D20" s="2398">
        <f>SUM(D21:D21)</f>
        <v>0</v>
      </c>
      <c r="E20" s="2399">
        <f>D20*5%+D20</f>
        <v>0</v>
      </c>
    </row>
    <row r="21" spans="1:5" x14ac:dyDescent="0.35">
      <c r="A21" s="2068"/>
      <c r="B21" s="2400"/>
      <c r="C21" s="2401"/>
      <c r="D21" s="2138"/>
      <c r="E21" s="2070"/>
    </row>
    <row r="22" spans="1:5" x14ac:dyDescent="0.35">
      <c r="A22" s="2402">
        <v>53204030000000</v>
      </c>
      <c r="B22" s="2403" t="s">
        <v>118</v>
      </c>
      <c r="C22" s="2387"/>
      <c r="D22" s="2057">
        <v>743315</v>
      </c>
      <c r="E22" s="2057">
        <f>D22*F1</f>
        <v>780480.75</v>
      </c>
    </row>
    <row r="23" spans="1:5" x14ac:dyDescent="0.35">
      <c r="A23" s="2404"/>
      <c r="B23" s="2405"/>
      <c r="C23" s="2406"/>
      <c r="D23" s="2407"/>
      <c r="E23" s="2051"/>
    </row>
    <row r="24" spans="1:5" x14ac:dyDescent="0.35">
      <c r="A24" s="2408">
        <v>53204100100001</v>
      </c>
      <c r="B24" s="2409" t="s">
        <v>119</v>
      </c>
      <c r="C24" s="2387"/>
      <c r="D24" s="2057">
        <f>SUM(D25:D27)</f>
        <v>450000</v>
      </c>
      <c r="E24" s="2058">
        <f>D24*F1</f>
        <v>472500</v>
      </c>
    </row>
    <row r="25" spans="1:5" x14ac:dyDescent="0.35">
      <c r="A25" s="1997">
        <v>1</v>
      </c>
      <c r="B25" s="2410" t="s">
        <v>874</v>
      </c>
      <c r="C25" s="2100"/>
      <c r="D25" s="1995">
        <v>300000</v>
      </c>
      <c r="E25" s="2070"/>
    </row>
    <row r="26" spans="1:5" x14ac:dyDescent="0.35">
      <c r="A26" s="1997">
        <v>1</v>
      </c>
      <c r="B26" s="2299" t="s">
        <v>875</v>
      </c>
      <c r="C26" s="2100"/>
      <c r="D26" s="1995">
        <v>150000</v>
      </c>
      <c r="E26" s="2051"/>
    </row>
    <row r="27" spans="1:5" x14ac:dyDescent="0.35">
      <c r="A27" s="1997"/>
      <c r="B27" s="2299"/>
      <c r="C27" s="2100"/>
      <c r="D27" s="1995"/>
      <c r="E27" s="2051"/>
    </row>
    <row r="28" spans="1:5" x14ac:dyDescent="0.35">
      <c r="A28" s="2061">
        <v>53204130100000</v>
      </c>
      <c r="B28" s="2300" t="s">
        <v>120</v>
      </c>
      <c r="C28" s="2387"/>
      <c r="D28" s="2058">
        <f>SUM(D29:D31)</f>
        <v>180000</v>
      </c>
      <c r="E28" s="2058">
        <f>D28*F1</f>
        <v>189000</v>
      </c>
    </row>
    <row r="29" spans="1:5" x14ac:dyDescent="0.35">
      <c r="A29" s="1997">
        <v>2</v>
      </c>
      <c r="B29" s="2301" t="s">
        <v>876</v>
      </c>
      <c r="C29" s="2035"/>
      <c r="D29" s="1995">
        <f>2*50000</f>
        <v>100000</v>
      </c>
      <c r="E29" s="2051"/>
    </row>
    <row r="30" spans="1:5" x14ac:dyDescent="0.35">
      <c r="A30" s="2411">
        <v>2</v>
      </c>
      <c r="B30" s="2412" t="s">
        <v>877</v>
      </c>
      <c r="C30" s="2082"/>
      <c r="D30" s="1995">
        <f>A30*15000</f>
        <v>30000</v>
      </c>
      <c r="E30" s="2051"/>
    </row>
    <row r="31" spans="1:5" x14ac:dyDescent="0.35">
      <c r="A31" s="1997">
        <v>2</v>
      </c>
      <c r="B31" s="2301" t="s">
        <v>606</v>
      </c>
      <c r="C31" s="2035"/>
      <c r="D31" s="1995">
        <f>A31*25000</f>
        <v>50000</v>
      </c>
      <c r="E31" s="2051"/>
    </row>
    <row r="32" spans="1:5" x14ac:dyDescent="0.35">
      <c r="A32" s="2304"/>
      <c r="B32" s="2413"/>
      <c r="C32" s="2406"/>
      <c r="D32" s="2414"/>
      <c r="E32" s="1999"/>
    </row>
    <row r="33" spans="1:5" x14ac:dyDescent="0.35">
      <c r="A33" s="2084">
        <v>53202020100000</v>
      </c>
      <c r="B33" s="2305" t="s">
        <v>611</v>
      </c>
      <c r="C33" s="2089"/>
      <c r="D33" s="2086">
        <f>SUM(D34:D34)</f>
        <v>0</v>
      </c>
      <c r="E33" s="2058">
        <f>D33*5%+D33</f>
        <v>0</v>
      </c>
    </row>
    <row r="34" spans="1:5" x14ac:dyDescent="0.35">
      <c r="A34" s="2078"/>
      <c r="B34" s="2306"/>
      <c r="C34" s="2035"/>
      <c r="D34" s="1995"/>
      <c r="E34" s="2051"/>
    </row>
    <row r="35" spans="1:5" x14ac:dyDescent="0.35">
      <c r="A35" s="2084">
        <v>53202030000000</v>
      </c>
      <c r="B35" s="2305" t="s">
        <v>136</v>
      </c>
      <c r="C35" s="2089"/>
      <c r="D35" s="2088">
        <f>SUM(D36:D36)</f>
        <v>0</v>
      </c>
      <c r="E35" s="2058">
        <f>D35*5%+D35</f>
        <v>0</v>
      </c>
    </row>
    <row r="36" spans="1:5" x14ac:dyDescent="0.35">
      <c r="A36" s="2023"/>
      <c r="B36" s="2306"/>
      <c r="C36" s="2035"/>
      <c r="D36" s="1995"/>
      <c r="E36" s="2051"/>
    </row>
    <row r="37" spans="1:5" x14ac:dyDescent="0.35">
      <c r="A37" s="2084">
        <v>53204010000000</v>
      </c>
      <c r="B37" s="2089" t="s">
        <v>144</v>
      </c>
      <c r="C37" s="2089"/>
      <c r="D37" s="2090">
        <f>SUM(D38:D38)</f>
        <v>0</v>
      </c>
      <c r="E37" s="2058">
        <f>D37*5%+D37</f>
        <v>0</v>
      </c>
    </row>
    <row r="38" spans="1:5" x14ac:dyDescent="0.35">
      <c r="A38" s="2023"/>
      <c r="B38" s="2035"/>
      <c r="C38" s="2035"/>
      <c r="D38" s="1995"/>
      <c r="E38" s="2051"/>
    </row>
    <row r="39" spans="1:5" x14ac:dyDescent="0.35">
      <c r="A39" s="2084">
        <v>53204060000000</v>
      </c>
      <c r="B39" s="2089" t="s">
        <v>146</v>
      </c>
      <c r="C39" s="2089"/>
      <c r="D39" s="2088">
        <f>SUM(D40)</f>
        <v>0</v>
      </c>
      <c r="E39" s="2058">
        <f>D39*5%+D39</f>
        <v>0</v>
      </c>
    </row>
    <row r="40" spans="1:5" x14ac:dyDescent="0.35">
      <c r="A40" s="2023"/>
      <c r="B40" s="2035"/>
      <c r="C40" s="2035"/>
      <c r="D40" s="1995"/>
      <c r="E40" s="2051"/>
    </row>
    <row r="41" spans="1:5" x14ac:dyDescent="0.35">
      <c r="A41" s="2084">
        <v>53204070000000</v>
      </c>
      <c r="B41" s="2089" t="s">
        <v>147</v>
      </c>
      <c r="C41" s="2089"/>
      <c r="D41" s="2088">
        <f>SUM(D42)</f>
        <v>400000</v>
      </c>
      <c r="E41" s="2058">
        <f>D41*F1</f>
        <v>420000</v>
      </c>
    </row>
    <row r="42" spans="1:5" x14ac:dyDescent="0.35">
      <c r="A42" s="2309">
        <v>1</v>
      </c>
      <c r="B42" s="2310" t="s">
        <v>878</v>
      </c>
      <c r="C42" s="2310"/>
      <c r="D42" s="2311">
        <v>400000</v>
      </c>
      <c r="E42" s="2051"/>
    </row>
    <row r="43" spans="1:5" x14ac:dyDescent="0.35">
      <c r="A43" s="2084">
        <v>53204080000000</v>
      </c>
      <c r="B43" s="2089" t="s">
        <v>148</v>
      </c>
      <c r="C43" s="2089"/>
      <c r="D43" s="2088">
        <f>SUM(D44:D58)</f>
        <v>267900</v>
      </c>
      <c r="E43" s="2058">
        <f>D43*F1</f>
        <v>281295</v>
      </c>
    </row>
    <row r="44" spans="1:5" x14ac:dyDescent="0.35">
      <c r="A44" s="2415">
        <v>1</v>
      </c>
      <c r="B44" s="2416" t="s">
        <v>879</v>
      </c>
      <c r="C44" s="2417">
        <v>39900</v>
      </c>
      <c r="D44" s="2417">
        <f>C44*A44</f>
        <v>39900</v>
      </c>
      <c r="E44" s="1991"/>
    </row>
    <row r="45" spans="1:5" x14ac:dyDescent="0.35">
      <c r="A45" s="2415">
        <v>1</v>
      </c>
      <c r="B45" s="2416" t="s">
        <v>880</v>
      </c>
      <c r="C45" s="2417">
        <v>26000</v>
      </c>
      <c r="D45" s="2417">
        <f t="shared" ref="D45:D55" si="1">C45*A45</f>
        <v>26000</v>
      </c>
      <c r="E45" s="1991"/>
    </row>
    <row r="46" spans="1:5" x14ac:dyDescent="0.35">
      <c r="A46" s="2415">
        <v>1</v>
      </c>
      <c r="B46" s="2416" t="s">
        <v>881</v>
      </c>
      <c r="C46" s="2417">
        <v>55000</v>
      </c>
      <c r="D46" s="2417">
        <f t="shared" si="1"/>
        <v>55000</v>
      </c>
      <c r="E46" s="1991"/>
    </row>
    <row r="47" spans="1:5" x14ac:dyDescent="0.35">
      <c r="A47" s="2095">
        <v>1</v>
      </c>
      <c r="B47" s="2096" t="s">
        <v>882</v>
      </c>
      <c r="C47" s="2097">
        <v>30000</v>
      </c>
      <c r="D47" s="2417">
        <f t="shared" si="1"/>
        <v>30000</v>
      </c>
      <c r="E47" s="2051"/>
    </row>
    <row r="48" spans="1:5" x14ac:dyDescent="0.35">
      <c r="A48" s="2095">
        <v>1</v>
      </c>
      <c r="B48" s="2096" t="s">
        <v>883</v>
      </c>
      <c r="C48" s="2097">
        <v>8000</v>
      </c>
      <c r="D48" s="2417">
        <f t="shared" si="1"/>
        <v>8000</v>
      </c>
      <c r="E48" s="2051"/>
    </row>
    <row r="49" spans="1:5" x14ac:dyDescent="0.35">
      <c r="A49" s="2095">
        <v>1</v>
      </c>
      <c r="B49" s="2096" t="s">
        <v>884</v>
      </c>
      <c r="C49" s="2097">
        <v>10000</v>
      </c>
      <c r="D49" s="2417">
        <f t="shared" si="1"/>
        <v>10000</v>
      </c>
      <c r="E49" s="2051"/>
    </row>
    <row r="50" spans="1:5" x14ac:dyDescent="0.35">
      <c r="A50" s="2078">
        <v>1</v>
      </c>
      <c r="B50" s="2096" t="s">
        <v>885</v>
      </c>
      <c r="C50" s="1995">
        <v>13000</v>
      </c>
      <c r="D50" s="2417">
        <f t="shared" si="1"/>
        <v>13000</v>
      </c>
      <c r="E50" s="2051"/>
    </row>
    <row r="51" spans="1:5" x14ac:dyDescent="0.35">
      <c r="A51" s="2095">
        <v>1</v>
      </c>
      <c r="B51" s="2096" t="s">
        <v>886</v>
      </c>
      <c r="C51" s="1995">
        <v>12000</v>
      </c>
      <c r="D51" s="2417">
        <f t="shared" si="1"/>
        <v>12000</v>
      </c>
      <c r="E51" s="2051"/>
    </row>
    <row r="52" spans="1:5" x14ac:dyDescent="0.35">
      <c r="A52" s="2095">
        <v>1</v>
      </c>
      <c r="B52" s="2096" t="s">
        <v>887</v>
      </c>
      <c r="C52" s="1995">
        <v>8000</v>
      </c>
      <c r="D52" s="2417">
        <f t="shared" si="1"/>
        <v>8000</v>
      </c>
      <c r="E52" s="2051"/>
    </row>
    <row r="53" spans="1:5" x14ac:dyDescent="0.35">
      <c r="A53" s="2095">
        <v>2</v>
      </c>
      <c r="B53" s="2096" t="s">
        <v>888</v>
      </c>
      <c r="C53" s="1995">
        <v>12000</v>
      </c>
      <c r="D53" s="2417">
        <f t="shared" si="1"/>
        <v>24000</v>
      </c>
      <c r="E53" s="2051"/>
    </row>
    <row r="54" spans="1:5" x14ac:dyDescent="0.35">
      <c r="A54" s="2095">
        <v>1</v>
      </c>
      <c r="B54" s="2096" t="s">
        <v>889</v>
      </c>
      <c r="C54" s="1995">
        <v>30000</v>
      </c>
      <c r="D54" s="2417">
        <f t="shared" si="1"/>
        <v>30000</v>
      </c>
      <c r="E54" s="2051"/>
    </row>
    <row r="55" spans="1:5" x14ac:dyDescent="0.35">
      <c r="A55" s="2095">
        <v>2</v>
      </c>
      <c r="B55" s="2096" t="s">
        <v>890</v>
      </c>
      <c r="C55" s="1995">
        <v>6000</v>
      </c>
      <c r="D55" s="2417">
        <f t="shared" si="1"/>
        <v>12000</v>
      </c>
      <c r="E55" s="2051"/>
    </row>
    <row r="56" spans="1:5" x14ac:dyDescent="0.35">
      <c r="A56" s="2095"/>
      <c r="B56" s="2096"/>
      <c r="C56" s="2096"/>
      <c r="D56" s="2097"/>
      <c r="E56" s="2051"/>
    </row>
    <row r="57" spans="1:5" x14ac:dyDescent="0.35">
      <c r="A57" s="2095"/>
      <c r="B57" s="2096"/>
      <c r="C57" s="2096"/>
      <c r="D57" s="2097"/>
      <c r="E57" s="2051"/>
    </row>
    <row r="58" spans="1:5" x14ac:dyDescent="0.35">
      <c r="A58" s="2095"/>
      <c r="B58" s="2096"/>
      <c r="C58" s="2096"/>
      <c r="D58" s="2097"/>
      <c r="E58" s="2051"/>
    </row>
    <row r="59" spans="1:5" x14ac:dyDescent="0.35">
      <c r="A59" s="2084">
        <v>53214010000000</v>
      </c>
      <c r="B59" s="2089" t="s">
        <v>149</v>
      </c>
      <c r="C59" s="2089"/>
      <c r="D59" s="2088">
        <f>SUM(D60:D71)</f>
        <v>1964000</v>
      </c>
      <c r="E59" s="2058">
        <f>D59*F1</f>
        <v>2062200</v>
      </c>
    </row>
    <row r="60" spans="1:5" x14ac:dyDescent="0.35">
      <c r="A60" s="1997">
        <v>2</v>
      </c>
      <c r="B60" s="2301" t="s">
        <v>891</v>
      </c>
      <c r="C60" s="1995">
        <v>150000</v>
      </c>
      <c r="D60" s="1995">
        <f t="shared" ref="D60:D69" si="2">C60*A60</f>
        <v>300000</v>
      </c>
      <c r="E60" s="2051"/>
    </row>
    <row r="61" spans="1:5" x14ac:dyDescent="0.35">
      <c r="A61" s="1997">
        <v>1</v>
      </c>
      <c r="B61" s="2388" t="s">
        <v>892</v>
      </c>
      <c r="C61" s="1995">
        <v>350000</v>
      </c>
      <c r="D61" s="1995">
        <f t="shared" si="2"/>
        <v>350000</v>
      </c>
      <c r="E61" s="2051"/>
    </row>
    <row r="62" spans="1:5" x14ac:dyDescent="0.35">
      <c r="A62" s="2099">
        <v>1</v>
      </c>
      <c r="B62" s="2418" t="s">
        <v>893</v>
      </c>
      <c r="C62" s="1995">
        <v>420000</v>
      </c>
      <c r="D62" s="1995">
        <f t="shared" si="2"/>
        <v>420000</v>
      </c>
      <c r="E62" s="2051"/>
    </row>
    <row r="63" spans="1:5" x14ac:dyDescent="0.35">
      <c r="A63" s="2023">
        <v>1</v>
      </c>
      <c r="B63" s="2418" t="s">
        <v>894</v>
      </c>
      <c r="C63" s="1995">
        <v>400000</v>
      </c>
      <c r="D63" s="1995">
        <f t="shared" si="2"/>
        <v>400000</v>
      </c>
      <c r="E63" s="2051"/>
    </row>
    <row r="64" spans="1:5" x14ac:dyDescent="0.35">
      <c r="A64" s="2023">
        <v>2</v>
      </c>
      <c r="B64" s="2035" t="s">
        <v>895</v>
      </c>
      <c r="C64" s="1995">
        <v>130000</v>
      </c>
      <c r="D64" s="1995">
        <f t="shared" si="2"/>
        <v>260000</v>
      </c>
      <c r="E64" s="2051"/>
    </row>
    <row r="65" spans="1:5" x14ac:dyDescent="0.35">
      <c r="A65" s="2023">
        <v>2</v>
      </c>
      <c r="B65" s="2035" t="s">
        <v>896</v>
      </c>
      <c r="C65" s="1995">
        <v>10000</v>
      </c>
      <c r="D65" s="1995">
        <f t="shared" si="2"/>
        <v>20000</v>
      </c>
      <c r="E65" s="2051"/>
    </row>
    <row r="66" spans="1:5" x14ac:dyDescent="0.35">
      <c r="A66" s="2023">
        <v>2</v>
      </c>
      <c r="B66" s="2035" t="s">
        <v>897</v>
      </c>
      <c r="C66" s="1995">
        <v>12000</v>
      </c>
      <c r="D66" s="1995">
        <f t="shared" si="2"/>
        <v>24000</v>
      </c>
      <c r="E66" s="2051"/>
    </row>
    <row r="67" spans="1:5" x14ac:dyDescent="0.35">
      <c r="A67" s="2023">
        <v>6</v>
      </c>
      <c r="B67" s="2035" t="s">
        <v>898</v>
      </c>
      <c r="C67" s="1995">
        <v>15000</v>
      </c>
      <c r="D67" s="1995">
        <f t="shared" si="2"/>
        <v>90000</v>
      </c>
      <c r="E67" s="2051"/>
    </row>
    <row r="68" spans="1:5" x14ac:dyDescent="0.35">
      <c r="A68" s="2023">
        <v>1</v>
      </c>
      <c r="B68" s="2035" t="s">
        <v>899</v>
      </c>
      <c r="C68" s="1995">
        <v>40000</v>
      </c>
      <c r="D68" s="1995">
        <f t="shared" si="2"/>
        <v>40000</v>
      </c>
      <c r="E68" s="2051"/>
    </row>
    <row r="69" spans="1:5" x14ac:dyDescent="0.35">
      <c r="A69" s="2023">
        <v>4</v>
      </c>
      <c r="B69" s="2035" t="s">
        <v>900</v>
      </c>
      <c r="C69" s="1995">
        <v>15000</v>
      </c>
      <c r="D69" s="1995">
        <f t="shared" si="2"/>
        <v>60000</v>
      </c>
      <c r="E69" s="2051"/>
    </row>
    <row r="70" spans="1:5" x14ac:dyDescent="0.35">
      <c r="A70" s="2023"/>
      <c r="B70" s="2035"/>
      <c r="C70" s="1995"/>
      <c r="D70" s="1995"/>
      <c r="E70" s="2051"/>
    </row>
    <row r="71" spans="1:5" x14ac:dyDescent="0.35">
      <c r="A71" s="2023"/>
      <c r="B71" s="2035"/>
      <c r="C71" s="1995"/>
      <c r="D71" s="1995"/>
      <c r="E71" s="2051"/>
    </row>
    <row r="72" spans="1:5" x14ac:dyDescent="0.35">
      <c r="A72" s="2084">
        <v>53206060000000</v>
      </c>
      <c r="B72" s="2089" t="s">
        <v>166</v>
      </c>
      <c r="C72" s="2089"/>
      <c r="D72" s="2088">
        <f>SUM(D73:D77)</f>
        <v>255000</v>
      </c>
      <c r="E72" s="2058">
        <f>D72*F1</f>
        <v>267750</v>
      </c>
    </row>
    <row r="73" spans="1:5" x14ac:dyDescent="0.35">
      <c r="A73" s="2078">
        <v>1</v>
      </c>
      <c r="B73" s="2100" t="s">
        <v>901</v>
      </c>
      <c r="C73" s="2100">
        <v>65000</v>
      </c>
      <c r="D73" s="1995">
        <f>+C73*A73</f>
        <v>65000</v>
      </c>
      <c r="E73" s="2051"/>
    </row>
    <row r="74" spans="1:5" x14ac:dyDescent="0.35">
      <c r="A74" s="2078">
        <v>1</v>
      </c>
      <c r="B74" s="2100" t="s">
        <v>634</v>
      </c>
      <c r="C74" s="2100">
        <v>70000</v>
      </c>
      <c r="D74" s="1995">
        <f t="shared" ref="D74:D76" si="3">+C74*A74</f>
        <v>70000</v>
      </c>
      <c r="E74" s="2051"/>
    </row>
    <row r="75" spans="1:5" x14ac:dyDescent="0.35">
      <c r="A75" s="2078">
        <v>1</v>
      </c>
      <c r="B75" s="2100" t="s">
        <v>635</v>
      </c>
      <c r="C75" s="2100">
        <v>70000</v>
      </c>
      <c r="D75" s="1995">
        <f t="shared" si="3"/>
        <v>70000</v>
      </c>
      <c r="E75" s="2051"/>
    </row>
    <row r="76" spans="1:5" x14ac:dyDescent="0.35">
      <c r="A76" s="1997">
        <v>1</v>
      </c>
      <c r="B76" s="2312" t="s">
        <v>902</v>
      </c>
      <c r="C76" s="2419">
        <v>50000</v>
      </c>
      <c r="D76" s="1995">
        <f t="shared" si="3"/>
        <v>50000</v>
      </c>
      <c r="E76" s="2051"/>
    </row>
    <row r="77" spans="1:5" x14ac:dyDescent="0.35">
      <c r="A77" s="2078"/>
      <c r="B77" s="2100"/>
      <c r="C77" s="2100"/>
      <c r="D77" s="1995"/>
      <c r="E77" s="2051"/>
    </row>
    <row r="78" spans="1:5" x14ac:dyDescent="0.35">
      <c r="A78" s="2084">
        <v>53206990000000</v>
      </c>
      <c r="B78" s="2089" t="s">
        <v>168</v>
      </c>
      <c r="C78" s="2089"/>
      <c r="D78" s="2088">
        <f>SUM(D79)</f>
        <v>1200000</v>
      </c>
      <c r="E78" s="2058">
        <f>D78*F1</f>
        <v>1260000</v>
      </c>
    </row>
    <row r="79" spans="1:5" x14ac:dyDescent="0.35">
      <c r="A79" s="2078"/>
      <c r="B79" s="2035"/>
      <c r="C79" s="2035"/>
      <c r="D79" s="1995">
        <v>1200000</v>
      </c>
      <c r="E79" s="2103"/>
    </row>
    <row r="80" spans="1:5" x14ac:dyDescent="0.35">
      <c r="A80" s="2084">
        <v>53208030000000</v>
      </c>
      <c r="B80" s="2089" t="s">
        <v>169</v>
      </c>
      <c r="C80" s="2089"/>
      <c r="D80" s="2088">
        <v>0</v>
      </c>
      <c r="E80" s="2088">
        <v>0</v>
      </c>
    </row>
    <row r="81" spans="1:5" x14ac:dyDescent="0.35">
      <c r="A81" s="2078"/>
      <c r="B81" s="2035"/>
      <c r="C81" s="2035"/>
      <c r="D81" s="1996"/>
      <c r="E81" s="1996"/>
    </row>
    <row r="82" spans="1:5" x14ac:dyDescent="0.35">
      <c r="A82" s="2084">
        <v>53212060000000</v>
      </c>
      <c r="B82" s="2089" t="s">
        <v>170</v>
      </c>
      <c r="C82" s="2089"/>
      <c r="D82" s="2088">
        <v>500000</v>
      </c>
      <c r="E82" s="2088">
        <f>D82*F1</f>
        <v>525000</v>
      </c>
    </row>
    <row r="83" spans="1:5" x14ac:dyDescent="0.35">
      <c r="A83" s="2073">
        <v>53210020500000</v>
      </c>
      <c r="B83" s="2065" t="s">
        <v>641</v>
      </c>
      <c r="C83" s="2065"/>
      <c r="D83" s="2104"/>
      <c r="E83" s="2058"/>
    </row>
    <row r="84" spans="1:5" x14ac:dyDescent="0.35">
      <c r="A84" s="2084">
        <v>53204999000000</v>
      </c>
      <c r="B84" s="2089" t="s">
        <v>173</v>
      </c>
      <c r="C84" s="2089"/>
      <c r="D84" s="2088">
        <f>SUM(D85)</f>
        <v>0</v>
      </c>
      <c r="E84" s="2058">
        <f>D84*F1</f>
        <v>0</v>
      </c>
    </row>
    <row r="85" spans="1:5" x14ac:dyDescent="0.35">
      <c r="A85" s="2105"/>
      <c r="B85" s="2105"/>
      <c r="C85" s="2105"/>
      <c r="D85" s="2083"/>
      <c r="E85" s="2051"/>
    </row>
    <row r="86" spans="1:5" x14ac:dyDescent="0.35">
      <c r="A86" s="2073">
        <v>53208010100000</v>
      </c>
      <c r="B86" s="2065" t="s">
        <v>127</v>
      </c>
      <c r="C86" s="2065"/>
      <c r="D86" s="2104">
        <f>SUM(D87:D87)</f>
        <v>0</v>
      </c>
      <c r="E86" s="2058">
        <f>D86*F1</f>
        <v>0</v>
      </c>
    </row>
    <row r="87" spans="1:5" x14ac:dyDescent="0.35">
      <c r="A87" s="2106"/>
      <c r="B87" s="2107"/>
      <c r="C87" s="2107"/>
      <c r="D87" s="1995"/>
      <c r="E87" s="210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K15"/>
  <sheetViews>
    <sheetView workbookViewId="0">
      <selection activeCell="O31" sqref="O31"/>
    </sheetView>
  </sheetViews>
  <sheetFormatPr baseColWidth="10" defaultRowHeight="14.5" x14ac:dyDescent="0.35"/>
  <cols>
    <col min="2" max="2" width="21.453125" customWidth="1"/>
    <col min="3" max="3" width="14.54296875" customWidth="1"/>
    <col min="4" max="4" width="13.1796875" customWidth="1"/>
    <col min="5" max="5" width="16.26953125" customWidth="1"/>
    <col min="6" max="6" width="13.54296875" customWidth="1"/>
    <col min="7" max="7" width="11.81640625" customWidth="1"/>
    <col min="8" max="8" width="13.1796875" customWidth="1"/>
  </cols>
  <sheetData>
    <row r="2" spans="2:11" ht="21" x14ac:dyDescent="0.5">
      <c r="B2" s="2452" t="s">
        <v>1047</v>
      </c>
      <c r="C2" s="2453"/>
    </row>
    <row r="15" spans="2:11" s="5" customFormat="1" x14ac:dyDescent="0.35">
      <c r="B15"/>
      <c r="C15"/>
      <c r="D15"/>
      <c r="E15"/>
      <c r="F15"/>
      <c r="G15"/>
      <c r="H15"/>
      <c r="I15"/>
      <c r="J15"/>
      <c r="K15"/>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sheetPr>
  <dimension ref="A1:AA175"/>
  <sheetViews>
    <sheetView showGridLines="0" zoomScale="80" zoomScaleNormal="80" workbookViewId="0">
      <selection activeCell="B2" sqref="B2"/>
    </sheetView>
  </sheetViews>
  <sheetFormatPr baseColWidth="10" defaultRowHeight="14.5" x14ac:dyDescent="0.35"/>
  <cols>
    <col min="1" max="1" width="11.453125" style="157"/>
    <col min="2" max="2" width="66" style="157" bestFit="1" customWidth="1"/>
    <col min="3" max="3" width="13.81640625" style="157" bestFit="1" customWidth="1"/>
    <col min="4" max="4" width="13.81640625" style="157" customWidth="1"/>
    <col min="5" max="5" width="13.81640625" style="157" bestFit="1" customWidth="1"/>
    <col min="6" max="6" width="13.81640625" style="157" customWidth="1"/>
    <col min="7" max="7" width="13.81640625" style="157" bestFit="1" customWidth="1"/>
    <col min="8" max="8" width="13.81640625" style="157" customWidth="1"/>
    <col min="9" max="9" width="13.81640625" style="157" bestFit="1" customWidth="1"/>
    <col min="10" max="10" width="13.81640625" style="157" customWidth="1"/>
    <col min="11" max="11" width="13.81640625" style="157" bestFit="1" customWidth="1"/>
    <col min="12" max="12" width="13.81640625" style="157" customWidth="1"/>
    <col min="13" max="13" width="13.81640625" style="157" bestFit="1" customWidth="1"/>
    <col min="14" max="14" width="13.81640625" style="157" customWidth="1"/>
    <col min="15" max="15" width="13.81640625" style="157" bestFit="1" customWidth="1"/>
    <col min="16" max="16" width="13.81640625" style="157" customWidth="1"/>
    <col min="17" max="17" width="13.81640625" style="157" bestFit="1" customWidth="1"/>
    <col min="18" max="18" width="13.81640625" style="157" customWidth="1"/>
    <col min="19" max="19" width="13.81640625" style="157" bestFit="1" customWidth="1"/>
    <col min="20" max="20" width="13.81640625" style="157" customWidth="1"/>
    <col min="21" max="21" width="13.81640625" style="157" bestFit="1" customWidth="1"/>
    <col min="22" max="22" width="13.81640625" style="157" customWidth="1"/>
    <col min="23" max="23" width="13.81640625" style="157" bestFit="1" customWidth="1"/>
    <col min="24" max="24" width="13.81640625" style="157" customWidth="1"/>
    <col min="25" max="25" width="13.81640625" style="157" bestFit="1" customWidth="1"/>
    <col min="26" max="26" width="13.81640625" style="157" customWidth="1"/>
    <col min="27" max="27" width="14.81640625" style="157" bestFit="1" customWidth="1"/>
  </cols>
  <sheetData>
    <row r="1" spans="2:27" x14ac:dyDescent="0.35">
      <c r="E1" s="229"/>
      <c r="F1" s="229"/>
      <c r="G1" s="242" t="s">
        <v>238</v>
      </c>
      <c r="H1" s="242"/>
      <c r="I1" s="230"/>
      <c r="J1" s="230"/>
      <c r="K1" s="229"/>
      <c r="L1" s="229"/>
    </row>
    <row r="2" spans="2:27" x14ac:dyDescent="0.35">
      <c r="E2" s="229"/>
      <c r="F2" s="229"/>
      <c r="G2" s="242" t="s">
        <v>239</v>
      </c>
      <c r="H2" s="242"/>
      <c r="I2" s="230"/>
      <c r="J2" s="230"/>
      <c r="K2" s="229"/>
      <c r="L2" s="229"/>
    </row>
    <row r="3" spans="2:27" x14ac:dyDescent="0.35">
      <c r="E3" s="229"/>
      <c r="F3" s="229"/>
      <c r="G3" s="229"/>
      <c r="H3" s="229"/>
      <c r="I3" s="229"/>
      <c r="J3" s="229"/>
      <c r="K3" s="229"/>
      <c r="L3" s="229"/>
    </row>
    <row r="4" spans="2:27" ht="15.5" x14ac:dyDescent="0.35">
      <c r="E4" s="243" t="s">
        <v>240</v>
      </c>
      <c r="F4" s="243"/>
      <c r="G4" s="3219" t="s">
        <v>34</v>
      </c>
      <c r="H4" s="3220"/>
      <c r="I4" s="3221"/>
      <c r="J4" s="280"/>
      <c r="K4" s="229"/>
      <c r="L4" s="229"/>
    </row>
    <row r="6" spans="2:27" x14ac:dyDescent="0.35">
      <c r="B6" s="3222" t="s">
        <v>241</v>
      </c>
      <c r="C6" s="3222"/>
      <c r="D6" s="3222"/>
      <c r="E6" s="3222"/>
      <c r="F6" s="3222"/>
      <c r="G6" s="3222"/>
      <c r="H6" s="3222"/>
      <c r="I6" s="3222"/>
      <c r="J6" s="3222"/>
      <c r="K6" s="3222"/>
      <c r="L6" s="3222"/>
      <c r="M6" s="3222"/>
      <c r="N6" s="3222"/>
      <c r="O6" s="3222"/>
      <c r="P6" s="3222"/>
      <c r="Q6" s="3222"/>
      <c r="R6" s="3222"/>
      <c r="S6" s="3222"/>
      <c r="T6" s="276"/>
    </row>
    <row r="7" spans="2:27" ht="15" thickBot="1" x14ac:dyDescent="0.4">
      <c r="G7" s="244"/>
      <c r="H7" s="244"/>
      <c r="I7" s="244"/>
      <c r="J7" s="244"/>
      <c r="K7" s="244"/>
      <c r="L7" s="244"/>
      <c r="M7" s="244"/>
      <c r="N7" s="244"/>
      <c r="O7" s="244"/>
      <c r="P7" s="244"/>
      <c r="Q7" s="244"/>
      <c r="R7" s="244"/>
      <c r="S7" s="244"/>
      <c r="T7" s="244"/>
      <c r="U7" s="244"/>
      <c r="V7" s="244"/>
      <c r="W7" s="244"/>
      <c r="X7" s="244"/>
      <c r="Y7" s="244"/>
      <c r="Z7" s="244"/>
    </row>
    <row r="8" spans="2:27" ht="29.5" thickBot="1" x14ac:dyDescent="0.4">
      <c r="B8" s="245" t="s">
        <v>242</v>
      </c>
      <c r="C8" s="246" t="s">
        <v>243</v>
      </c>
      <c r="D8" s="246" t="s">
        <v>277</v>
      </c>
      <c r="E8" s="247" t="s">
        <v>244</v>
      </c>
      <c r="F8" s="247" t="s">
        <v>278</v>
      </c>
      <c r="G8" s="247" t="s">
        <v>245</v>
      </c>
      <c r="H8" s="247" t="s">
        <v>279</v>
      </c>
      <c r="I8" s="247" t="s">
        <v>246</v>
      </c>
      <c r="J8" s="247" t="s">
        <v>280</v>
      </c>
      <c r="K8" s="247" t="s">
        <v>247</v>
      </c>
      <c r="L8" s="247" t="s">
        <v>281</v>
      </c>
      <c r="M8" s="247" t="s">
        <v>248</v>
      </c>
      <c r="N8" s="247" t="s">
        <v>282</v>
      </c>
      <c r="O8" s="247" t="s">
        <v>197</v>
      </c>
      <c r="P8" s="247" t="s">
        <v>283</v>
      </c>
      <c r="Q8" s="247" t="s">
        <v>249</v>
      </c>
      <c r="R8" s="247" t="s">
        <v>284</v>
      </c>
      <c r="S8" s="248" t="s">
        <v>250</v>
      </c>
      <c r="T8" s="248" t="s">
        <v>285</v>
      </c>
      <c r="U8" s="248" t="s">
        <v>251</v>
      </c>
      <c r="V8" s="248" t="s">
        <v>286</v>
      </c>
      <c r="W8" s="248" t="s">
        <v>252</v>
      </c>
      <c r="X8" s="281" t="s">
        <v>287</v>
      </c>
      <c r="Y8" s="249" t="s">
        <v>253</v>
      </c>
      <c r="Z8" s="283" t="s">
        <v>288</v>
      </c>
      <c r="AA8" s="250" t="s">
        <v>254</v>
      </c>
    </row>
    <row r="9" spans="2:27" x14ac:dyDescent="0.35">
      <c r="B9" s="251" t="s">
        <v>255</v>
      </c>
      <c r="C9" s="252">
        <f>+'A) Resumen Ingresos y Egresos'!$E$9*'K='!C16</f>
        <v>13546329.924160762</v>
      </c>
      <c r="D9" s="269"/>
      <c r="E9" s="252">
        <f>+'A) Resumen Ingresos y Egresos'!$E$9*'K='!E16</f>
        <v>17102004.898956843</v>
      </c>
      <c r="F9" s="269"/>
      <c r="G9" s="252">
        <f>+'A) Resumen Ingresos y Egresos'!$E$9*'K='!G16</f>
        <v>18848916.98131467</v>
      </c>
      <c r="H9" s="269"/>
      <c r="I9" s="252">
        <f>+'A) Resumen Ingresos y Egresos'!$E$9*'K='!I16</f>
        <v>16903453.796911336</v>
      </c>
      <c r="J9" s="269"/>
      <c r="K9" s="252">
        <f>+'A) Resumen Ingresos y Egresos'!$E$9*'K='!K16</f>
        <v>15062348.593728207</v>
      </c>
      <c r="L9" s="269"/>
      <c r="M9" s="252">
        <f>+'A) Resumen Ingresos y Egresos'!$E$9*'K='!M16</f>
        <v>16991691.687712003</v>
      </c>
      <c r="N9" s="269"/>
      <c r="O9" s="252">
        <f>+'A) Resumen Ingresos y Egresos'!$E$9*'K='!O16</f>
        <v>18516096.748625003</v>
      </c>
      <c r="P9" s="269"/>
      <c r="Q9" s="252">
        <f>+'A) Resumen Ingresos y Egresos'!$E$9*'K='!Q16</f>
        <v>20780894.32252403</v>
      </c>
      <c r="R9" s="269"/>
      <c r="S9" s="252">
        <f>+'A) Resumen Ingresos y Egresos'!$E$9*'K='!S16</f>
        <v>16925129.988987997</v>
      </c>
      <c r="T9" s="269"/>
      <c r="U9" s="252">
        <f>+'A) Resumen Ingresos y Egresos'!$E$9*'K='!U16</f>
        <v>18123200.653183363</v>
      </c>
      <c r="V9" s="269"/>
      <c r="W9" s="252">
        <f>+'A) Resumen Ingresos y Egresos'!$E$9*'K='!W16</f>
        <v>13713687.970378431</v>
      </c>
      <c r="X9" s="269"/>
      <c r="Y9" s="252">
        <f>+'A) Resumen Ingresos y Egresos'!$E$9*'K='!Y16</f>
        <v>14849844.43351735</v>
      </c>
      <c r="Z9" s="270"/>
      <c r="AA9" s="253">
        <f>SUM(C9:Y9)</f>
        <v>201363600</v>
      </c>
    </row>
    <row r="10" spans="2:27" x14ac:dyDescent="0.35">
      <c r="B10" s="251" t="s">
        <v>256</v>
      </c>
      <c r="C10" s="252">
        <f>SUM('F) Remuneraciones'!$K$11:$K$24)/12</f>
        <v>5633356</v>
      </c>
      <c r="D10" s="269"/>
      <c r="E10" s="252">
        <f>SUM('F) Remuneraciones'!$K$11:$K$24)/12</f>
        <v>5633356</v>
      </c>
      <c r="F10" s="269"/>
      <c r="G10" s="252">
        <f>SUM('F) Remuneraciones'!$K$11:$K$24)/12</f>
        <v>5633356</v>
      </c>
      <c r="H10" s="269"/>
      <c r="I10" s="252">
        <f>SUM('F) Remuneraciones'!$K$11:$K$24)/12</f>
        <v>5633356</v>
      </c>
      <c r="J10" s="269"/>
      <c r="K10" s="252">
        <f>SUM('F) Remuneraciones'!$K$11:$K$24)/12</f>
        <v>5633356</v>
      </c>
      <c r="L10" s="269"/>
      <c r="M10" s="252">
        <f>SUM('F) Remuneraciones'!$K$11:$K$24)/12</f>
        <v>5633356</v>
      </c>
      <c r="N10" s="269"/>
      <c r="O10" s="252">
        <f>SUM('F) Remuneraciones'!$K$11:$K$24)/12</f>
        <v>5633356</v>
      </c>
      <c r="P10" s="269"/>
      <c r="Q10" s="252">
        <f>SUM('F) Remuneraciones'!$K$11:$K$24)/12</f>
        <v>5633356</v>
      </c>
      <c r="R10" s="269"/>
      <c r="S10" s="252">
        <f>SUM('F) Remuneraciones'!$K$11:$K$24)/12</f>
        <v>5633356</v>
      </c>
      <c r="T10" s="269"/>
      <c r="U10" s="252">
        <f>SUM('F) Remuneraciones'!$K$11:$K$24)/12</f>
        <v>5633356</v>
      </c>
      <c r="V10" s="269"/>
      <c r="W10" s="252">
        <f>SUM('F) Remuneraciones'!$K$11:$K$24)/12</f>
        <v>5633356</v>
      </c>
      <c r="X10" s="269"/>
      <c r="Y10" s="252">
        <f>SUM('F) Remuneraciones'!$K$11:$K$24)/12</f>
        <v>5633356</v>
      </c>
      <c r="Z10" s="270"/>
      <c r="AA10" s="253">
        <f t="shared" ref="AA10:AA14" si="0">SUM(C10:Y10)</f>
        <v>67600272</v>
      </c>
    </row>
    <row r="11" spans="2:27" x14ac:dyDescent="0.35">
      <c r="B11" s="251" t="s">
        <v>257</v>
      </c>
      <c r="C11" s="252">
        <f>SUM('F) Remuneraciones'!K25:K35)/4</f>
        <v>111585.1</v>
      </c>
      <c r="D11" s="269"/>
      <c r="E11" s="252">
        <f>+C11</f>
        <v>111585.1</v>
      </c>
      <c r="F11" s="269"/>
      <c r="G11" s="252">
        <f>+C11</f>
        <v>111585.1</v>
      </c>
      <c r="H11" s="269"/>
      <c r="I11" s="252">
        <v>0</v>
      </c>
      <c r="J11" s="269"/>
      <c r="K11" s="252">
        <v>0</v>
      </c>
      <c r="L11" s="269"/>
      <c r="M11" s="252">
        <v>0</v>
      </c>
      <c r="N11" s="269"/>
      <c r="O11" s="252">
        <v>0</v>
      </c>
      <c r="P11" s="269"/>
      <c r="Q11" s="252">
        <v>0</v>
      </c>
      <c r="R11" s="269"/>
      <c r="S11" s="252">
        <v>0</v>
      </c>
      <c r="T11" s="269"/>
      <c r="U11" s="252">
        <v>0</v>
      </c>
      <c r="V11" s="269"/>
      <c r="W11" s="252">
        <v>0</v>
      </c>
      <c r="X11" s="270"/>
      <c r="Y11" s="254">
        <f>+G11</f>
        <v>111585.1</v>
      </c>
      <c r="Z11" s="270"/>
      <c r="AA11" s="253">
        <f t="shared" si="0"/>
        <v>446340.4</v>
      </c>
    </row>
    <row r="12" spans="2:27" x14ac:dyDescent="0.35">
      <c r="B12" s="251" t="s">
        <v>258</v>
      </c>
      <c r="C12" s="252">
        <f>SUM('F) Remuneraciones'!J11:J35)*0.5</f>
        <v>1471322</v>
      </c>
      <c r="D12" s="269"/>
      <c r="E12" s="255">
        <v>0</v>
      </c>
      <c r="F12" s="255"/>
      <c r="G12" s="255">
        <v>0</v>
      </c>
      <c r="H12" s="255"/>
      <c r="I12" s="255">
        <v>0</v>
      </c>
      <c r="J12" s="255"/>
      <c r="K12" s="255">
        <v>0</v>
      </c>
      <c r="L12" s="255"/>
      <c r="M12" s="255">
        <v>0</v>
      </c>
      <c r="N12" s="255"/>
      <c r="O12" s="255">
        <v>0</v>
      </c>
      <c r="P12" s="255"/>
      <c r="Q12" s="255">
        <v>0</v>
      </c>
      <c r="R12" s="255"/>
      <c r="S12" s="255">
        <f>SUM('F) Remuneraciones'!I11:I35)*0.5</f>
        <v>695716</v>
      </c>
      <c r="T12" s="255"/>
      <c r="U12" s="255">
        <v>0</v>
      </c>
      <c r="V12" s="255"/>
      <c r="W12" s="255">
        <v>0</v>
      </c>
      <c r="X12" s="256"/>
      <c r="Y12" s="256">
        <f>+C12+S12</f>
        <v>2167038</v>
      </c>
      <c r="Z12" s="270"/>
      <c r="AA12" s="253">
        <f t="shared" si="0"/>
        <v>4334076</v>
      </c>
    </row>
    <row r="13" spans="2:27" x14ac:dyDescent="0.35">
      <c r="B13" s="277" t="s">
        <v>290</v>
      </c>
      <c r="C13" s="258"/>
      <c r="D13" s="258"/>
      <c r="E13" s="258"/>
      <c r="F13" s="258"/>
      <c r="G13" s="258"/>
      <c r="H13" s="258"/>
      <c r="I13" s="258"/>
      <c r="J13" s="258"/>
      <c r="K13" s="258"/>
      <c r="L13" s="258"/>
      <c r="M13" s="258"/>
      <c r="N13" s="258"/>
      <c r="O13" s="258"/>
      <c r="P13" s="258"/>
      <c r="Q13" s="258"/>
      <c r="R13" s="258"/>
      <c r="S13" s="258"/>
      <c r="T13" s="258"/>
      <c r="U13" s="258"/>
      <c r="V13" s="258"/>
      <c r="W13" s="258"/>
      <c r="X13" s="278"/>
      <c r="Y13" s="278"/>
      <c r="Z13" s="278"/>
      <c r="AA13" s="279"/>
    </row>
    <row r="14" spans="2:27" ht="15" thickBot="1" x14ac:dyDescent="0.4">
      <c r="B14" s="257" t="s">
        <v>259</v>
      </c>
      <c r="C14" s="258">
        <f>(+'C) Costos Directos'!$H$80-'C) Costos Directos'!$D$13)*C17</f>
        <v>5671196.9466219563</v>
      </c>
      <c r="D14" s="258"/>
      <c r="E14" s="258">
        <f>(+'C) Costos Directos'!$H$80-'C) Costos Directos'!$D$13)*E17</f>
        <v>5463779.9188889759</v>
      </c>
      <c r="F14" s="258"/>
      <c r="G14" s="258">
        <f>(+'C) Costos Directos'!$H$80-'C) Costos Directos'!$D$13)*G17</f>
        <v>8001712.4263685159</v>
      </c>
      <c r="H14" s="258"/>
      <c r="I14" s="258">
        <f>(+'C) Costos Directos'!$H$80-'C) Costos Directos'!$D$13)*I17</f>
        <v>8268568.9804294379</v>
      </c>
      <c r="J14" s="258"/>
      <c r="K14" s="258">
        <f>(+'C) Costos Directos'!$H$80-'C) Costos Directos'!$D$13)*K17</f>
        <v>10628985.384130465</v>
      </c>
      <c r="L14" s="258"/>
      <c r="M14" s="258">
        <f>(+'C) Costos Directos'!$H$80-'C) Costos Directos'!$D$13)*M17</f>
        <v>4389233.4126128647</v>
      </c>
      <c r="N14" s="258"/>
      <c r="O14" s="258">
        <f>(+'C) Costos Directos'!$H$80-'C) Costos Directos'!$D$13)*O17</f>
        <v>11412482.990189511</v>
      </c>
      <c r="P14" s="258"/>
      <c r="Q14" s="258">
        <f>(+'C) Costos Directos'!$H$80-'C) Costos Directos'!$D$13)*Q17</f>
        <v>2995229.3103062059</v>
      </c>
      <c r="R14" s="258"/>
      <c r="S14" s="258">
        <f>(+'C) Costos Directos'!$H$80-'C) Costos Directos'!$D$13)*S17</f>
        <v>6579935.7039127825</v>
      </c>
      <c r="T14" s="258"/>
      <c r="U14" s="258">
        <f>(+'C) Costos Directos'!$H$80-'C) Costos Directos'!$D$13)*U17</f>
        <v>8650076.1601028666</v>
      </c>
      <c r="V14" s="258"/>
      <c r="W14" s="258">
        <f>(+'C) Costos Directos'!$H$80-'C) Costos Directos'!$D$13)*W17</f>
        <v>11691946.99333724</v>
      </c>
      <c r="X14" s="258"/>
      <c r="Y14" s="258">
        <f>(+'C) Costos Directos'!$H$80-'C) Costos Directos'!$D$13)*Y17</f>
        <v>4957796.489099198</v>
      </c>
      <c r="Z14" s="278"/>
      <c r="AA14" s="253">
        <f t="shared" si="0"/>
        <v>88710944.716000021</v>
      </c>
    </row>
    <row r="15" spans="2:27" ht="15" thickBot="1" x14ac:dyDescent="0.4">
      <c r="B15" s="259" t="s">
        <v>260</v>
      </c>
      <c r="C15" s="260">
        <f>+C9-C10-C11-C12-C14</f>
        <v>658869.87753880583</v>
      </c>
      <c r="D15" s="260"/>
      <c r="E15" s="261">
        <f>+E9-E10-E11-E12-E14</f>
        <v>5893283.8800678672</v>
      </c>
      <c r="F15" s="261"/>
      <c r="G15" s="261">
        <f>+G9-G10-G11-G12-G14</f>
        <v>5102263.4549461547</v>
      </c>
      <c r="H15" s="261"/>
      <c r="I15" s="261">
        <f>+I9-I10-I11-I12-I14</f>
        <v>3001528.8164818985</v>
      </c>
      <c r="J15" s="261"/>
      <c r="K15" s="261">
        <f>+K9-K10-K11-K12-K14</f>
        <v>-1199992.7904022578</v>
      </c>
      <c r="L15" s="261"/>
      <c r="M15" s="261">
        <f>+M9-M10-M11-M12-M14</f>
        <v>6969102.2750991378</v>
      </c>
      <c r="N15" s="261"/>
      <c r="O15" s="261">
        <f>+O9-O10-O11-O12-O14</f>
        <v>1470257.7584354915</v>
      </c>
      <c r="P15" s="261"/>
      <c r="Q15" s="261">
        <f>+Q9-Q10-Q11-Q12-Q14</f>
        <v>12152309.012217823</v>
      </c>
      <c r="R15" s="261"/>
      <c r="S15" s="261">
        <f>+S9-S10-S11-S12-S14</f>
        <v>4016122.2850752147</v>
      </c>
      <c r="T15" s="261"/>
      <c r="U15" s="261">
        <f>+U9-U10-U11-U12-U14</f>
        <v>3839768.4930804968</v>
      </c>
      <c r="V15" s="261"/>
      <c r="W15" s="261">
        <f>+W9-W10-W11-W12-W14</f>
        <v>-3611615.0229588095</v>
      </c>
      <c r="X15" s="282"/>
      <c r="Y15" s="262">
        <f>+Y9-Y10-Y11-Y12-Y14</f>
        <v>1980068.8444181522</v>
      </c>
      <c r="Z15" s="284"/>
      <c r="AA15" s="263">
        <f>+AA9-AA10-AA11-AA12-AA14</f>
        <v>40271966.883999974</v>
      </c>
    </row>
    <row r="16" spans="2:27" x14ac:dyDescent="0.35">
      <c r="B16" s="264" t="s">
        <v>261</v>
      </c>
      <c r="C16" s="265">
        <v>6.7272982426619124E-2</v>
      </c>
      <c r="D16" s="265"/>
      <c r="E16" s="265">
        <v>8.4930965174226339E-2</v>
      </c>
      <c r="F16" s="265"/>
      <c r="G16" s="265">
        <v>9.3606376630705201E-2</v>
      </c>
      <c r="H16" s="265"/>
      <c r="I16" s="265">
        <v>8.3944932435213393E-2</v>
      </c>
      <c r="J16" s="265"/>
      <c r="K16" s="265">
        <v>7.4801744673457404E-2</v>
      </c>
      <c r="L16" s="265"/>
      <c r="M16" s="265">
        <v>8.438313422938408E-2</v>
      </c>
      <c r="N16" s="265"/>
      <c r="O16" s="265">
        <v>9.1953544476881643E-2</v>
      </c>
      <c r="P16" s="265"/>
      <c r="Q16" s="265">
        <v>0.10320084822939216</v>
      </c>
      <c r="R16" s="265"/>
      <c r="S16" s="265">
        <v>8.4052579458194027E-2</v>
      </c>
      <c r="T16" s="265"/>
      <c r="U16" s="265">
        <v>9.0002367126845978E-2</v>
      </c>
      <c r="V16" s="265"/>
      <c r="W16" s="265">
        <v>6.8104106056796912E-2</v>
      </c>
      <c r="X16" s="265"/>
      <c r="Y16" s="265">
        <v>7.3746419082283743E-2</v>
      </c>
      <c r="Z16" s="265"/>
      <c r="AA16" s="266"/>
    </row>
    <row r="17" spans="2:27" x14ac:dyDescent="0.35">
      <c r="B17" s="264" t="s">
        <v>262</v>
      </c>
      <c r="C17" s="265">
        <v>6.3928943207377339E-2</v>
      </c>
      <c r="D17" s="265"/>
      <c r="E17" s="265">
        <v>6.1590821024178781E-2</v>
      </c>
      <c r="F17" s="265"/>
      <c r="G17" s="265">
        <v>9.0199833312397545E-2</v>
      </c>
      <c r="H17" s="265"/>
      <c r="I17" s="265">
        <v>9.3207991493050896E-2</v>
      </c>
      <c r="J17" s="265"/>
      <c r="K17" s="265">
        <v>0.11981594174380839</v>
      </c>
      <c r="L17" s="265"/>
      <c r="M17" s="265">
        <v>4.9477924360568977E-2</v>
      </c>
      <c r="N17" s="265"/>
      <c r="O17" s="265">
        <v>0.12864797040236164</v>
      </c>
      <c r="P17" s="265"/>
      <c r="Q17" s="265">
        <v>3.3763920786720948E-2</v>
      </c>
      <c r="R17" s="265"/>
      <c r="S17" s="265">
        <v>7.4172761038424795E-2</v>
      </c>
      <c r="T17" s="265"/>
      <c r="U17" s="265">
        <v>9.7508556444701328E-2</v>
      </c>
      <c r="V17" s="265"/>
      <c r="W17" s="265">
        <v>0.13179824688788896</v>
      </c>
      <c r="X17" s="265"/>
      <c r="Y17" s="265">
        <v>5.5887089298520383E-2</v>
      </c>
      <c r="Z17" s="265"/>
      <c r="AA17" s="266"/>
    </row>
    <row r="18" spans="2:27" ht="15" thickBot="1" x14ac:dyDescent="0.4">
      <c r="B18" s="267"/>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row>
    <row r="19" spans="2:27" ht="29.5" thickBot="1" x14ac:dyDescent="0.4">
      <c r="B19" s="245" t="s">
        <v>263</v>
      </c>
      <c r="C19" s="246" t="s">
        <v>243</v>
      </c>
      <c r="D19" s="246" t="s">
        <v>277</v>
      </c>
      <c r="E19" s="247" t="s">
        <v>244</v>
      </c>
      <c r="F19" s="247" t="s">
        <v>278</v>
      </c>
      <c r="G19" s="247" t="s">
        <v>245</v>
      </c>
      <c r="H19" s="247" t="s">
        <v>279</v>
      </c>
      <c r="I19" s="247" t="s">
        <v>246</v>
      </c>
      <c r="J19" s="247" t="s">
        <v>280</v>
      </c>
      <c r="K19" s="247" t="s">
        <v>247</v>
      </c>
      <c r="L19" s="247" t="s">
        <v>281</v>
      </c>
      <c r="M19" s="247" t="s">
        <v>248</v>
      </c>
      <c r="N19" s="247" t="s">
        <v>282</v>
      </c>
      <c r="O19" s="247" t="s">
        <v>197</v>
      </c>
      <c r="P19" s="247" t="s">
        <v>283</v>
      </c>
      <c r="Q19" s="247" t="s">
        <v>249</v>
      </c>
      <c r="R19" s="247" t="s">
        <v>284</v>
      </c>
      <c r="S19" s="248" t="s">
        <v>250</v>
      </c>
      <c r="T19" s="248" t="s">
        <v>285</v>
      </c>
      <c r="U19" s="248" t="s">
        <v>251</v>
      </c>
      <c r="V19" s="248" t="s">
        <v>286</v>
      </c>
      <c r="W19" s="248" t="s">
        <v>252</v>
      </c>
      <c r="X19" s="281" t="s">
        <v>287</v>
      </c>
      <c r="Y19" s="249" t="s">
        <v>253</v>
      </c>
      <c r="Z19" s="283" t="s">
        <v>288</v>
      </c>
      <c r="AA19" s="250" t="s">
        <v>254</v>
      </c>
    </row>
    <row r="20" spans="2:27" x14ac:dyDescent="0.35">
      <c r="B20" s="251" t="s">
        <v>255</v>
      </c>
      <c r="C20" s="269">
        <f>+'A) Resumen Ingresos y Egresos'!$E$10*'K='!C27</f>
        <v>17001900.33809888</v>
      </c>
      <c r="D20" s="269"/>
      <c r="E20" s="269">
        <f>+'A) Resumen Ingresos y Egresos'!$E$10*'K='!E27</f>
        <v>30670248.196731754</v>
      </c>
      <c r="F20" s="269"/>
      <c r="G20" s="269">
        <f>+'A) Resumen Ingresos y Egresos'!$E$10*'K='!G27</f>
        <v>20850296.157996997</v>
      </c>
      <c r="H20" s="269"/>
      <c r="I20" s="269">
        <f>+'A) Resumen Ingresos y Egresos'!$E$10*'K='!I27</f>
        <v>12658559.776155746</v>
      </c>
      <c r="J20" s="269"/>
      <c r="K20" s="269">
        <f>+'A) Resumen Ingresos y Egresos'!$E$10*'K='!K27</f>
        <v>12000355.367195874</v>
      </c>
      <c r="L20" s="269"/>
      <c r="M20" s="269">
        <f>+'A) Resumen Ingresos y Egresos'!$E$10*'K='!M27</f>
        <v>7258384.9808259252</v>
      </c>
      <c r="N20" s="269"/>
      <c r="O20" s="269">
        <f>+'A) Resumen Ingresos y Egresos'!$E$10*'K='!O27</f>
        <v>12988316.704669515</v>
      </c>
      <c r="P20" s="269"/>
      <c r="Q20" s="269">
        <f>+'A) Resumen Ingresos y Egresos'!$E$10*'K='!Q27</f>
        <v>13378828.264341898</v>
      </c>
      <c r="R20" s="269"/>
      <c r="S20" s="269">
        <f>+'A) Resumen Ingresos y Egresos'!$E$10*'K='!S27</f>
        <v>12576871.205494326</v>
      </c>
      <c r="T20" s="269"/>
      <c r="U20" s="269">
        <f>+'A) Resumen Ingresos y Egresos'!$E$10*'K='!U27</f>
        <v>10899316.297247402</v>
      </c>
      <c r="V20" s="269"/>
      <c r="W20" s="269">
        <f>+'A) Resumen Ingresos y Egresos'!$E$10*'K='!W27</f>
        <v>10946194.851334907</v>
      </c>
      <c r="X20" s="269"/>
      <c r="Y20" s="269">
        <f>+'A) Resumen Ingresos y Egresos'!$E$10*'K='!Y27</f>
        <v>20941327.859906774</v>
      </c>
      <c r="Z20" s="270"/>
      <c r="AA20" s="253">
        <f>SUM(C20:Y20)</f>
        <v>182170599.99999997</v>
      </c>
    </row>
    <row r="21" spans="2:27" x14ac:dyDescent="0.35">
      <c r="B21" s="251" t="s">
        <v>256</v>
      </c>
      <c r="C21" s="269">
        <f>SUM('F) Remuneraciones'!$K$36:$K$46)/12</f>
        <v>6906379.75</v>
      </c>
      <c r="D21" s="269"/>
      <c r="E21" s="269">
        <f>SUM('F) Remuneraciones'!$K$36:$K$46)/12</f>
        <v>6906379.75</v>
      </c>
      <c r="F21" s="269"/>
      <c r="G21" s="269">
        <f>SUM('F) Remuneraciones'!$K$36:$K$46)/12</f>
        <v>6906379.75</v>
      </c>
      <c r="H21" s="269"/>
      <c r="I21" s="269">
        <f>SUM('F) Remuneraciones'!$K$36:$K$46)/12</f>
        <v>6906379.75</v>
      </c>
      <c r="J21" s="269"/>
      <c r="K21" s="269">
        <f>SUM('F) Remuneraciones'!$K$36:$K$46)/12</f>
        <v>6906379.75</v>
      </c>
      <c r="L21" s="269"/>
      <c r="M21" s="269">
        <f>SUM('F) Remuneraciones'!$K$36:$K$46)/12</f>
        <v>6906379.75</v>
      </c>
      <c r="N21" s="269"/>
      <c r="O21" s="269">
        <f>SUM('F) Remuneraciones'!$K$36:$K$46)/12</f>
        <v>6906379.75</v>
      </c>
      <c r="P21" s="269"/>
      <c r="Q21" s="269">
        <f>SUM('F) Remuneraciones'!$K$36:$K$46)/12</f>
        <v>6906379.75</v>
      </c>
      <c r="R21" s="269"/>
      <c r="S21" s="269">
        <f>SUM('F) Remuneraciones'!$K$36:$K$46)/12</f>
        <v>6906379.75</v>
      </c>
      <c r="T21" s="269"/>
      <c r="U21" s="269">
        <f>SUM('F) Remuneraciones'!$K$36:$K$46)/12</f>
        <v>6906379.75</v>
      </c>
      <c r="V21" s="269"/>
      <c r="W21" s="269">
        <f>SUM('F) Remuneraciones'!$K$36:$K$46)/12</f>
        <v>6906379.75</v>
      </c>
      <c r="X21" s="269"/>
      <c r="Y21" s="269">
        <f>SUM('F) Remuneraciones'!$K$36:$K$46)/12</f>
        <v>6906379.75</v>
      </c>
      <c r="Z21" s="270"/>
      <c r="AA21" s="253">
        <f t="shared" ref="AA21:AA25" si="1">SUM(C21:Y21)</f>
        <v>82876557</v>
      </c>
    </row>
    <row r="22" spans="2:27" x14ac:dyDescent="0.35">
      <c r="B22" s="251" t="s">
        <v>257</v>
      </c>
      <c r="C22" s="269">
        <f>SUM('F) Remuneraciones'!K47:K57)/4</f>
        <v>0</v>
      </c>
      <c r="D22" s="269"/>
      <c r="E22" s="269">
        <f>+C22</f>
        <v>0</v>
      </c>
      <c r="F22" s="269"/>
      <c r="G22" s="269">
        <f>+C22</f>
        <v>0</v>
      </c>
      <c r="H22" s="269"/>
      <c r="I22" s="269">
        <v>0</v>
      </c>
      <c r="J22" s="269"/>
      <c r="K22" s="269">
        <v>0</v>
      </c>
      <c r="L22" s="269"/>
      <c r="M22" s="269">
        <v>0</v>
      </c>
      <c r="N22" s="269"/>
      <c r="O22" s="269">
        <v>0</v>
      </c>
      <c r="P22" s="269"/>
      <c r="Q22" s="269">
        <v>0</v>
      </c>
      <c r="R22" s="269"/>
      <c r="S22" s="269">
        <v>0</v>
      </c>
      <c r="T22" s="269"/>
      <c r="U22" s="269">
        <v>0</v>
      </c>
      <c r="V22" s="269"/>
      <c r="W22" s="269">
        <v>0</v>
      </c>
      <c r="X22" s="270"/>
      <c r="Y22" s="270">
        <f>+G22</f>
        <v>0</v>
      </c>
      <c r="Z22" s="270"/>
      <c r="AA22" s="253">
        <f t="shared" si="1"/>
        <v>0</v>
      </c>
    </row>
    <row r="23" spans="2:27" x14ac:dyDescent="0.35">
      <c r="B23" s="251" t="s">
        <v>258</v>
      </c>
      <c r="C23" s="269">
        <f>SUM('F) Remuneraciones'!J36:J57)*0.5</f>
        <v>1666000.5</v>
      </c>
      <c r="D23" s="269"/>
      <c r="E23" s="255">
        <v>0</v>
      </c>
      <c r="F23" s="255"/>
      <c r="G23" s="255">
        <v>0</v>
      </c>
      <c r="H23" s="255"/>
      <c r="I23" s="255">
        <v>0</v>
      </c>
      <c r="J23" s="255"/>
      <c r="K23" s="255">
        <v>0</v>
      </c>
      <c r="L23" s="255"/>
      <c r="M23" s="255">
        <v>0</v>
      </c>
      <c r="N23" s="255"/>
      <c r="O23" s="255">
        <v>0</v>
      </c>
      <c r="P23" s="255"/>
      <c r="Q23" s="255">
        <v>0</v>
      </c>
      <c r="R23" s="269"/>
      <c r="S23" s="269">
        <f>SUM('F) Remuneraciones'!I36:I57)*0.5</f>
        <v>782952</v>
      </c>
      <c r="T23" s="269"/>
      <c r="U23" s="255">
        <v>0</v>
      </c>
      <c r="V23" s="255"/>
      <c r="W23" s="255">
        <v>0</v>
      </c>
      <c r="X23" s="256"/>
      <c r="Y23" s="256">
        <f>+C23+S23</f>
        <v>2448952.5</v>
      </c>
      <c r="Z23" s="270"/>
      <c r="AA23" s="253">
        <f t="shared" si="1"/>
        <v>4897905</v>
      </c>
    </row>
    <row r="24" spans="2:27" x14ac:dyDescent="0.35">
      <c r="B24" s="277" t="s">
        <v>290</v>
      </c>
      <c r="C24" s="258"/>
      <c r="D24" s="258"/>
      <c r="E24" s="258"/>
      <c r="F24" s="258"/>
      <c r="G24" s="258"/>
      <c r="H24" s="258"/>
      <c r="I24" s="258"/>
      <c r="J24" s="258"/>
      <c r="K24" s="258"/>
      <c r="L24" s="258"/>
      <c r="M24" s="258"/>
      <c r="N24" s="258"/>
      <c r="O24" s="258"/>
      <c r="P24" s="258"/>
      <c r="Q24" s="258"/>
      <c r="R24" s="258"/>
      <c r="S24" s="258"/>
      <c r="T24" s="258"/>
      <c r="U24" s="258"/>
      <c r="V24" s="258"/>
      <c r="W24" s="258"/>
      <c r="X24" s="278"/>
      <c r="Y24" s="278"/>
      <c r="Z24" s="278"/>
      <c r="AA24" s="279"/>
    </row>
    <row r="25" spans="2:27" ht="15" thickBot="1" x14ac:dyDescent="0.4">
      <c r="B25" s="257" t="s">
        <v>259</v>
      </c>
      <c r="C25" s="258">
        <f>(+'C) Costos Directos'!$D$152-'C) Costos Directos'!$D$85)*C28</f>
        <v>8080699.1374338064</v>
      </c>
      <c r="D25" s="258"/>
      <c r="E25" s="258">
        <f>(+'C) Costos Directos'!$D$152-'C) Costos Directos'!$D$85)*E28</f>
        <v>6028230.7914261185</v>
      </c>
      <c r="F25" s="258"/>
      <c r="G25" s="258">
        <f>(+'C) Costos Directos'!$D$152-'C) Costos Directos'!$D$85)*G28</f>
        <v>9075347.8556418288</v>
      </c>
      <c r="H25" s="258"/>
      <c r="I25" s="258">
        <f>(+'C) Costos Directos'!$D$152-'C) Costos Directos'!$D$85)*I28</f>
        <v>8623751.1684503071</v>
      </c>
      <c r="J25" s="258"/>
      <c r="K25" s="258">
        <f>(+'C) Costos Directos'!$D$152-'C) Costos Directos'!$D$85)*K28</f>
        <v>4825744.8860449055</v>
      </c>
      <c r="L25" s="258"/>
      <c r="M25" s="258">
        <f>(+'C) Costos Directos'!$D$152-'C) Costos Directos'!$D$85)*M28</f>
        <v>4426021.6501406729</v>
      </c>
      <c r="N25" s="258"/>
      <c r="O25" s="258">
        <f>(+'C) Costos Directos'!$D$152-'C) Costos Directos'!$D$85)*O28</f>
        <v>6914072.9393353481</v>
      </c>
      <c r="P25" s="258"/>
      <c r="Q25" s="258">
        <f>(+'C) Costos Directos'!$D$152-'C) Costos Directos'!$D$85)*Q28</f>
        <v>2651802.7776144696</v>
      </c>
      <c r="R25" s="258"/>
      <c r="S25" s="258">
        <f>(+'C) Costos Directos'!$D$152-'C) Costos Directos'!$D$85)*S28</f>
        <v>3909482.1262279954</v>
      </c>
      <c r="T25" s="258"/>
      <c r="U25" s="258">
        <f>(+'C) Costos Directos'!$D$152-'C) Costos Directos'!$D$85)*U28</f>
        <v>6028985.8524513282</v>
      </c>
      <c r="V25" s="258"/>
      <c r="W25" s="258">
        <f>(+'C) Costos Directos'!$D$152-'C) Costos Directos'!$D$85)*W28</f>
        <v>7537317.0043610567</v>
      </c>
      <c r="X25" s="258"/>
      <c r="Y25" s="258">
        <f>(+'C) Costos Directos'!$D$152-'C) Costos Directos'!$D$85)*Y28</f>
        <v>1484028.8108721608</v>
      </c>
      <c r="Z25" s="278"/>
      <c r="AA25" s="253">
        <f t="shared" si="1"/>
        <v>69585485.000000015</v>
      </c>
    </row>
    <row r="26" spans="2:27" ht="15" thickBot="1" x14ac:dyDescent="0.4">
      <c r="B26" s="259" t="s">
        <v>260</v>
      </c>
      <c r="C26" s="260">
        <f>+C20-C21-C22-C23-C25</f>
        <v>348820.95066507347</v>
      </c>
      <c r="D26" s="260"/>
      <c r="E26" s="261">
        <f>+E20-E21-E22-E23-E25</f>
        <v>17735637.655305635</v>
      </c>
      <c r="F26" s="261"/>
      <c r="G26" s="261">
        <f>+G20-G21-G22-G23-G25</f>
        <v>4868568.5523551684</v>
      </c>
      <c r="H26" s="261"/>
      <c r="I26" s="261">
        <f>+I20-I21-I22-I23-I25</f>
        <v>-2871571.1422945615</v>
      </c>
      <c r="J26" s="261"/>
      <c r="K26" s="261">
        <f>+K20-K21-K22-K23-K25</f>
        <v>268230.73115096893</v>
      </c>
      <c r="L26" s="261"/>
      <c r="M26" s="261">
        <f>+M20-M21-M22-M23-M25</f>
        <v>-4074016.4193147477</v>
      </c>
      <c r="N26" s="261"/>
      <c r="O26" s="261">
        <f>+O20-O21-O22-O23-O25</f>
        <v>-832135.98466583341</v>
      </c>
      <c r="P26" s="261"/>
      <c r="Q26" s="261">
        <f>+Q20-Q21-Q22-Q23-Q25</f>
        <v>3820645.7367274286</v>
      </c>
      <c r="R26" s="261"/>
      <c r="S26" s="261">
        <f>+S20-S21-S22-S23-S25</f>
        <v>978057.32926633023</v>
      </c>
      <c r="T26" s="261"/>
      <c r="U26" s="261">
        <f>+U20-U21-U22-U23-U25</f>
        <v>-2036049.3052039258</v>
      </c>
      <c r="V26" s="261"/>
      <c r="W26" s="261">
        <f>+W20-W21-W22-W23-W25</f>
        <v>-3497501.9030261496</v>
      </c>
      <c r="X26" s="282"/>
      <c r="Y26" s="262">
        <f>+Y20-Y21-Y22-Y23-Y25</f>
        <v>10101966.799034614</v>
      </c>
      <c r="Z26" s="284"/>
      <c r="AA26" s="263">
        <f>+AA20-AA21-AA22-AA23-AA25</f>
        <v>24810652.999999955</v>
      </c>
    </row>
    <row r="27" spans="2:27" x14ac:dyDescent="0.35">
      <c r="B27" s="264" t="s">
        <v>261</v>
      </c>
      <c r="C27" s="271">
        <v>9.3329551190471344E-2</v>
      </c>
      <c r="D27" s="271"/>
      <c r="E27" s="271">
        <v>0.1683600328303895</v>
      </c>
      <c r="F27" s="271"/>
      <c r="G27" s="271">
        <v>0.11445478116664817</v>
      </c>
      <c r="H27" s="271"/>
      <c r="I27" s="271">
        <v>6.9487391358187031E-2</v>
      </c>
      <c r="J27" s="271"/>
      <c r="K27" s="271">
        <v>6.5874270421219863E-2</v>
      </c>
      <c r="L27" s="271"/>
      <c r="M27" s="271">
        <v>3.9843887986458437E-2</v>
      </c>
      <c r="N27" s="271"/>
      <c r="O27" s="271">
        <v>7.1297545842575666E-2</v>
      </c>
      <c r="P27" s="271"/>
      <c r="Q27" s="271">
        <v>7.3441204367455007E-2</v>
      </c>
      <c r="R27" s="271"/>
      <c r="S27" s="271">
        <v>6.9038973388100638E-2</v>
      </c>
      <c r="T27" s="271"/>
      <c r="U27" s="271">
        <v>5.9830270621315414E-2</v>
      </c>
      <c r="V27" s="271"/>
      <c r="W27" s="271">
        <v>6.0087603879741887E-2</v>
      </c>
      <c r="X27" s="271"/>
      <c r="Y27" s="271">
        <v>0.11495448694743704</v>
      </c>
      <c r="Z27" s="271"/>
      <c r="AA27" s="272"/>
    </row>
    <row r="28" spans="2:27" x14ac:dyDescent="0.35">
      <c r="B28" s="264" t="s">
        <v>262</v>
      </c>
      <c r="C28" s="271">
        <v>0.11612621709015618</v>
      </c>
      <c r="D28" s="271"/>
      <c r="E28" s="271">
        <v>8.6630578078547821E-2</v>
      </c>
      <c r="F28" s="271"/>
      <c r="G28" s="271">
        <v>0.13042012792814234</v>
      </c>
      <c r="H28" s="271"/>
      <c r="I28" s="271">
        <v>0.12393031633609089</v>
      </c>
      <c r="J28" s="271"/>
      <c r="K28" s="271">
        <v>6.9349877866697426E-2</v>
      </c>
      <c r="L28" s="271"/>
      <c r="M28" s="271">
        <v>6.3605529948388986E-2</v>
      </c>
      <c r="N28" s="271"/>
      <c r="O28" s="271">
        <v>9.93608500297921E-2</v>
      </c>
      <c r="P28" s="271"/>
      <c r="Q28" s="271">
        <v>3.8108562117724259E-2</v>
      </c>
      <c r="R28" s="271"/>
      <c r="S28" s="271">
        <v>5.6182436987081363E-2</v>
      </c>
      <c r="T28" s="271"/>
      <c r="U28" s="271">
        <v>8.6641428919426638E-2</v>
      </c>
      <c r="V28" s="271"/>
      <c r="W28" s="271">
        <v>0.10831737400926439</v>
      </c>
      <c r="X28" s="271"/>
      <c r="Y28" s="271">
        <v>2.1326700688687604E-2</v>
      </c>
      <c r="Z28" s="271"/>
      <c r="AA28" s="272"/>
    </row>
    <row r="29" spans="2:27" ht="15" thickBot="1" x14ac:dyDescent="0.4">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row>
    <row r="30" spans="2:27" ht="29.5" thickBot="1" x14ac:dyDescent="0.4">
      <c r="B30" s="245" t="s">
        <v>264</v>
      </c>
      <c r="C30" s="246" t="s">
        <v>243</v>
      </c>
      <c r="D30" s="246" t="s">
        <v>277</v>
      </c>
      <c r="E30" s="247" t="s">
        <v>244</v>
      </c>
      <c r="F30" s="247" t="s">
        <v>278</v>
      </c>
      <c r="G30" s="247" t="s">
        <v>245</v>
      </c>
      <c r="H30" s="247" t="s">
        <v>279</v>
      </c>
      <c r="I30" s="247" t="s">
        <v>246</v>
      </c>
      <c r="J30" s="247" t="s">
        <v>280</v>
      </c>
      <c r="K30" s="247" t="s">
        <v>247</v>
      </c>
      <c r="L30" s="247" t="s">
        <v>281</v>
      </c>
      <c r="M30" s="247" t="s">
        <v>248</v>
      </c>
      <c r="N30" s="247" t="s">
        <v>282</v>
      </c>
      <c r="O30" s="247" t="s">
        <v>197</v>
      </c>
      <c r="P30" s="247" t="s">
        <v>283</v>
      </c>
      <c r="Q30" s="247" t="s">
        <v>249</v>
      </c>
      <c r="R30" s="247" t="s">
        <v>284</v>
      </c>
      <c r="S30" s="248" t="s">
        <v>250</v>
      </c>
      <c r="T30" s="248" t="s">
        <v>285</v>
      </c>
      <c r="U30" s="248" t="s">
        <v>251</v>
      </c>
      <c r="V30" s="248" t="s">
        <v>286</v>
      </c>
      <c r="W30" s="248" t="s">
        <v>252</v>
      </c>
      <c r="X30" s="281" t="s">
        <v>287</v>
      </c>
      <c r="Y30" s="249" t="s">
        <v>253</v>
      </c>
      <c r="Z30" s="283" t="s">
        <v>288</v>
      </c>
      <c r="AA30" s="250" t="s">
        <v>254</v>
      </c>
    </row>
    <row r="31" spans="2:27" x14ac:dyDescent="0.35">
      <c r="B31" s="251" t="s">
        <v>255</v>
      </c>
      <c r="C31" s="269">
        <f>+'A) Resumen Ingresos y Egresos'!$E$11*'K='!C38</f>
        <v>20719974.295523632</v>
      </c>
      <c r="D31" s="269"/>
      <c r="E31" s="269">
        <f>+'A) Resumen Ingresos y Egresos'!$E$11*'K='!E38</f>
        <v>33860683.178333402</v>
      </c>
      <c r="F31" s="269"/>
      <c r="G31" s="269">
        <f>+'A) Resumen Ingresos y Egresos'!$E$11*'K='!G38</f>
        <v>11570725.554083863</v>
      </c>
      <c r="H31" s="269"/>
      <c r="I31" s="269">
        <f>+'A) Resumen Ingresos y Egresos'!$E$11*'K='!I38</f>
        <v>4488142.0880270889</v>
      </c>
      <c r="J31" s="269"/>
      <c r="K31" s="269">
        <f>+'A) Resumen Ingresos y Egresos'!$E$11*'K='!K38</f>
        <v>1521841.5403297932</v>
      </c>
      <c r="L31" s="269"/>
      <c r="M31" s="269">
        <f>+'A) Resumen Ingresos y Egresos'!$E$11*'K='!M38</f>
        <v>1262502.582061484</v>
      </c>
      <c r="N31" s="269"/>
      <c r="O31" s="269">
        <f>+'A) Resumen Ingresos y Egresos'!$E$11*'K='!O38</f>
        <v>2500225.9498674162</v>
      </c>
      <c r="P31" s="269"/>
      <c r="Q31" s="269">
        <f>+'A) Resumen Ingresos y Egresos'!$E$11*'K='!Q38</f>
        <v>3642327.6735323356</v>
      </c>
      <c r="R31" s="269"/>
      <c r="S31" s="269">
        <f>+'A) Resumen Ingresos y Egresos'!$E$11*'K='!S38</f>
        <v>5039922.8916067136</v>
      </c>
      <c r="T31" s="269"/>
      <c r="U31" s="269">
        <f>+'A) Resumen Ingresos y Egresos'!$E$11*'K='!U38</f>
        <v>4283205.6543805031</v>
      </c>
      <c r="V31" s="269"/>
      <c r="W31" s="269">
        <f>+'A) Resumen Ingresos y Egresos'!$E$11*'K='!W38</f>
        <v>4950198.181336537</v>
      </c>
      <c r="X31" s="269"/>
      <c r="Y31" s="269">
        <f>+'A) Resumen Ingresos y Egresos'!$E$11*'K='!Y38</f>
        <v>13469050.410917226</v>
      </c>
      <c r="Z31" s="270"/>
      <c r="AA31" s="253">
        <f t="shared" ref="AA31:AA36" si="2">SUM(C31:Y31)</f>
        <v>107308799.99999999</v>
      </c>
    </row>
    <row r="32" spans="2:27" x14ac:dyDescent="0.35">
      <c r="B32" s="251" t="s">
        <v>256</v>
      </c>
      <c r="C32" s="269">
        <f>SUM('F) Remuneraciones'!$K$58:$K$68)/12</f>
        <v>1748910.5</v>
      </c>
      <c r="D32" s="269"/>
      <c r="E32" s="269">
        <f>SUM('F) Remuneraciones'!$K$58:$K$68)/12</f>
        <v>1748910.5</v>
      </c>
      <c r="F32" s="269"/>
      <c r="G32" s="269">
        <f>SUM('F) Remuneraciones'!$K$58:$K$68)/12</f>
        <v>1748910.5</v>
      </c>
      <c r="H32" s="269"/>
      <c r="I32" s="269">
        <f>SUM('F) Remuneraciones'!$K$58:$K$68)/12</f>
        <v>1748910.5</v>
      </c>
      <c r="J32" s="269"/>
      <c r="K32" s="269">
        <f>SUM('F) Remuneraciones'!$K$58:$K$68)/12</f>
        <v>1748910.5</v>
      </c>
      <c r="L32" s="269"/>
      <c r="M32" s="269">
        <f>SUM('F) Remuneraciones'!$K$58:$K$68)/12</f>
        <v>1748910.5</v>
      </c>
      <c r="N32" s="269"/>
      <c r="O32" s="269">
        <f>SUM('F) Remuneraciones'!$K$58:$K$68)/12</f>
        <v>1748910.5</v>
      </c>
      <c r="P32" s="269"/>
      <c r="Q32" s="269">
        <f>SUM('F) Remuneraciones'!$K$58:$K$68)/12</f>
        <v>1748910.5</v>
      </c>
      <c r="R32" s="269"/>
      <c r="S32" s="269">
        <f>SUM('F) Remuneraciones'!$K$58:$K$68)/12</f>
        <v>1748910.5</v>
      </c>
      <c r="T32" s="269"/>
      <c r="U32" s="269">
        <f>SUM('F) Remuneraciones'!$K$58:$K$68)/12</f>
        <v>1748910.5</v>
      </c>
      <c r="V32" s="269"/>
      <c r="W32" s="269">
        <f>SUM('F) Remuneraciones'!$K$58:$K$68)/12</f>
        <v>1748910.5</v>
      </c>
      <c r="X32" s="269"/>
      <c r="Y32" s="269">
        <f>SUM('F) Remuneraciones'!$K$58:$K$68)/12</f>
        <v>1748910.5</v>
      </c>
      <c r="Z32" s="270"/>
      <c r="AA32" s="253">
        <f t="shared" si="2"/>
        <v>20986926</v>
      </c>
    </row>
    <row r="33" spans="2:27" x14ac:dyDescent="0.35">
      <c r="B33" s="251" t="s">
        <v>257</v>
      </c>
      <c r="C33" s="269">
        <f>SUM('F) Remuneraciones'!K69:K79)/4</f>
        <v>4650813.0100942496</v>
      </c>
      <c r="D33" s="269"/>
      <c r="E33" s="269">
        <f>+C33</f>
        <v>4650813.0100942496</v>
      </c>
      <c r="F33" s="269"/>
      <c r="G33" s="269">
        <f>+C33</f>
        <v>4650813.0100942496</v>
      </c>
      <c r="H33" s="269"/>
      <c r="I33" s="269">
        <v>0</v>
      </c>
      <c r="J33" s="269"/>
      <c r="K33" s="269">
        <v>0</v>
      </c>
      <c r="L33" s="269"/>
      <c r="M33" s="269">
        <v>0</v>
      </c>
      <c r="N33" s="269"/>
      <c r="O33" s="269">
        <v>0</v>
      </c>
      <c r="P33" s="269"/>
      <c r="Q33" s="269">
        <v>0</v>
      </c>
      <c r="R33" s="269"/>
      <c r="S33" s="269">
        <v>0</v>
      </c>
      <c r="T33" s="269"/>
      <c r="U33" s="269">
        <v>0</v>
      </c>
      <c r="V33" s="269"/>
      <c r="W33" s="269">
        <v>0</v>
      </c>
      <c r="X33" s="270"/>
      <c r="Y33" s="270">
        <f>+G33</f>
        <v>4650813.0100942496</v>
      </c>
      <c r="Z33" s="270"/>
      <c r="AA33" s="253">
        <f t="shared" si="2"/>
        <v>18603252.040376998</v>
      </c>
    </row>
    <row r="34" spans="2:27" x14ac:dyDescent="0.35">
      <c r="B34" s="251" t="s">
        <v>258</v>
      </c>
      <c r="C34" s="269">
        <f>SUM('F) Remuneraciones'!J58:J79)*0.5</f>
        <v>389357</v>
      </c>
      <c r="D34" s="269"/>
      <c r="E34" s="255">
        <v>0</v>
      </c>
      <c r="F34" s="255"/>
      <c r="G34" s="255">
        <v>0</v>
      </c>
      <c r="H34" s="255"/>
      <c r="I34" s="255">
        <v>0</v>
      </c>
      <c r="J34" s="255"/>
      <c r="K34" s="255">
        <v>0</v>
      </c>
      <c r="L34" s="255"/>
      <c r="M34" s="255">
        <v>0</v>
      </c>
      <c r="N34" s="255"/>
      <c r="O34" s="255">
        <v>0</v>
      </c>
      <c r="P34" s="255"/>
      <c r="Q34" s="255">
        <v>0</v>
      </c>
      <c r="R34" s="269"/>
      <c r="S34" s="269">
        <f>SUM('F) Remuneraciones'!I58:I79)*0.5</f>
        <v>174472</v>
      </c>
      <c r="T34" s="269"/>
      <c r="U34" s="255">
        <v>0</v>
      </c>
      <c r="V34" s="255"/>
      <c r="W34" s="255">
        <v>0</v>
      </c>
      <c r="X34" s="256"/>
      <c r="Y34" s="256">
        <f>+C34+S34</f>
        <v>563829</v>
      </c>
      <c r="Z34" s="270"/>
      <c r="AA34" s="253">
        <f t="shared" si="2"/>
        <v>1127658</v>
      </c>
    </row>
    <row r="35" spans="2:27" x14ac:dyDescent="0.35">
      <c r="B35" s="277" t="s">
        <v>290</v>
      </c>
      <c r="C35" s="258"/>
      <c r="D35" s="258"/>
      <c r="E35" s="258"/>
      <c r="F35" s="258"/>
      <c r="G35" s="258"/>
      <c r="H35" s="258"/>
      <c r="I35" s="258"/>
      <c r="J35" s="258"/>
      <c r="K35" s="258"/>
      <c r="L35" s="258"/>
      <c r="M35" s="258"/>
      <c r="N35" s="258"/>
      <c r="O35" s="258"/>
      <c r="P35" s="258"/>
      <c r="Q35" s="258"/>
      <c r="R35" s="258"/>
      <c r="S35" s="258"/>
      <c r="T35" s="258"/>
      <c r="U35" s="258"/>
      <c r="V35" s="258"/>
      <c r="W35" s="258"/>
      <c r="X35" s="278"/>
      <c r="Y35" s="278"/>
      <c r="Z35" s="278"/>
      <c r="AA35" s="279"/>
    </row>
    <row r="36" spans="2:27" ht="15" thickBot="1" x14ac:dyDescent="0.4">
      <c r="B36" s="257" t="s">
        <v>259</v>
      </c>
      <c r="C36" s="258">
        <f>(+'C) Costos Directos'!$D$224-'C) Costos Directos'!$D$157)*C39</f>
        <v>7269206.3452021005</v>
      </c>
      <c r="D36" s="258"/>
      <c r="E36" s="258">
        <f>(+'C) Costos Directos'!$D$224-'C) Costos Directos'!$D$157)*E39</f>
        <v>4397670.6979512731</v>
      </c>
      <c r="F36" s="258"/>
      <c r="G36" s="258">
        <f>(+'C) Costos Directos'!$D$224-'C) Costos Directos'!$D$157)*G39</f>
        <v>10202448.077731699</v>
      </c>
      <c r="H36" s="258"/>
      <c r="I36" s="258">
        <f>(+'C) Costos Directos'!$D$224-'C) Costos Directos'!$D$157)*I39</f>
        <v>1265695.0500904124</v>
      </c>
      <c r="J36" s="258"/>
      <c r="K36" s="258">
        <f>(+'C) Costos Directos'!$D$224-'C) Costos Directos'!$D$157)*K39</f>
        <v>2162323.32102085</v>
      </c>
      <c r="L36" s="258"/>
      <c r="M36" s="258">
        <f>(+'C) Costos Directos'!$D$224-'C) Costos Directos'!$D$157)*M39</f>
        <v>1042309.1568167511</v>
      </c>
      <c r="N36" s="258"/>
      <c r="O36" s="258">
        <f>(+'C) Costos Directos'!$D$224-'C) Costos Directos'!$D$157)*O39</f>
        <v>2327149.8172842301</v>
      </c>
      <c r="P36" s="258"/>
      <c r="Q36" s="258">
        <f>(+'C) Costos Directos'!$D$224-'C) Costos Directos'!$D$157)*Q39</f>
        <v>3033242.4076077598</v>
      </c>
      <c r="R36" s="258"/>
      <c r="S36" s="258">
        <f>(+'C) Costos Directos'!$D$224-'C) Costos Directos'!$D$157)*S39</f>
        <v>2721526.2120204484</v>
      </c>
      <c r="T36" s="258"/>
      <c r="U36" s="258">
        <f>(+'C) Costos Directos'!$D$224-'C) Costos Directos'!$D$157)*U39</f>
        <v>6975777.3272607941</v>
      </c>
      <c r="V36" s="258"/>
      <c r="W36" s="258">
        <f>(+'C) Costos Directos'!$D$224-'C) Costos Directos'!$D$157)*W39</f>
        <v>2884224.8193005538</v>
      </c>
      <c r="X36" s="258"/>
      <c r="Y36" s="258">
        <f>(+'C) Costos Directos'!$D$224-'C) Costos Directos'!$D$157)*Y39</f>
        <v>1657993.4177131348</v>
      </c>
      <c r="Z36" s="278"/>
      <c r="AA36" s="253">
        <f t="shared" si="2"/>
        <v>45939566.650000006</v>
      </c>
    </row>
    <row r="37" spans="2:27" ht="15" thickBot="1" x14ac:dyDescent="0.4">
      <c r="B37" s="259" t="s">
        <v>260</v>
      </c>
      <c r="C37" s="260">
        <f>+C31-C32-C33-C34-C36</f>
        <v>6661687.4402272822</v>
      </c>
      <c r="D37" s="260"/>
      <c r="E37" s="261">
        <f>+E31-E32-E33-E34-E36</f>
        <v>23063288.970287882</v>
      </c>
      <c r="F37" s="261"/>
      <c r="G37" s="261">
        <f>+G31-G32-G33-G34-G36</f>
        <v>-5031446.0337420851</v>
      </c>
      <c r="H37" s="261"/>
      <c r="I37" s="261">
        <f>+I31-I32-I33-I34-I36</f>
        <v>1473536.5379366765</v>
      </c>
      <c r="J37" s="261"/>
      <c r="K37" s="261">
        <f>+K31-K32-K33-K34-K36</f>
        <v>-2389392.2806910565</v>
      </c>
      <c r="L37" s="261"/>
      <c r="M37" s="261">
        <f>+M31-M32-M33-M34-M36</f>
        <v>-1528717.0747552672</v>
      </c>
      <c r="N37" s="261"/>
      <c r="O37" s="261">
        <f>+O31-O32-O33-O34-O36</f>
        <v>-1575834.367416814</v>
      </c>
      <c r="P37" s="261"/>
      <c r="Q37" s="261">
        <f>+Q31-Q32-Q33-Q34-Q36</f>
        <v>-1139825.2340754243</v>
      </c>
      <c r="R37" s="261"/>
      <c r="S37" s="261">
        <f>+S31-S32-S33-S34-S36</f>
        <v>395014.17958626524</v>
      </c>
      <c r="T37" s="261"/>
      <c r="U37" s="261">
        <f>+U31-U32-U33-U34-U36</f>
        <v>-4441482.172880291</v>
      </c>
      <c r="V37" s="261"/>
      <c r="W37" s="261">
        <f>+W31-W32-W33-W34-W36</f>
        <v>317062.86203598324</v>
      </c>
      <c r="X37" s="282"/>
      <c r="Y37" s="262">
        <f>+Y31-Y32-Y33-Y34-Y36</f>
        <v>4847504.4831098421</v>
      </c>
      <c r="Z37" s="284"/>
      <c r="AA37" s="263">
        <f>+AA31-AA32-AA33-AA34-AA36</f>
        <v>20651397.309622973</v>
      </c>
    </row>
    <row r="38" spans="2:27" x14ac:dyDescent="0.35">
      <c r="B38" s="264" t="s">
        <v>261</v>
      </c>
      <c r="C38" s="271">
        <v>0.19308737303486417</v>
      </c>
      <c r="D38" s="271"/>
      <c r="E38" s="271">
        <v>0.31554432794266085</v>
      </c>
      <c r="F38" s="271"/>
      <c r="G38" s="271">
        <v>0.10782643691928213</v>
      </c>
      <c r="H38" s="271"/>
      <c r="I38" s="271">
        <v>4.1824548294520938E-2</v>
      </c>
      <c r="J38" s="271"/>
      <c r="K38" s="271">
        <v>1.4181889466006454E-2</v>
      </c>
      <c r="L38" s="271"/>
      <c r="M38" s="271">
        <v>1.1765135590571175E-2</v>
      </c>
      <c r="N38" s="271"/>
      <c r="O38" s="271">
        <v>2.329935615594822E-2</v>
      </c>
      <c r="P38" s="271"/>
      <c r="Q38" s="271">
        <v>3.3942488160638599E-2</v>
      </c>
      <c r="R38" s="271"/>
      <c r="S38" s="271">
        <v>4.6966538546761437E-2</v>
      </c>
      <c r="T38" s="271"/>
      <c r="U38" s="271">
        <v>3.9914766117788131E-2</v>
      </c>
      <c r="V38" s="271"/>
      <c r="W38" s="271">
        <v>4.6130402924424996E-2</v>
      </c>
      <c r="X38" s="271"/>
      <c r="Y38" s="271">
        <v>0.12551673684653286</v>
      </c>
      <c r="Z38" s="271"/>
      <c r="AA38" s="272"/>
    </row>
    <row r="39" spans="2:27" x14ac:dyDescent="0.35">
      <c r="B39" s="264" t="s">
        <v>262</v>
      </c>
      <c r="C39" s="271">
        <v>0.15823410787881473</v>
      </c>
      <c r="D39" s="271"/>
      <c r="E39" s="271">
        <v>9.5727300421787329E-2</v>
      </c>
      <c r="F39" s="271"/>
      <c r="G39" s="271">
        <v>0.22208411662785457</v>
      </c>
      <c r="H39" s="271"/>
      <c r="I39" s="271">
        <v>2.7551305821697649E-2</v>
      </c>
      <c r="J39" s="271"/>
      <c r="K39" s="271">
        <v>4.7068866310711041E-2</v>
      </c>
      <c r="L39" s="271"/>
      <c r="M39" s="271">
        <v>2.2688702415453694E-2</v>
      </c>
      <c r="N39" s="271"/>
      <c r="O39" s="271">
        <v>5.065676467986948E-2</v>
      </c>
      <c r="P39" s="271"/>
      <c r="Q39" s="271">
        <v>6.6026796262949938E-2</v>
      </c>
      <c r="R39" s="271"/>
      <c r="S39" s="271">
        <v>5.9241442845008818E-2</v>
      </c>
      <c r="T39" s="271"/>
      <c r="U39" s="271">
        <v>0.15184682477323266</v>
      </c>
      <c r="V39" s="271"/>
      <c r="W39" s="271">
        <v>6.2783021905160996E-2</v>
      </c>
      <c r="X39" s="271"/>
      <c r="Y39" s="271">
        <v>3.6090750057459119E-2</v>
      </c>
      <c r="Z39" s="271"/>
      <c r="AA39" s="272"/>
    </row>
    <row r="40" spans="2:27" ht="15" thickBot="1" x14ac:dyDescent="0.4">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row>
    <row r="41" spans="2:27" ht="29.5" thickBot="1" x14ac:dyDescent="0.4">
      <c r="B41" s="245" t="s">
        <v>265</v>
      </c>
      <c r="C41" s="246" t="s">
        <v>243</v>
      </c>
      <c r="D41" s="246" t="s">
        <v>277</v>
      </c>
      <c r="E41" s="247" t="s">
        <v>244</v>
      </c>
      <c r="F41" s="247" t="s">
        <v>278</v>
      </c>
      <c r="G41" s="247" t="s">
        <v>245</v>
      </c>
      <c r="H41" s="247" t="s">
        <v>279</v>
      </c>
      <c r="I41" s="247" t="s">
        <v>246</v>
      </c>
      <c r="J41" s="247" t="s">
        <v>280</v>
      </c>
      <c r="K41" s="247" t="s">
        <v>247</v>
      </c>
      <c r="L41" s="247" t="s">
        <v>281</v>
      </c>
      <c r="M41" s="247" t="s">
        <v>248</v>
      </c>
      <c r="N41" s="247" t="s">
        <v>282</v>
      </c>
      <c r="O41" s="247" t="s">
        <v>197</v>
      </c>
      <c r="P41" s="247" t="s">
        <v>283</v>
      </c>
      <c r="Q41" s="247" t="s">
        <v>249</v>
      </c>
      <c r="R41" s="247" t="s">
        <v>284</v>
      </c>
      <c r="S41" s="248" t="s">
        <v>250</v>
      </c>
      <c r="T41" s="248" t="s">
        <v>285</v>
      </c>
      <c r="U41" s="248" t="s">
        <v>251</v>
      </c>
      <c r="V41" s="248" t="s">
        <v>286</v>
      </c>
      <c r="W41" s="248" t="s">
        <v>252</v>
      </c>
      <c r="X41" s="281" t="s">
        <v>287</v>
      </c>
      <c r="Y41" s="249" t="s">
        <v>253</v>
      </c>
      <c r="Z41" s="283" t="s">
        <v>288</v>
      </c>
      <c r="AA41" s="250" t="s">
        <v>254</v>
      </c>
    </row>
    <row r="42" spans="2:27" x14ac:dyDescent="0.35">
      <c r="B42" s="251" t="s">
        <v>255</v>
      </c>
      <c r="C42" s="269">
        <f>+'A) Resumen Ingresos y Egresos'!$E$12*'K='!C49</f>
        <v>0</v>
      </c>
      <c r="D42" s="269"/>
      <c r="E42" s="269">
        <f>+'A) Resumen Ingresos y Egresos'!$E$12*'K='!E49</f>
        <v>0</v>
      </c>
      <c r="F42" s="269"/>
      <c r="G42" s="269">
        <f>+'A) Resumen Ingresos y Egresos'!$E$12*'K='!G49</f>
        <v>0</v>
      </c>
      <c r="H42" s="269"/>
      <c r="I42" s="269">
        <f>+'A) Resumen Ingresos y Egresos'!$E$12*'K='!I49</f>
        <v>0</v>
      </c>
      <c r="J42" s="269"/>
      <c r="K42" s="269">
        <f>+'A) Resumen Ingresos y Egresos'!$E$12*'K='!K49</f>
        <v>0</v>
      </c>
      <c r="L42" s="269"/>
      <c r="M42" s="269">
        <f>+'A) Resumen Ingresos y Egresos'!$E$12*'K='!M49</f>
        <v>0</v>
      </c>
      <c r="N42" s="269"/>
      <c r="O42" s="269">
        <f>+'A) Resumen Ingresos y Egresos'!$E$12*'K='!O49</f>
        <v>0</v>
      </c>
      <c r="P42" s="269"/>
      <c r="Q42" s="269">
        <f>+'A) Resumen Ingresos y Egresos'!$E$12*'K='!Q49</f>
        <v>0</v>
      </c>
      <c r="R42" s="269"/>
      <c r="S42" s="269">
        <f>+'A) Resumen Ingresos y Egresos'!$E$12*'K='!S49</f>
        <v>0</v>
      </c>
      <c r="T42" s="269"/>
      <c r="U42" s="269">
        <f>+'A) Resumen Ingresos y Egresos'!$E$12*'K='!U49</f>
        <v>0</v>
      </c>
      <c r="V42" s="269"/>
      <c r="W42" s="269">
        <f>+'A) Resumen Ingresos y Egresos'!$E$12*'K='!W49</f>
        <v>0</v>
      </c>
      <c r="X42" s="269"/>
      <c r="Y42" s="269">
        <f>+'A) Resumen Ingresos y Egresos'!$E$12*'K='!Y49</f>
        <v>0</v>
      </c>
      <c r="Z42" s="270"/>
      <c r="AA42" s="253">
        <f t="shared" ref="AA42:AA47" si="3">SUM(C42:Y42)</f>
        <v>0</v>
      </c>
    </row>
    <row r="43" spans="2:27" x14ac:dyDescent="0.35">
      <c r="B43" s="251" t="s">
        <v>256</v>
      </c>
      <c r="C43" s="269">
        <f>SUM('F) Remuneraciones'!$K$80:$K$90)/12</f>
        <v>0</v>
      </c>
      <c r="D43" s="269"/>
      <c r="E43" s="269">
        <f>SUM('F) Remuneraciones'!$K$80:$K$90)/12</f>
        <v>0</v>
      </c>
      <c r="F43" s="269"/>
      <c r="G43" s="269">
        <f>SUM('F) Remuneraciones'!$K$80:$K$90)/12</f>
        <v>0</v>
      </c>
      <c r="H43" s="269"/>
      <c r="I43" s="269">
        <f>SUM('F) Remuneraciones'!$K$80:$K$90)/12</f>
        <v>0</v>
      </c>
      <c r="J43" s="269"/>
      <c r="K43" s="269">
        <f>SUM('F) Remuneraciones'!$K$80:$K$90)/12</f>
        <v>0</v>
      </c>
      <c r="L43" s="269"/>
      <c r="M43" s="269">
        <f>SUM('F) Remuneraciones'!$K$80:$K$90)/12</f>
        <v>0</v>
      </c>
      <c r="N43" s="269"/>
      <c r="O43" s="269">
        <f>SUM('F) Remuneraciones'!$K$80:$K$90)/12</f>
        <v>0</v>
      </c>
      <c r="P43" s="269"/>
      <c r="Q43" s="269">
        <f>SUM('F) Remuneraciones'!$K$80:$K$90)/12</f>
        <v>0</v>
      </c>
      <c r="R43" s="269"/>
      <c r="S43" s="269">
        <f>SUM('F) Remuneraciones'!$K$80:$K$90)/12</f>
        <v>0</v>
      </c>
      <c r="T43" s="269"/>
      <c r="U43" s="269">
        <f>SUM('F) Remuneraciones'!$K$80:$K$90)/12</f>
        <v>0</v>
      </c>
      <c r="V43" s="269"/>
      <c r="W43" s="269">
        <f>SUM('F) Remuneraciones'!$K$80:$K$90)/12</f>
        <v>0</v>
      </c>
      <c r="X43" s="269"/>
      <c r="Y43" s="269">
        <f>SUM('F) Remuneraciones'!$K$80:$K$90)/12</f>
        <v>0</v>
      </c>
      <c r="Z43" s="270"/>
      <c r="AA43" s="253">
        <f t="shared" si="3"/>
        <v>0</v>
      </c>
    </row>
    <row r="44" spans="2:27" x14ac:dyDescent="0.35">
      <c r="B44" s="251" t="s">
        <v>257</v>
      </c>
      <c r="C44" s="269">
        <f>SUM('F) Remuneraciones'!K91:K101)/4</f>
        <v>2294753.0864166669</v>
      </c>
      <c r="D44" s="269"/>
      <c r="E44" s="269">
        <f>+C44</f>
        <v>2294753.0864166669</v>
      </c>
      <c r="F44" s="269"/>
      <c r="G44" s="269">
        <f>+C44</f>
        <v>2294753.0864166669</v>
      </c>
      <c r="H44" s="269"/>
      <c r="I44" s="269">
        <v>0</v>
      </c>
      <c r="J44" s="269"/>
      <c r="K44" s="269">
        <v>0</v>
      </c>
      <c r="L44" s="269"/>
      <c r="M44" s="269">
        <v>0</v>
      </c>
      <c r="N44" s="269"/>
      <c r="O44" s="269">
        <v>0</v>
      </c>
      <c r="P44" s="269"/>
      <c r="Q44" s="269">
        <v>0</v>
      </c>
      <c r="R44" s="269"/>
      <c r="S44" s="269">
        <v>0</v>
      </c>
      <c r="T44" s="269"/>
      <c r="U44" s="269">
        <v>0</v>
      </c>
      <c r="V44" s="269"/>
      <c r="W44" s="269">
        <v>0</v>
      </c>
      <c r="X44" s="270"/>
      <c r="Y44" s="270">
        <f>+G44</f>
        <v>2294753.0864166669</v>
      </c>
      <c r="Z44" s="270"/>
      <c r="AA44" s="253">
        <f t="shared" si="3"/>
        <v>9179012.3456666674</v>
      </c>
    </row>
    <row r="45" spans="2:27" x14ac:dyDescent="0.35">
      <c r="B45" s="251" t="s">
        <v>258</v>
      </c>
      <c r="C45" s="269">
        <f>SUM('F) Remuneraciones'!J80:J101)*0.5</f>
        <v>0</v>
      </c>
      <c r="D45" s="269"/>
      <c r="E45" s="255">
        <v>0</v>
      </c>
      <c r="F45" s="255"/>
      <c r="G45" s="255">
        <v>0</v>
      </c>
      <c r="H45" s="255"/>
      <c r="I45" s="255">
        <v>0</v>
      </c>
      <c r="J45" s="255"/>
      <c r="K45" s="255">
        <v>0</v>
      </c>
      <c r="L45" s="255"/>
      <c r="M45" s="255">
        <v>0</v>
      </c>
      <c r="N45" s="255"/>
      <c r="O45" s="255">
        <v>0</v>
      </c>
      <c r="P45" s="255"/>
      <c r="Q45" s="255">
        <v>0</v>
      </c>
      <c r="R45" s="269"/>
      <c r="S45" s="269">
        <f>SUM('F) Remuneraciones'!I80:I101)*0.5</f>
        <v>0</v>
      </c>
      <c r="T45" s="269"/>
      <c r="U45" s="255">
        <v>0</v>
      </c>
      <c r="V45" s="255"/>
      <c r="W45" s="255">
        <v>0</v>
      </c>
      <c r="X45" s="256"/>
      <c r="Y45" s="256">
        <f>+C45+S45</f>
        <v>0</v>
      </c>
      <c r="Z45" s="270"/>
      <c r="AA45" s="253">
        <f t="shared" si="3"/>
        <v>0</v>
      </c>
    </row>
    <row r="46" spans="2:27" x14ac:dyDescent="0.35">
      <c r="B46" s="277" t="s">
        <v>290</v>
      </c>
      <c r="C46" s="258"/>
      <c r="D46" s="258"/>
      <c r="E46" s="258"/>
      <c r="F46" s="258"/>
      <c r="G46" s="258"/>
      <c r="H46" s="258"/>
      <c r="I46" s="258"/>
      <c r="J46" s="258"/>
      <c r="K46" s="258"/>
      <c r="L46" s="258"/>
      <c r="M46" s="258"/>
      <c r="N46" s="258"/>
      <c r="O46" s="258"/>
      <c r="P46" s="258"/>
      <c r="Q46" s="258"/>
      <c r="R46" s="258"/>
      <c r="S46" s="258"/>
      <c r="T46" s="258"/>
      <c r="U46" s="258"/>
      <c r="V46" s="258"/>
      <c r="W46" s="258"/>
      <c r="X46" s="278"/>
      <c r="Y46" s="278"/>
      <c r="Z46" s="278"/>
      <c r="AA46" s="279"/>
    </row>
    <row r="47" spans="2:27" ht="15" thickBot="1" x14ac:dyDescent="0.4">
      <c r="B47" s="257" t="s">
        <v>259</v>
      </c>
      <c r="C47" s="258">
        <f>(+'C) Costos Directos'!$D$296-'C) Costos Directos'!$D$229)*C50</f>
        <v>1706937.45</v>
      </c>
      <c r="D47" s="258"/>
      <c r="E47" s="258">
        <f>(+'C) Costos Directos'!$D$296-'C) Costos Directos'!$D$229)*E50</f>
        <v>3982854.05</v>
      </c>
      <c r="F47" s="258"/>
      <c r="G47" s="258">
        <f>(+'C) Costos Directos'!$D$296-'C) Costos Directos'!$D$229)*G50</f>
        <v>3982854.05</v>
      </c>
      <c r="H47" s="258"/>
      <c r="I47" s="258">
        <f>(+'C) Costos Directos'!$D$296-'C) Costos Directos'!$D$229)*I50</f>
        <v>0</v>
      </c>
      <c r="J47" s="258"/>
      <c r="K47" s="258">
        <f>(+'C) Costos Directos'!$D$296-'C) Costos Directos'!$D$229)*K50</f>
        <v>0</v>
      </c>
      <c r="L47" s="258"/>
      <c r="M47" s="258">
        <f>(+'C) Costos Directos'!$D$296-'C) Costos Directos'!$D$229)*M50</f>
        <v>0</v>
      </c>
      <c r="N47" s="258"/>
      <c r="O47" s="258">
        <f>(+'C) Costos Directos'!$D$296-'C) Costos Directos'!$D$229)*O50</f>
        <v>0</v>
      </c>
      <c r="P47" s="258"/>
      <c r="Q47" s="258">
        <f>(+'C) Costos Directos'!$D$296-'C) Costos Directos'!$D$229)*Q50</f>
        <v>0</v>
      </c>
      <c r="R47" s="258"/>
      <c r="S47" s="258">
        <f>(+'C) Costos Directos'!$D$296-'C) Costos Directos'!$D$229)*S50</f>
        <v>0</v>
      </c>
      <c r="T47" s="258"/>
      <c r="U47" s="258">
        <f>(+'C) Costos Directos'!$D$296-'C) Costos Directos'!$D$229)*U50</f>
        <v>0</v>
      </c>
      <c r="V47" s="258"/>
      <c r="W47" s="258">
        <f>(+'C) Costos Directos'!$D$296-'C) Costos Directos'!$D$229)*W50</f>
        <v>0</v>
      </c>
      <c r="X47" s="258"/>
      <c r="Y47" s="258">
        <f>(+'C) Costos Directos'!$D$296-'C) Costos Directos'!$D$229)*Y50</f>
        <v>1706937.45</v>
      </c>
      <c r="Z47" s="278"/>
      <c r="AA47" s="253">
        <f t="shared" si="3"/>
        <v>11379583</v>
      </c>
    </row>
    <row r="48" spans="2:27" ht="15" thickBot="1" x14ac:dyDescent="0.4">
      <c r="B48" s="259" t="s">
        <v>260</v>
      </c>
      <c r="C48" s="260">
        <f>+C42-C43-C44-C45-C47</f>
        <v>-4001690.5364166666</v>
      </c>
      <c r="D48" s="260"/>
      <c r="E48" s="261">
        <f>+E42-E43-E44-E45-E47</f>
        <v>-6277607.1364166662</v>
      </c>
      <c r="F48" s="261"/>
      <c r="G48" s="261">
        <f>+G42-G43-G44-G45-G47</f>
        <v>-6277607.1364166662</v>
      </c>
      <c r="H48" s="261"/>
      <c r="I48" s="261">
        <f>+I42-I43-I44-I45-I47</f>
        <v>0</v>
      </c>
      <c r="J48" s="261"/>
      <c r="K48" s="261">
        <f>+K42-K43-K44-K45-K47</f>
        <v>0</v>
      </c>
      <c r="L48" s="261"/>
      <c r="M48" s="261">
        <f>+M42-M43-M44-M45-M47</f>
        <v>0</v>
      </c>
      <c r="N48" s="261"/>
      <c r="O48" s="261">
        <f>+O42-O43-O44-O45-O47</f>
        <v>0</v>
      </c>
      <c r="P48" s="261"/>
      <c r="Q48" s="261">
        <f>+Q42-Q43-Q44-Q45-Q47</f>
        <v>0</v>
      </c>
      <c r="R48" s="261"/>
      <c r="S48" s="261">
        <f>+S42-S43-S44-S45-S47</f>
        <v>0</v>
      </c>
      <c r="T48" s="261"/>
      <c r="U48" s="261">
        <f>+U42-U43-U44-U45-U47</f>
        <v>0</v>
      </c>
      <c r="V48" s="261"/>
      <c r="W48" s="261">
        <f>+W42-W43-W44-W45-W47</f>
        <v>0</v>
      </c>
      <c r="X48" s="282"/>
      <c r="Y48" s="262">
        <f>+Y42-Y43-Y44-Y45-Y47</f>
        <v>-4001690.5364166666</v>
      </c>
      <c r="Z48" s="284"/>
      <c r="AA48" s="263">
        <f>+AA42-AA43-AA44-AA45-AA47</f>
        <v>-20558595.345666669</v>
      </c>
    </row>
    <row r="49" spans="2:27" x14ac:dyDescent="0.35">
      <c r="B49" s="264" t="s">
        <v>261</v>
      </c>
      <c r="C49" s="271">
        <v>0.35</v>
      </c>
      <c r="D49" s="271"/>
      <c r="E49" s="271">
        <v>0.35</v>
      </c>
      <c r="F49" s="271"/>
      <c r="G49" s="271">
        <v>0.15</v>
      </c>
      <c r="H49" s="271"/>
      <c r="I49" s="271">
        <v>0</v>
      </c>
      <c r="J49" s="271"/>
      <c r="K49" s="271">
        <v>0</v>
      </c>
      <c r="L49" s="271"/>
      <c r="M49" s="271">
        <v>0</v>
      </c>
      <c r="N49" s="271"/>
      <c r="O49" s="271">
        <v>0</v>
      </c>
      <c r="P49" s="271"/>
      <c r="Q49" s="271">
        <v>0</v>
      </c>
      <c r="R49" s="271"/>
      <c r="S49" s="271">
        <v>0</v>
      </c>
      <c r="T49" s="271"/>
      <c r="U49" s="271">
        <v>0</v>
      </c>
      <c r="V49" s="271"/>
      <c r="W49" s="271">
        <v>0</v>
      </c>
      <c r="X49" s="271"/>
      <c r="Y49" s="271">
        <v>0.15</v>
      </c>
      <c r="Z49" s="271"/>
      <c r="AA49" s="272"/>
    </row>
    <row r="50" spans="2:27" x14ac:dyDescent="0.35">
      <c r="B50" s="264" t="s">
        <v>262</v>
      </c>
      <c r="C50" s="271">
        <v>0.15</v>
      </c>
      <c r="D50" s="271"/>
      <c r="E50" s="271">
        <v>0.35</v>
      </c>
      <c r="F50" s="271"/>
      <c r="G50" s="271">
        <v>0.35</v>
      </c>
      <c r="H50" s="271"/>
      <c r="I50" s="271">
        <v>0</v>
      </c>
      <c r="J50" s="271"/>
      <c r="K50" s="271">
        <v>0</v>
      </c>
      <c r="L50" s="271"/>
      <c r="M50" s="271">
        <v>0</v>
      </c>
      <c r="N50" s="271"/>
      <c r="O50" s="271">
        <v>0</v>
      </c>
      <c r="P50" s="271"/>
      <c r="Q50" s="271">
        <v>0</v>
      </c>
      <c r="R50" s="271"/>
      <c r="S50" s="271">
        <v>0</v>
      </c>
      <c r="T50" s="271"/>
      <c r="U50" s="271">
        <v>0</v>
      </c>
      <c r="V50" s="271"/>
      <c r="W50" s="271">
        <v>0</v>
      </c>
      <c r="X50" s="271"/>
      <c r="Y50" s="271">
        <v>0.15</v>
      </c>
      <c r="Z50" s="271"/>
      <c r="AA50" s="272"/>
    </row>
    <row r="51" spans="2:27" ht="15" thickBot="1" x14ac:dyDescent="0.4">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row>
    <row r="52" spans="2:27" ht="29.5" thickBot="1" x14ac:dyDescent="0.4">
      <c r="B52" s="245" t="s">
        <v>266</v>
      </c>
      <c r="C52" s="246" t="s">
        <v>243</v>
      </c>
      <c r="D52" s="246" t="s">
        <v>277</v>
      </c>
      <c r="E52" s="247" t="s">
        <v>244</v>
      </c>
      <c r="F52" s="247" t="s">
        <v>278</v>
      </c>
      <c r="G52" s="247" t="s">
        <v>245</v>
      </c>
      <c r="H52" s="247" t="s">
        <v>279</v>
      </c>
      <c r="I52" s="247" t="s">
        <v>246</v>
      </c>
      <c r="J52" s="247" t="s">
        <v>280</v>
      </c>
      <c r="K52" s="247" t="s">
        <v>247</v>
      </c>
      <c r="L52" s="247" t="s">
        <v>281</v>
      </c>
      <c r="M52" s="247" t="s">
        <v>248</v>
      </c>
      <c r="N52" s="247" t="s">
        <v>282</v>
      </c>
      <c r="O52" s="247" t="s">
        <v>197</v>
      </c>
      <c r="P52" s="247" t="s">
        <v>283</v>
      </c>
      <c r="Q52" s="247" t="s">
        <v>249</v>
      </c>
      <c r="R52" s="247" t="s">
        <v>284</v>
      </c>
      <c r="S52" s="248" t="s">
        <v>250</v>
      </c>
      <c r="T52" s="248" t="s">
        <v>285</v>
      </c>
      <c r="U52" s="248" t="s">
        <v>251</v>
      </c>
      <c r="V52" s="248" t="s">
        <v>286</v>
      </c>
      <c r="W52" s="248" t="s">
        <v>252</v>
      </c>
      <c r="X52" s="281" t="s">
        <v>287</v>
      </c>
      <c r="Y52" s="249" t="s">
        <v>253</v>
      </c>
      <c r="Z52" s="283" t="s">
        <v>288</v>
      </c>
      <c r="AA52" s="250" t="s">
        <v>254</v>
      </c>
    </row>
    <row r="53" spans="2:27" x14ac:dyDescent="0.35">
      <c r="B53" s="251" t="s">
        <v>255</v>
      </c>
      <c r="C53" s="269">
        <f>+'A) Resumen Ingresos y Egresos'!$E$13*'K='!C60</f>
        <v>0</v>
      </c>
      <c r="D53" s="269"/>
      <c r="E53" s="269">
        <f>+'A) Resumen Ingresos y Egresos'!$E$13*'K='!E60</f>
        <v>0</v>
      </c>
      <c r="F53" s="269"/>
      <c r="G53" s="269">
        <f>+'A) Resumen Ingresos y Egresos'!$E$13*'K='!G60</f>
        <v>0</v>
      </c>
      <c r="H53" s="269"/>
      <c r="I53" s="269">
        <f>+'A) Resumen Ingresos y Egresos'!$E$13*'K='!I60</f>
        <v>0</v>
      </c>
      <c r="J53" s="269"/>
      <c r="K53" s="269">
        <f>+'A) Resumen Ingresos y Egresos'!$E$13*'K='!K60</f>
        <v>0</v>
      </c>
      <c r="L53" s="269"/>
      <c r="M53" s="269">
        <f>+'A) Resumen Ingresos y Egresos'!$E$13*'K='!M60</f>
        <v>0</v>
      </c>
      <c r="N53" s="269"/>
      <c r="O53" s="269">
        <f>+'A) Resumen Ingresos y Egresos'!$E$13*'K='!O60</f>
        <v>0</v>
      </c>
      <c r="P53" s="269"/>
      <c r="Q53" s="269">
        <f>+'A) Resumen Ingresos y Egresos'!$E$13*'K='!Q60</f>
        <v>0</v>
      </c>
      <c r="R53" s="269"/>
      <c r="S53" s="269">
        <f>+'A) Resumen Ingresos y Egresos'!$E$13*'K='!S60</f>
        <v>0</v>
      </c>
      <c r="T53" s="269"/>
      <c r="U53" s="269">
        <f>+'A) Resumen Ingresos y Egresos'!$E$13*'K='!U60</f>
        <v>0</v>
      </c>
      <c r="V53" s="269"/>
      <c r="W53" s="269">
        <f>+'A) Resumen Ingresos y Egresos'!$E$13*'K='!W60</f>
        <v>0</v>
      </c>
      <c r="X53" s="269"/>
      <c r="Y53" s="269">
        <f>+'A) Resumen Ingresos y Egresos'!$E$13*'K='!Y60</f>
        <v>0</v>
      </c>
      <c r="Z53" s="270"/>
      <c r="AA53" s="253">
        <f t="shared" ref="AA53:AA58" si="4">SUM(C53:Y53)</f>
        <v>0</v>
      </c>
    </row>
    <row r="54" spans="2:27" x14ac:dyDescent="0.35">
      <c r="B54" s="251" t="s">
        <v>256</v>
      </c>
      <c r="C54" s="269">
        <f>SUM('F) Remuneraciones'!$K$102:$K$112)/12</f>
        <v>0</v>
      </c>
      <c r="D54" s="269"/>
      <c r="E54" s="269">
        <f>SUM('F) Remuneraciones'!$K$102:$K$112)/12</f>
        <v>0</v>
      </c>
      <c r="F54" s="269"/>
      <c r="G54" s="269">
        <f>SUM('F) Remuneraciones'!$K$102:$K$112)/12</f>
        <v>0</v>
      </c>
      <c r="H54" s="269"/>
      <c r="I54" s="269">
        <f>SUM('F) Remuneraciones'!$K$102:$K$112)/12</f>
        <v>0</v>
      </c>
      <c r="J54" s="269"/>
      <c r="K54" s="269">
        <f>SUM('F) Remuneraciones'!$K$102:$K$112)/12</f>
        <v>0</v>
      </c>
      <c r="L54" s="269"/>
      <c r="M54" s="269">
        <f>SUM('F) Remuneraciones'!$K$102:$K$112)/12</f>
        <v>0</v>
      </c>
      <c r="N54" s="269"/>
      <c r="O54" s="269">
        <f>SUM('F) Remuneraciones'!$K$102:$K$112)/12</f>
        <v>0</v>
      </c>
      <c r="P54" s="269"/>
      <c r="Q54" s="269">
        <f>SUM('F) Remuneraciones'!$K$102:$K$112)/12</f>
        <v>0</v>
      </c>
      <c r="R54" s="269"/>
      <c r="S54" s="269">
        <f>SUM('F) Remuneraciones'!$K$102:$K$112)/12</f>
        <v>0</v>
      </c>
      <c r="T54" s="269"/>
      <c r="U54" s="269">
        <f>SUM('F) Remuneraciones'!$K$102:$K$112)/12</f>
        <v>0</v>
      </c>
      <c r="V54" s="269"/>
      <c r="W54" s="269">
        <f>SUM('F) Remuneraciones'!$K$102:$K$112)/12</f>
        <v>0</v>
      </c>
      <c r="X54" s="269"/>
      <c r="Y54" s="269">
        <f>SUM('F) Remuneraciones'!$K$102:$K$112)/12</f>
        <v>0</v>
      </c>
      <c r="Z54" s="270"/>
      <c r="AA54" s="253">
        <f t="shared" si="4"/>
        <v>0</v>
      </c>
    </row>
    <row r="55" spans="2:27" x14ac:dyDescent="0.35">
      <c r="B55" s="251" t="s">
        <v>257</v>
      </c>
      <c r="C55" s="269">
        <f>SUM('F) Remuneraciones'!K113:K123)/4</f>
        <v>2294753.0864166669</v>
      </c>
      <c r="D55" s="269"/>
      <c r="E55" s="269">
        <f>+C55</f>
        <v>2294753.0864166669</v>
      </c>
      <c r="F55" s="269"/>
      <c r="G55" s="269">
        <f>+C55</f>
        <v>2294753.0864166669</v>
      </c>
      <c r="H55" s="269"/>
      <c r="I55" s="269">
        <v>0</v>
      </c>
      <c r="J55" s="269"/>
      <c r="K55" s="269">
        <v>0</v>
      </c>
      <c r="L55" s="269"/>
      <c r="M55" s="269">
        <v>0</v>
      </c>
      <c r="N55" s="269"/>
      <c r="O55" s="269">
        <v>0</v>
      </c>
      <c r="P55" s="269"/>
      <c r="Q55" s="269">
        <v>0</v>
      </c>
      <c r="R55" s="269"/>
      <c r="S55" s="269">
        <v>0</v>
      </c>
      <c r="T55" s="269"/>
      <c r="U55" s="269">
        <v>0</v>
      </c>
      <c r="V55" s="269"/>
      <c r="W55" s="269">
        <v>0</v>
      </c>
      <c r="X55" s="270"/>
      <c r="Y55" s="270">
        <f>+G55</f>
        <v>2294753.0864166669</v>
      </c>
      <c r="Z55" s="270"/>
      <c r="AA55" s="253">
        <f t="shared" si="4"/>
        <v>9179012.3456666674</v>
      </c>
    </row>
    <row r="56" spans="2:27" x14ac:dyDescent="0.35">
      <c r="B56" s="251" t="s">
        <v>258</v>
      </c>
      <c r="C56" s="269">
        <f>SUM('F) Remuneraciones'!J102:J123)*0.5</f>
        <v>0</v>
      </c>
      <c r="D56" s="269"/>
      <c r="E56" s="255">
        <v>0</v>
      </c>
      <c r="F56" s="255"/>
      <c r="G56" s="255">
        <v>0</v>
      </c>
      <c r="H56" s="255"/>
      <c r="I56" s="255">
        <v>0</v>
      </c>
      <c r="J56" s="255"/>
      <c r="K56" s="255">
        <v>0</v>
      </c>
      <c r="L56" s="255"/>
      <c r="M56" s="255">
        <v>0</v>
      </c>
      <c r="N56" s="255"/>
      <c r="O56" s="255">
        <v>0</v>
      </c>
      <c r="P56" s="255"/>
      <c r="Q56" s="255">
        <v>0</v>
      </c>
      <c r="R56" s="269"/>
      <c r="S56" s="269">
        <f>SUM('F) Remuneraciones'!I102:I123)*0.5</f>
        <v>0</v>
      </c>
      <c r="T56" s="269"/>
      <c r="U56" s="255">
        <v>0</v>
      </c>
      <c r="V56" s="255"/>
      <c r="W56" s="255">
        <v>0</v>
      </c>
      <c r="X56" s="256"/>
      <c r="Y56" s="256">
        <f>+C56+S56</f>
        <v>0</v>
      </c>
      <c r="Z56" s="270"/>
      <c r="AA56" s="253">
        <f t="shared" si="4"/>
        <v>0</v>
      </c>
    </row>
    <row r="57" spans="2:27" x14ac:dyDescent="0.35">
      <c r="B57" s="277" t="s">
        <v>290</v>
      </c>
      <c r="C57" s="258"/>
      <c r="D57" s="258"/>
      <c r="E57" s="258"/>
      <c r="F57" s="258"/>
      <c r="G57" s="258"/>
      <c r="H57" s="258"/>
      <c r="I57" s="258"/>
      <c r="J57" s="258"/>
      <c r="K57" s="258"/>
      <c r="L57" s="258"/>
      <c r="M57" s="258"/>
      <c r="N57" s="258"/>
      <c r="O57" s="258"/>
      <c r="P57" s="258"/>
      <c r="Q57" s="258"/>
      <c r="R57" s="258"/>
      <c r="S57" s="258"/>
      <c r="T57" s="258"/>
      <c r="U57" s="258"/>
      <c r="V57" s="258"/>
      <c r="W57" s="258"/>
      <c r="X57" s="278"/>
      <c r="Y57" s="278"/>
      <c r="Z57" s="278"/>
      <c r="AA57" s="279"/>
    </row>
    <row r="58" spans="2:27" ht="15" thickBot="1" x14ac:dyDescent="0.4">
      <c r="B58" s="257" t="s">
        <v>259</v>
      </c>
      <c r="C58" s="258">
        <f>(+'C) Costos Directos'!$D$368-'C) Costos Directos'!$D$301)*C61</f>
        <v>2285817.6</v>
      </c>
      <c r="D58" s="258"/>
      <c r="E58" s="258">
        <f>(+'C) Costos Directos'!$D$368-'C) Costos Directos'!$D$301)*E61</f>
        <v>5333574.3999999994</v>
      </c>
      <c r="F58" s="258"/>
      <c r="G58" s="258">
        <f>(+'C) Costos Directos'!$D$368-'C) Costos Directos'!$D$301)*G61</f>
        <v>5333574.3999999994</v>
      </c>
      <c r="H58" s="258"/>
      <c r="I58" s="258">
        <f>(+'C) Costos Directos'!$D$368-'C) Costos Directos'!$D$301)*I61</f>
        <v>0</v>
      </c>
      <c r="J58" s="258"/>
      <c r="K58" s="258">
        <f>(+'C) Costos Directos'!$D$368-'C) Costos Directos'!$D$301)*K61</f>
        <v>0</v>
      </c>
      <c r="L58" s="258"/>
      <c r="M58" s="258">
        <f>(+'C) Costos Directos'!$D$368-'C) Costos Directos'!$D$301)*M61</f>
        <v>0</v>
      </c>
      <c r="N58" s="258"/>
      <c r="O58" s="258">
        <f>(+'C) Costos Directos'!$D$368-'C) Costos Directos'!$D$301)*O61</f>
        <v>0</v>
      </c>
      <c r="P58" s="258"/>
      <c r="Q58" s="258">
        <f>(+'C) Costos Directos'!$D$368-'C) Costos Directos'!$D$301)*Q61</f>
        <v>0</v>
      </c>
      <c r="R58" s="258"/>
      <c r="S58" s="258">
        <f>(+'C) Costos Directos'!$D$368-'C) Costos Directos'!$D$301)*S61</f>
        <v>0</v>
      </c>
      <c r="T58" s="258"/>
      <c r="U58" s="258">
        <f>(+'C) Costos Directos'!$D$368-'C) Costos Directos'!$D$301)*U61</f>
        <v>0</v>
      </c>
      <c r="V58" s="258"/>
      <c r="W58" s="258">
        <f>(+'C) Costos Directos'!$D$368-'C) Costos Directos'!$D$301)*W61</f>
        <v>0</v>
      </c>
      <c r="X58" s="258"/>
      <c r="Y58" s="258">
        <f>(+'C) Costos Directos'!$D$368-'C) Costos Directos'!$D$301)*Y61</f>
        <v>2285817.6</v>
      </c>
      <c r="Z58" s="278"/>
      <c r="AA58" s="253">
        <f t="shared" si="4"/>
        <v>15238783.999999998</v>
      </c>
    </row>
    <row r="59" spans="2:27" ht="15" thickBot="1" x14ac:dyDescent="0.4">
      <c r="B59" s="259" t="s">
        <v>260</v>
      </c>
      <c r="C59" s="260">
        <f>+C53-C54-C55-C56-C58</f>
        <v>-4580570.686416667</v>
      </c>
      <c r="D59" s="260"/>
      <c r="E59" s="261">
        <f>+E53-E54-E55-E56-E58</f>
        <v>-7628327.4864166658</v>
      </c>
      <c r="F59" s="261"/>
      <c r="G59" s="261">
        <f>+G53-G54-G55-G56-G58</f>
        <v>-7628327.4864166658</v>
      </c>
      <c r="H59" s="261"/>
      <c r="I59" s="261">
        <f>+I53-I54-I55-I56-I58</f>
        <v>0</v>
      </c>
      <c r="J59" s="261"/>
      <c r="K59" s="261">
        <f>+K53-K54-K55-K56-K58</f>
        <v>0</v>
      </c>
      <c r="L59" s="261"/>
      <c r="M59" s="261">
        <f>+M53-M54-M55-M56-M58</f>
        <v>0</v>
      </c>
      <c r="N59" s="261"/>
      <c r="O59" s="261">
        <f>+O53-O54-O55-O56-O58</f>
        <v>0</v>
      </c>
      <c r="P59" s="261"/>
      <c r="Q59" s="261">
        <f>+Q53-Q54-Q55-Q56-Q58</f>
        <v>0</v>
      </c>
      <c r="R59" s="261"/>
      <c r="S59" s="261">
        <f>+S53-S54-S55-S56-S58</f>
        <v>0</v>
      </c>
      <c r="T59" s="261"/>
      <c r="U59" s="261">
        <f>+U53-U54-U55-U56-U58</f>
        <v>0</v>
      </c>
      <c r="V59" s="261"/>
      <c r="W59" s="261">
        <f>+W53-W54-W55-W56-W58</f>
        <v>0</v>
      </c>
      <c r="X59" s="282"/>
      <c r="Y59" s="262">
        <f>+Y53-Y54-Y55-Y56-Y58</f>
        <v>-4580570.686416667</v>
      </c>
      <c r="Z59" s="284"/>
      <c r="AA59" s="263">
        <f>+AA53-AA54-AA55-AA56-AA58</f>
        <v>-24417796.345666666</v>
      </c>
    </row>
    <row r="60" spans="2:27" x14ac:dyDescent="0.35">
      <c r="B60" s="264" t="s">
        <v>261</v>
      </c>
      <c r="C60" s="271">
        <v>0.35</v>
      </c>
      <c r="D60" s="271"/>
      <c r="E60" s="271">
        <v>0.35</v>
      </c>
      <c r="F60" s="271"/>
      <c r="G60" s="271">
        <v>0.15</v>
      </c>
      <c r="H60" s="271"/>
      <c r="I60" s="271">
        <v>0</v>
      </c>
      <c r="J60" s="271"/>
      <c r="K60" s="271">
        <v>0</v>
      </c>
      <c r="L60" s="271"/>
      <c r="M60" s="271">
        <v>0</v>
      </c>
      <c r="N60" s="271"/>
      <c r="O60" s="271">
        <v>0</v>
      </c>
      <c r="P60" s="271"/>
      <c r="Q60" s="271">
        <v>0</v>
      </c>
      <c r="R60" s="271"/>
      <c r="S60" s="271">
        <v>0</v>
      </c>
      <c r="T60" s="271"/>
      <c r="U60" s="271">
        <v>0</v>
      </c>
      <c r="V60" s="271"/>
      <c r="W60" s="271">
        <v>0</v>
      </c>
      <c r="X60" s="271"/>
      <c r="Y60" s="271">
        <v>0.15</v>
      </c>
      <c r="Z60" s="271"/>
      <c r="AA60" s="272"/>
    </row>
    <row r="61" spans="2:27" x14ac:dyDescent="0.35">
      <c r="B61" s="264" t="s">
        <v>262</v>
      </c>
      <c r="C61" s="271">
        <v>0.15</v>
      </c>
      <c r="D61" s="271"/>
      <c r="E61" s="271">
        <v>0.35</v>
      </c>
      <c r="F61" s="271"/>
      <c r="G61" s="271">
        <v>0.35</v>
      </c>
      <c r="H61" s="271"/>
      <c r="I61" s="271">
        <v>0</v>
      </c>
      <c r="J61" s="271"/>
      <c r="K61" s="271">
        <v>0</v>
      </c>
      <c r="L61" s="271"/>
      <c r="M61" s="271">
        <v>0</v>
      </c>
      <c r="N61" s="271"/>
      <c r="O61" s="271">
        <v>0</v>
      </c>
      <c r="P61" s="271"/>
      <c r="Q61" s="271">
        <v>0</v>
      </c>
      <c r="R61" s="271"/>
      <c r="S61" s="271">
        <v>0</v>
      </c>
      <c r="T61" s="271"/>
      <c r="U61" s="271">
        <v>0</v>
      </c>
      <c r="V61" s="271"/>
      <c r="W61" s="271">
        <v>0</v>
      </c>
      <c r="X61" s="271"/>
      <c r="Y61" s="271">
        <v>0.15</v>
      </c>
      <c r="Z61" s="271"/>
      <c r="AA61" s="272"/>
    </row>
    <row r="62" spans="2:27" ht="15" thickBot="1" x14ac:dyDescent="0.4">
      <c r="C62" s="268"/>
      <c r="D62" s="268"/>
      <c r="E62" s="268"/>
      <c r="F62" s="268"/>
      <c r="G62" s="268"/>
      <c r="H62" s="268"/>
      <c r="I62" s="268"/>
      <c r="J62" s="268"/>
      <c r="K62" s="268"/>
      <c r="L62" s="268"/>
      <c r="M62" s="268"/>
      <c r="N62" s="268"/>
      <c r="O62" s="268"/>
      <c r="P62" s="268"/>
      <c r="Q62" s="268"/>
      <c r="R62" s="268"/>
      <c r="S62" s="268"/>
      <c r="T62" s="268"/>
      <c r="U62" s="268"/>
      <c r="V62" s="268"/>
      <c r="W62" s="268"/>
      <c r="X62" s="268"/>
      <c r="Y62" s="268"/>
      <c r="Z62" s="268"/>
    </row>
    <row r="63" spans="2:27" ht="29.5" thickBot="1" x14ac:dyDescent="0.4">
      <c r="B63" s="245" t="s">
        <v>267</v>
      </c>
      <c r="C63" s="246" t="s">
        <v>243</v>
      </c>
      <c r="D63" s="246" t="s">
        <v>277</v>
      </c>
      <c r="E63" s="247" t="s">
        <v>244</v>
      </c>
      <c r="F63" s="247" t="s">
        <v>278</v>
      </c>
      <c r="G63" s="247" t="s">
        <v>245</v>
      </c>
      <c r="H63" s="247" t="s">
        <v>279</v>
      </c>
      <c r="I63" s="247" t="s">
        <v>246</v>
      </c>
      <c r="J63" s="247" t="s">
        <v>280</v>
      </c>
      <c r="K63" s="247" t="s">
        <v>247</v>
      </c>
      <c r="L63" s="247" t="s">
        <v>281</v>
      </c>
      <c r="M63" s="247" t="s">
        <v>248</v>
      </c>
      <c r="N63" s="247" t="s">
        <v>282</v>
      </c>
      <c r="O63" s="247" t="s">
        <v>197</v>
      </c>
      <c r="P63" s="247" t="s">
        <v>283</v>
      </c>
      <c r="Q63" s="247" t="s">
        <v>249</v>
      </c>
      <c r="R63" s="247" t="s">
        <v>284</v>
      </c>
      <c r="S63" s="248" t="s">
        <v>250</v>
      </c>
      <c r="T63" s="248" t="s">
        <v>285</v>
      </c>
      <c r="U63" s="248" t="s">
        <v>251</v>
      </c>
      <c r="V63" s="248" t="s">
        <v>286</v>
      </c>
      <c r="W63" s="248" t="s">
        <v>252</v>
      </c>
      <c r="X63" s="281" t="s">
        <v>287</v>
      </c>
      <c r="Y63" s="249" t="s">
        <v>253</v>
      </c>
      <c r="Z63" s="283" t="s">
        <v>288</v>
      </c>
      <c r="AA63" s="250" t="s">
        <v>254</v>
      </c>
    </row>
    <row r="64" spans="2:27" x14ac:dyDescent="0.35">
      <c r="B64" s="251" t="s">
        <v>255</v>
      </c>
      <c r="C64" s="269">
        <f>+'A) Resumen Ingresos y Egresos'!$E$14*'K='!C71</f>
        <v>10474841.813836789</v>
      </c>
      <c r="D64" s="269"/>
      <c r="E64" s="269">
        <f>+'A) Resumen Ingresos y Egresos'!$E$14*'K='!E71</f>
        <v>11530290.728353109</v>
      </c>
      <c r="F64" s="269"/>
      <c r="G64" s="269">
        <f>+'A) Resumen Ingresos y Egresos'!$E$14*'K='!G71</f>
        <v>10266551.767163277</v>
      </c>
      <c r="H64" s="269"/>
      <c r="I64" s="269">
        <f>+'A) Resumen Ingresos y Egresos'!$E$14*'K='!I71</f>
        <v>6099215.2041930743</v>
      </c>
      <c r="J64" s="269"/>
      <c r="K64" s="269">
        <f>+'A) Resumen Ingresos y Egresos'!$E$14*'K='!K71</f>
        <v>3942733.6317103948</v>
      </c>
      <c r="L64" s="269"/>
      <c r="M64" s="269">
        <f>+'A) Resumen Ingresos y Egresos'!$E$14*'K='!M71</f>
        <v>4835669.9083796712</v>
      </c>
      <c r="N64" s="269"/>
      <c r="O64" s="269">
        <f>+'A) Resumen Ingresos y Egresos'!$E$14*'K='!O71</f>
        <v>4470240.949001044</v>
      </c>
      <c r="P64" s="269"/>
      <c r="Q64" s="269">
        <f>+'A) Resumen Ingresos y Egresos'!$E$14*'K='!Q71</f>
        <v>9146379.4926011246</v>
      </c>
      <c r="R64" s="269"/>
      <c r="S64" s="269">
        <f>+'A) Resumen Ingresos y Egresos'!$E$14*'K='!S71</f>
        <v>5988964.8309589894</v>
      </c>
      <c r="T64" s="269"/>
      <c r="U64" s="269">
        <f>+'A) Resumen Ingresos y Egresos'!$E$14*'K='!U71</f>
        <v>7766382.6190760545</v>
      </c>
      <c r="V64" s="269"/>
      <c r="W64" s="269">
        <f>+'A) Resumen Ingresos y Egresos'!$E$14*'K='!W71</f>
        <v>6596751.3373193583</v>
      </c>
      <c r="X64" s="269"/>
      <c r="Y64" s="269">
        <f>+'A) Resumen Ingresos y Egresos'!$E$14*'K='!Y71</f>
        <v>10082477.717407111</v>
      </c>
      <c r="Z64" s="270"/>
      <c r="AA64" s="253">
        <f t="shared" ref="AA64:AA69" si="5">SUM(C64:Y64)</f>
        <v>91200500</v>
      </c>
    </row>
    <row r="65" spans="2:27" x14ac:dyDescent="0.35">
      <c r="B65" s="251" t="s">
        <v>256</v>
      </c>
      <c r="C65" s="269">
        <f>SUM('F) Remuneraciones'!$K$124:$K$134)/12</f>
        <v>1451552.5</v>
      </c>
      <c r="D65" s="269"/>
      <c r="E65" s="269">
        <f>SUM('F) Remuneraciones'!$K$124:$K$134)/12</f>
        <v>1451552.5</v>
      </c>
      <c r="F65" s="269"/>
      <c r="G65" s="269">
        <f>SUM('F) Remuneraciones'!$K$124:$K$134)/12</f>
        <v>1451552.5</v>
      </c>
      <c r="H65" s="269"/>
      <c r="I65" s="269">
        <f>SUM('F) Remuneraciones'!$K$124:$K$134)/12</f>
        <v>1451552.5</v>
      </c>
      <c r="J65" s="269"/>
      <c r="K65" s="269">
        <f>SUM('F) Remuneraciones'!$K$124:$K$134)/12</f>
        <v>1451552.5</v>
      </c>
      <c r="L65" s="269"/>
      <c r="M65" s="269">
        <f>SUM('F) Remuneraciones'!$K$124:$K$134)/12</f>
        <v>1451552.5</v>
      </c>
      <c r="N65" s="269"/>
      <c r="O65" s="269">
        <f>SUM('F) Remuneraciones'!$K$124:$K$134)/12</f>
        <v>1451552.5</v>
      </c>
      <c r="P65" s="269"/>
      <c r="Q65" s="269">
        <f>SUM('F) Remuneraciones'!$K$124:$K$134)/12</f>
        <v>1451552.5</v>
      </c>
      <c r="R65" s="269"/>
      <c r="S65" s="269">
        <f>SUM('F) Remuneraciones'!$K$124:$K$134)/12</f>
        <v>1451552.5</v>
      </c>
      <c r="T65" s="269"/>
      <c r="U65" s="269">
        <f>SUM('F) Remuneraciones'!$K$124:$K$134)/12</f>
        <v>1451552.5</v>
      </c>
      <c r="V65" s="269"/>
      <c r="W65" s="269">
        <f>SUM('F) Remuneraciones'!$K$124:$K$134)/12</f>
        <v>1451552.5</v>
      </c>
      <c r="X65" s="269"/>
      <c r="Y65" s="269">
        <f>SUM('F) Remuneraciones'!$K$124:$K$134)/12</f>
        <v>1451552.5</v>
      </c>
      <c r="Z65" s="270"/>
      <c r="AA65" s="253">
        <f t="shared" si="5"/>
        <v>17418630</v>
      </c>
    </row>
    <row r="66" spans="2:27" x14ac:dyDescent="0.35">
      <c r="B66" s="251" t="s">
        <v>257</v>
      </c>
      <c r="C66" s="269">
        <f>SUM('F) Remuneraciones'!K135:K145)/4</f>
        <v>2438691.4474262497</v>
      </c>
      <c r="D66" s="269"/>
      <c r="E66" s="269">
        <f>+C66</f>
        <v>2438691.4474262497</v>
      </c>
      <c r="F66" s="269"/>
      <c r="G66" s="269">
        <f>+C66</f>
        <v>2438691.4474262497</v>
      </c>
      <c r="H66" s="269"/>
      <c r="I66" s="269">
        <v>0</v>
      </c>
      <c r="J66" s="269"/>
      <c r="K66" s="269">
        <v>0</v>
      </c>
      <c r="L66" s="269"/>
      <c r="M66" s="269">
        <v>0</v>
      </c>
      <c r="N66" s="269"/>
      <c r="O66" s="269">
        <v>0</v>
      </c>
      <c r="P66" s="269"/>
      <c r="Q66" s="269">
        <v>0</v>
      </c>
      <c r="R66" s="269"/>
      <c r="S66" s="269">
        <v>0</v>
      </c>
      <c r="T66" s="269"/>
      <c r="U66" s="269">
        <v>0</v>
      </c>
      <c r="V66" s="269"/>
      <c r="W66" s="269">
        <v>0</v>
      </c>
      <c r="X66" s="270"/>
      <c r="Y66" s="270">
        <f>+G66</f>
        <v>2438691.4474262497</v>
      </c>
      <c r="Z66" s="270"/>
      <c r="AA66" s="253">
        <f t="shared" si="5"/>
        <v>9754765.789704999</v>
      </c>
    </row>
    <row r="67" spans="2:27" x14ac:dyDescent="0.35">
      <c r="B67" s="251" t="s">
        <v>258</v>
      </c>
      <c r="C67" s="269">
        <f>SUM('F) Remuneraciones'!J124:J145)*0.5</f>
        <v>389357</v>
      </c>
      <c r="D67" s="269"/>
      <c r="E67" s="255">
        <v>0</v>
      </c>
      <c r="F67" s="255"/>
      <c r="G67" s="255">
        <v>0</v>
      </c>
      <c r="H67" s="255"/>
      <c r="I67" s="255">
        <v>0</v>
      </c>
      <c r="J67" s="255"/>
      <c r="K67" s="255">
        <v>0</v>
      </c>
      <c r="L67" s="255"/>
      <c r="M67" s="255">
        <v>0</v>
      </c>
      <c r="N67" s="255"/>
      <c r="O67" s="255">
        <v>0</v>
      </c>
      <c r="P67" s="255"/>
      <c r="Q67" s="255">
        <v>0</v>
      </c>
      <c r="R67" s="269"/>
      <c r="S67" s="269">
        <f>SUM('F) Remuneraciones'!I124:I145)*0.5</f>
        <v>174472</v>
      </c>
      <c r="T67" s="269"/>
      <c r="U67" s="255">
        <v>0</v>
      </c>
      <c r="V67" s="255"/>
      <c r="W67" s="255">
        <v>0</v>
      </c>
      <c r="X67" s="256"/>
      <c r="Y67" s="256">
        <f>+C67+S67</f>
        <v>563829</v>
      </c>
      <c r="Z67" s="270"/>
      <c r="AA67" s="253">
        <f t="shared" si="5"/>
        <v>1127658</v>
      </c>
    </row>
    <row r="68" spans="2:27" x14ac:dyDescent="0.35">
      <c r="B68" s="277" t="s">
        <v>290</v>
      </c>
      <c r="C68" s="258"/>
      <c r="D68" s="258"/>
      <c r="E68" s="258"/>
      <c r="F68" s="258"/>
      <c r="G68" s="258"/>
      <c r="H68" s="258"/>
      <c r="I68" s="258"/>
      <c r="J68" s="258"/>
      <c r="K68" s="258"/>
      <c r="L68" s="258"/>
      <c r="M68" s="258"/>
      <c r="N68" s="258"/>
      <c r="O68" s="258"/>
      <c r="P68" s="258"/>
      <c r="Q68" s="258"/>
      <c r="R68" s="258"/>
      <c r="S68" s="258"/>
      <c r="T68" s="258"/>
      <c r="U68" s="258"/>
      <c r="V68" s="258"/>
      <c r="W68" s="258"/>
      <c r="X68" s="278"/>
      <c r="Y68" s="278"/>
      <c r="Z68" s="278"/>
      <c r="AA68" s="279"/>
    </row>
    <row r="69" spans="2:27" ht="15" thickBot="1" x14ac:dyDescent="0.4">
      <c r="B69" s="257" t="s">
        <v>259</v>
      </c>
      <c r="C69" s="258">
        <f>(+'C) Costos Directos'!$D$440-'C) Costos Directos'!$D$373)*C72</f>
        <v>318192.95063598972</v>
      </c>
      <c r="D69" s="258"/>
      <c r="E69" s="258">
        <f>(+'C) Costos Directos'!$D$440-'C) Costos Directos'!$D$373)*E72</f>
        <v>18569796.856192943</v>
      </c>
      <c r="F69" s="258"/>
      <c r="G69" s="258">
        <f>(+'C) Costos Directos'!$D$440-'C) Costos Directos'!$D$373)*G72</f>
        <v>9368601.4257184826</v>
      </c>
      <c r="H69" s="258"/>
      <c r="I69" s="258">
        <f>(+'C) Costos Directos'!$D$440-'C) Costos Directos'!$D$373)*I72</f>
        <v>958956.17703871231</v>
      </c>
      <c r="J69" s="258"/>
      <c r="K69" s="258">
        <f>(+'C) Costos Directos'!$D$440-'C) Costos Directos'!$D$373)*K72</f>
        <v>1991267.6476406085</v>
      </c>
      <c r="L69" s="258"/>
      <c r="M69" s="258">
        <f>(+'C) Costos Directos'!$D$440-'C) Costos Directos'!$D$373)*M72</f>
        <v>574213.08877066278</v>
      </c>
      <c r="N69" s="258"/>
      <c r="O69" s="258">
        <f>(+'C) Costos Directos'!$D$440-'C) Costos Directos'!$D$373)*O72</f>
        <v>892353.91838531476</v>
      </c>
      <c r="P69" s="258"/>
      <c r="Q69" s="258">
        <f>(+'C) Costos Directos'!$D$440-'C) Costos Directos'!$D$373)*Q72</f>
        <v>1226417.7200186725</v>
      </c>
      <c r="R69" s="258"/>
      <c r="S69" s="258">
        <f>(+'C) Costos Directos'!$D$440-'C) Costos Directos'!$D$373)*S72</f>
        <v>1472671.8919455789</v>
      </c>
      <c r="T69" s="258"/>
      <c r="U69" s="258">
        <f>(+'C) Costos Directos'!$D$440-'C) Costos Directos'!$D$373)*U72</f>
        <v>2037312.3666844058</v>
      </c>
      <c r="V69" s="258"/>
      <c r="W69" s="258">
        <f>(+'C) Costos Directos'!$D$440-'C) Costos Directos'!$D$373)*W72</f>
        <v>1227423.151333512</v>
      </c>
      <c r="X69" s="258"/>
      <c r="Y69" s="258">
        <f>(+'C) Costos Directos'!$D$440-'C) Costos Directos'!$D$373)*Y72</f>
        <v>809953.10563511436</v>
      </c>
      <c r="Z69" s="278"/>
      <c r="AA69" s="253">
        <f t="shared" si="5"/>
        <v>39447160.29999999</v>
      </c>
    </row>
    <row r="70" spans="2:27" ht="15" thickBot="1" x14ac:dyDescent="0.4">
      <c r="B70" s="259" t="s">
        <v>260</v>
      </c>
      <c r="C70" s="260">
        <f>+C64-C65-C66-C67-C69</f>
        <v>5877047.9157745484</v>
      </c>
      <c r="D70" s="260"/>
      <c r="E70" s="261">
        <f>+E64-E65-E66-E67-E69</f>
        <v>-10929750.075266084</v>
      </c>
      <c r="F70" s="261"/>
      <c r="G70" s="261">
        <f>+G64-G65-G66-G67-G69</f>
        <v>-2992293.6059814561</v>
      </c>
      <c r="H70" s="261"/>
      <c r="I70" s="261">
        <f>+I64-I65-I66-I67-I69</f>
        <v>3688706.5271543618</v>
      </c>
      <c r="J70" s="261"/>
      <c r="K70" s="261">
        <f>+K64-K65-K66-K67-K69</f>
        <v>499913.48406978627</v>
      </c>
      <c r="L70" s="261"/>
      <c r="M70" s="261">
        <f>+M64-M65-M66-M67-M69</f>
        <v>2809904.3196090083</v>
      </c>
      <c r="N70" s="261"/>
      <c r="O70" s="261">
        <f>+O64-O65-O66-O67-O69</f>
        <v>2126334.5306157293</v>
      </c>
      <c r="P70" s="261"/>
      <c r="Q70" s="261">
        <f>+Q64-Q65-Q66-Q67-Q69</f>
        <v>6468409.2725824518</v>
      </c>
      <c r="R70" s="261"/>
      <c r="S70" s="261">
        <f>+S64-S65-S66-S67-S69</f>
        <v>2890268.4390134104</v>
      </c>
      <c r="T70" s="261"/>
      <c r="U70" s="261">
        <f>+U64-U65-U66-U67-U69</f>
        <v>4277517.7523916485</v>
      </c>
      <c r="V70" s="261"/>
      <c r="W70" s="261">
        <f>+W64-W65-W66-W67-W69</f>
        <v>3917775.6859858464</v>
      </c>
      <c r="X70" s="282"/>
      <c r="Y70" s="262">
        <f>+Y64-Y65-Y66-Y67-Y69</f>
        <v>4818451.6643457469</v>
      </c>
      <c r="Z70" s="284"/>
      <c r="AA70" s="263">
        <f>+AA64-AA65-AA66-AA67-AA69</f>
        <v>23452285.91029501</v>
      </c>
    </row>
    <row r="71" spans="2:27" x14ac:dyDescent="0.35">
      <c r="B71" s="264" t="s">
        <v>261</v>
      </c>
      <c r="C71" s="271">
        <v>0.1148550919549431</v>
      </c>
      <c r="D71" s="271"/>
      <c r="E71" s="271">
        <v>0.12642793327178151</v>
      </c>
      <c r="F71" s="271"/>
      <c r="G71" s="271">
        <v>0.11257122238543951</v>
      </c>
      <c r="H71" s="271"/>
      <c r="I71" s="271">
        <v>6.6876993044918329E-2</v>
      </c>
      <c r="J71" s="271"/>
      <c r="K71" s="271">
        <v>4.3231491403121637E-2</v>
      </c>
      <c r="L71" s="271"/>
      <c r="M71" s="271">
        <v>5.3022405670798634E-2</v>
      </c>
      <c r="N71" s="271"/>
      <c r="O71" s="271">
        <v>4.9015531153897667E-2</v>
      </c>
      <c r="P71" s="271"/>
      <c r="Q71" s="271">
        <v>0.10028869899398715</v>
      </c>
      <c r="R71" s="271"/>
      <c r="S71" s="271">
        <v>6.56681140011183E-2</v>
      </c>
      <c r="T71" s="271"/>
      <c r="U71" s="271">
        <v>8.5157237285717238E-2</v>
      </c>
      <c r="V71" s="271"/>
      <c r="W71" s="271">
        <v>7.233240319208073E-2</v>
      </c>
      <c r="X71" s="271"/>
      <c r="Y71" s="271">
        <v>0.11055287764219617</v>
      </c>
      <c r="Z71" s="271"/>
      <c r="AA71" s="272"/>
    </row>
    <row r="72" spans="2:27" x14ac:dyDescent="0.35">
      <c r="B72" s="264" t="s">
        <v>262</v>
      </c>
      <c r="C72" s="271">
        <v>8.0663081503483981E-3</v>
      </c>
      <c r="D72" s="271"/>
      <c r="E72" s="271">
        <v>0.47075116979188342</v>
      </c>
      <c r="F72" s="271"/>
      <c r="G72" s="271">
        <v>0.23749748662436629</v>
      </c>
      <c r="H72" s="271"/>
      <c r="I72" s="271">
        <v>2.4309891250618422E-2</v>
      </c>
      <c r="J72" s="271"/>
      <c r="K72" s="271">
        <v>5.0479366131726565E-2</v>
      </c>
      <c r="L72" s="271"/>
      <c r="M72" s="271">
        <v>1.4556512671728687E-2</v>
      </c>
      <c r="N72" s="271"/>
      <c r="O72" s="271">
        <v>2.2621499535045487E-2</v>
      </c>
      <c r="P72" s="271"/>
      <c r="Q72" s="271">
        <v>3.1090139586516009E-2</v>
      </c>
      <c r="R72" s="271"/>
      <c r="S72" s="271">
        <v>3.7332773278120582E-2</v>
      </c>
      <c r="T72" s="271"/>
      <c r="U72" s="271">
        <v>5.1646616668739168E-2</v>
      </c>
      <c r="V72" s="271"/>
      <c r="W72" s="271">
        <v>3.1115627639577193E-2</v>
      </c>
      <c r="X72" s="271"/>
      <c r="Y72" s="271">
        <v>2.0532608671329743E-2</v>
      </c>
      <c r="Z72" s="271"/>
      <c r="AA72" s="272"/>
    </row>
    <row r="73" spans="2:27" ht="15" thickBot="1" x14ac:dyDescent="0.4">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row>
    <row r="74" spans="2:27" ht="29.5" thickBot="1" x14ac:dyDescent="0.4">
      <c r="B74" s="245" t="s">
        <v>268</v>
      </c>
      <c r="C74" s="246" t="s">
        <v>243</v>
      </c>
      <c r="D74" s="246" t="s">
        <v>277</v>
      </c>
      <c r="E74" s="247" t="s">
        <v>244</v>
      </c>
      <c r="F74" s="247" t="s">
        <v>278</v>
      </c>
      <c r="G74" s="247" t="s">
        <v>245</v>
      </c>
      <c r="H74" s="247" t="s">
        <v>279</v>
      </c>
      <c r="I74" s="247" t="s">
        <v>246</v>
      </c>
      <c r="J74" s="247" t="s">
        <v>280</v>
      </c>
      <c r="K74" s="247" t="s">
        <v>247</v>
      </c>
      <c r="L74" s="247" t="s">
        <v>281</v>
      </c>
      <c r="M74" s="247" t="s">
        <v>248</v>
      </c>
      <c r="N74" s="247" t="s">
        <v>282</v>
      </c>
      <c r="O74" s="247" t="s">
        <v>197</v>
      </c>
      <c r="P74" s="247" t="s">
        <v>283</v>
      </c>
      <c r="Q74" s="247" t="s">
        <v>249</v>
      </c>
      <c r="R74" s="247" t="s">
        <v>284</v>
      </c>
      <c r="S74" s="248" t="s">
        <v>250</v>
      </c>
      <c r="T74" s="248" t="s">
        <v>285</v>
      </c>
      <c r="U74" s="248" t="s">
        <v>251</v>
      </c>
      <c r="V74" s="248" t="s">
        <v>286</v>
      </c>
      <c r="W74" s="248" t="s">
        <v>252</v>
      </c>
      <c r="X74" s="281" t="s">
        <v>287</v>
      </c>
      <c r="Y74" s="249" t="s">
        <v>253</v>
      </c>
      <c r="Z74" s="283" t="s">
        <v>288</v>
      </c>
      <c r="AA74" s="250" t="s">
        <v>254</v>
      </c>
    </row>
    <row r="75" spans="2:27" x14ac:dyDescent="0.35">
      <c r="B75" s="251" t="s">
        <v>255</v>
      </c>
      <c r="C75" s="269">
        <f>+'A) Resumen Ingresos y Egresos'!$E$15*'K='!C82</f>
        <v>0</v>
      </c>
      <c r="D75" s="269"/>
      <c r="E75" s="269">
        <f>+'A) Resumen Ingresos y Egresos'!$E$15*'K='!E82</f>
        <v>0</v>
      </c>
      <c r="F75" s="269"/>
      <c r="G75" s="269">
        <f>+'A) Resumen Ingresos y Egresos'!$E$15*'K='!G82</f>
        <v>0</v>
      </c>
      <c r="H75" s="269"/>
      <c r="I75" s="269">
        <f>+'A) Resumen Ingresos y Egresos'!$E$15*'K='!I82</f>
        <v>0</v>
      </c>
      <c r="J75" s="269"/>
      <c r="K75" s="269">
        <f>+'A) Resumen Ingresos y Egresos'!$E$15*'K='!K82</f>
        <v>0</v>
      </c>
      <c r="L75" s="269"/>
      <c r="M75" s="269">
        <f>+'A) Resumen Ingresos y Egresos'!$E$15*'K='!M82</f>
        <v>0</v>
      </c>
      <c r="N75" s="269"/>
      <c r="O75" s="269">
        <f>+'A) Resumen Ingresos y Egresos'!$E$15*'K='!O82</f>
        <v>0</v>
      </c>
      <c r="P75" s="269"/>
      <c r="Q75" s="269">
        <f>+'A) Resumen Ingresos y Egresos'!$E$15*'K='!Q82</f>
        <v>0</v>
      </c>
      <c r="R75" s="269"/>
      <c r="S75" s="269">
        <f>+'A) Resumen Ingresos y Egresos'!$E$15*'K='!S82</f>
        <v>0</v>
      </c>
      <c r="T75" s="269"/>
      <c r="U75" s="269">
        <f>+'A) Resumen Ingresos y Egresos'!$E$15*'K='!U82</f>
        <v>0</v>
      </c>
      <c r="V75" s="269"/>
      <c r="W75" s="269">
        <f>+'A) Resumen Ingresos y Egresos'!$E$15*'K='!W82</f>
        <v>0</v>
      </c>
      <c r="X75" s="269"/>
      <c r="Y75" s="269">
        <f>+'A) Resumen Ingresos y Egresos'!$E$15*'K='!Y82</f>
        <v>0</v>
      </c>
      <c r="Z75" s="270"/>
      <c r="AA75" s="253">
        <f t="shared" ref="AA75:AA80" si="6">SUM(C75:Y75)</f>
        <v>0</v>
      </c>
    </row>
    <row r="76" spans="2:27" x14ac:dyDescent="0.35">
      <c r="B76" s="251" t="s">
        <v>256</v>
      </c>
      <c r="C76" s="269">
        <f>SUM('F) Remuneraciones'!$K$146:$K$156)/12</f>
        <v>0</v>
      </c>
      <c r="D76" s="269"/>
      <c r="E76" s="269">
        <f>SUM('F) Remuneraciones'!$K$146:$K$156)/12</f>
        <v>0</v>
      </c>
      <c r="F76" s="269"/>
      <c r="G76" s="269">
        <f>SUM('F) Remuneraciones'!$K$146:$K$156)/12</f>
        <v>0</v>
      </c>
      <c r="H76" s="269"/>
      <c r="I76" s="269">
        <f>SUM('F) Remuneraciones'!$K$146:$K$156)/12</f>
        <v>0</v>
      </c>
      <c r="J76" s="269"/>
      <c r="K76" s="269">
        <f>SUM('F) Remuneraciones'!$K$146:$K$156)/12</f>
        <v>0</v>
      </c>
      <c r="L76" s="269"/>
      <c r="M76" s="269">
        <f>SUM('F) Remuneraciones'!$K$146:$K$156)/12</f>
        <v>0</v>
      </c>
      <c r="N76" s="269"/>
      <c r="O76" s="269">
        <f>SUM('F) Remuneraciones'!$K$146:$K$156)/12</f>
        <v>0</v>
      </c>
      <c r="P76" s="269"/>
      <c r="Q76" s="269">
        <f>SUM('F) Remuneraciones'!$K$146:$K$156)/12</f>
        <v>0</v>
      </c>
      <c r="R76" s="269"/>
      <c r="S76" s="269">
        <f>SUM('F) Remuneraciones'!$K$146:$K$156)/12</f>
        <v>0</v>
      </c>
      <c r="T76" s="269"/>
      <c r="U76" s="269">
        <f>SUM('F) Remuneraciones'!$K$146:$K$156)/12</f>
        <v>0</v>
      </c>
      <c r="V76" s="269"/>
      <c r="W76" s="269">
        <f>SUM('F) Remuneraciones'!$K$146:$K$156)/12</f>
        <v>0</v>
      </c>
      <c r="X76" s="269"/>
      <c r="Y76" s="269">
        <f>SUM('F) Remuneraciones'!$K$146:$K$156)/12</f>
        <v>0</v>
      </c>
      <c r="Z76" s="270"/>
      <c r="AA76" s="253">
        <f t="shared" si="6"/>
        <v>0</v>
      </c>
    </row>
    <row r="77" spans="2:27" x14ac:dyDescent="0.35">
      <c r="B77" s="251" t="s">
        <v>257</v>
      </c>
      <c r="C77" s="269">
        <f>SUM('F) Remuneraciones'!K153:K163)/4</f>
        <v>2614819.5065525002</v>
      </c>
      <c r="D77" s="269"/>
      <c r="E77" s="269">
        <f>+C77</f>
        <v>2614819.5065525002</v>
      </c>
      <c r="F77" s="269"/>
      <c r="G77" s="269">
        <f>+C77</f>
        <v>2614819.5065525002</v>
      </c>
      <c r="H77" s="269"/>
      <c r="I77" s="269">
        <v>0</v>
      </c>
      <c r="J77" s="269"/>
      <c r="K77" s="269">
        <v>0</v>
      </c>
      <c r="L77" s="269"/>
      <c r="M77" s="269">
        <v>0</v>
      </c>
      <c r="N77" s="269"/>
      <c r="O77" s="269">
        <v>0</v>
      </c>
      <c r="P77" s="269"/>
      <c r="Q77" s="269">
        <v>0</v>
      </c>
      <c r="R77" s="269"/>
      <c r="S77" s="269">
        <v>0</v>
      </c>
      <c r="T77" s="269"/>
      <c r="U77" s="269">
        <v>0</v>
      </c>
      <c r="V77" s="269"/>
      <c r="W77" s="269">
        <v>0</v>
      </c>
      <c r="X77" s="270"/>
      <c r="Y77" s="270">
        <f>+G77</f>
        <v>2614819.5065525002</v>
      </c>
      <c r="Z77" s="270"/>
      <c r="AA77" s="253">
        <f t="shared" si="6"/>
        <v>10459278.026210001</v>
      </c>
    </row>
    <row r="78" spans="2:27" x14ac:dyDescent="0.35">
      <c r="B78" s="251" t="s">
        <v>258</v>
      </c>
      <c r="C78" s="269">
        <f>SUM('F) Remuneraciones'!J146:J167)*0.5</f>
        <v>0</v>
      </c>
      <c r="D78" s="269"/>
      <c r="E78" s="255">
        <v>0</v>
      </c>
      <c r="F78" s="255"/>
      <c r="G78" s="255">
        <v>0</v>
      </c>
      <c r="H78" s="255"/>
      <c r="I78" s="255">
        <v>0</v>
      </c>
      <c r="J78" s="255"/>
      <c r="K78" s="255">
        <v>0</v>
      </c>
      <c r="L78" s="255"/>
      <c r="M78" s="255">
        <v>0</v>
      </c>
      <c r="N78" s="255"/>
      <c r="O78" s="255">
        <v>0</v>
      </c>
      <c r="P78" s="255"/>
      <c r="Q78" s="255">
        <v>0</v>
      </c>
      <c r="R78" s="269"/>
      <c r="S78" s="269">
        <f>SUM('F) Remuneraciones'!I146:I167)*0.5</f>
        <v>0</v>
      </c>
      <c r="T78" s="269"/>
      <c r="U78" s="255">
        <v>0</v>
      </c>
      <c r="V78" s="255"/>
      <c r="W78" s="255">
        <v>0</v>
      </c>
      <c r="X78" s="256"/>
      <c r="Y78" s="256">
        <f>+C78+S78</f>
        <v>0</v>
      </c>
      <c r="Z78" s="270"/>
      <c r="AA78" s="253">
        <f t="shared" si="6"/>
        <v>0</v>
      </c>
    </row>
    <row r="79" spans="2:27" x14ac:dyDescent="0.35">
      <c r="B79" s="277" t="s">
        <v>290</v>
      </c>
      <c r="C79" s="258"/>
      <c r="D79" s="258"/>
      <c r="E79" s="258"/>
      <c r="F79" s="258"/>
      <c r="G79" s="258"/>
      <c r="H79" s="258"/>
      <c r="I79" s="258"/>
      <c r="J79" s="258"/>
      <c r="K79" s="258"/>
      <c r="L79" s="258"/>
      <c r="M79" s="258"/>
      <c r="N79" s="258"/>
      <c r="O79" s="258"/>
      <c r="P79" s="258"/>
      <c r="Q79" s="258"/>
      <c r="R79" s="258"/>
      <c r="S79" s="258"/>
      <c r="T79" s="258"/>
      <c r="U79" s="258"/>
      <c r="V79" s="258"/>
      <c r="W79" s="258"/>
      <c r="X79" s="278"/>
      <c r="Y79" s="278"/>
      <c r="Z79" s="278"/>
      <c r="AA79" s="279"/>
    </row>
    <row r="80" spans="2:27" ht="15" thickBot="1" x14ac:dyDescent="0.4">
      <c r="B80" s="257" t="s">
        <v>259</v>
      </c>
      <c r="C80" s="258">
        <f>(+'C) Costos Directos'!$D$512-'C) Costos Directos'!$D$445)*C83</f>
        <v>3067298.55</v>
      </c>
      <c r="D80" s="258"/>
      <c r="E80" s="258">
        <f>(+'C) Costos Directos'!$D$512-'C) Costos Directos'!$D$445)*E83</f>
        <v>7157029.9499999993</v>
      </c>
      <c r="F80" s="258"/>
      <c r="G80" s="258">
        <f>(+'C) Costos Directos'!$D$512-'C) Costos Directos'!$D$445)*G83</f>
        <v>7157029.9499999993</v>
      </c>
      <c r="H80" s="258"/>
      <c r="I80" s="258">
        <f>(+'C) Costos Directos'!$D$512-'C) Costos Directos'!$D$445)*I83</f>
        <v>0</v>
      </c>
      <c r="J80" s="258"/>
      <c r="K80" s="258">
        <f>(+'C) Costos Directos'!$D$512-'C) Costos Directos'!$D$445)*K83</f>
        <v>0</v>
      </c>
      <c r="L80" s="258"/>
      <c r="M80" s="258">
        <f>(+'C) Costos Directos'!$D$512-'C) Costos Directos'!$D$445)*M83</f>
        <v>0</v>
      </c>
      <c r="N80" s="258"/>
      <c r="O80" s="258">
        <f>(+'C) Costos Directos'!$D$512-'C) Costos Directos'!$D$445)*O83</f>
        <v>0</v>
      </c>
      <c r="P80" s="258"/>
      <c r="Q80" s="258">
        <f>(+'C) Costos Directos'!$D$512-'C) Costos Directos'!$D$445)*Q83</f>
        <v>0</v>
      </c>
      <c r="R80" s="258"/>
      <c r="S80" s="258">
        <f>(+'C) Costos Directos'!$D$512-'C) Costos Directos'!$D$445)*S83</f>
        <v>0</v>
      </c>
      <c r="T80" s="258"/>
      <c r="U80" s="258">
        <f>(+'C) Costos Directos'!$D$512-'C) Costos Directos'!$D$445)*U83</f>
        <v>0</v>
      </c>
      <c r="V80" s="258"/>
      <c r="W80" s="258">
        <f>(+'C) Costos Directos'!$D$512-'C) Costos Directos'!$D$445)*W83</f>
        <v>0</v>
      </c>
      <c r="X80" s="258"/>
      <c r="Y80" s="258">
        <f>(+'C) Costos Directos'!$D$512-'C) Costos Directos'!$D$445)*Y83</f>
        <v>3067298.55</v>
      </c>
      <c r="Z80" s="278"/>
      <c r="AA80" s="253">
        <f t="shared" si="6"/>
        <v>20448657</v>
      </c>
    </row>
    <row r="81" spans="2:27" ht="15" thickBot="1" x14ac:dyDescent="0.4">
      <c r="B81" s="259" t="s">
        <v>260</v>
      </c>
      <c r="C81" s="260">
        <f>+C75-C76-C77-C78-C80</f>
        <v>-5682118.0565524995</v>
      </c>
      <c r="D81" s="260"/>
      <c r="E81" s="261">
        <f>+E75-E76-E77-E78-E80</f>
        <v>-9771849.4565524999</v>
      </c>
      <c r="F81" s="261"/>
      <c r="G81" s="261">
        <f>+G75-G76-G77-G78-G80</f>
        <v>-9771849.4565524999</v>
      </c>
      <c r="H81" s="261"/>
      <c r="I81" s="261">
        <f>+I75-I76-I77-I78-I80</f>
        <v>0</v>
      </c>
      <c r="J81" s="261"/>
      <c r="K81" s="261">
        <f>+K75-K76-K77-K78-K80</f>
        <v>0</v>
      </c>
      <c r="L81" s="261"/>
      <c r="M81" s="261">
        <f>+M75-M76-M77-M78-M80</f>
        <v>0</v>
      </c>
      <c r="N81" s="261"/>
      <c r="O81" s="261">
        <f>+O75-O76-O77-O78-O80</f>
        <v>0</v>
      </c>
      <c r="P81" s="261"/>
      <c r="Q81" s="261">
        <f>+Q75-Q76-Q77-Q78-Q80</f>
        <v>0</v>
      </c>
      <c r="R81" s="261"/>
      <c r="S81" s="261">
        <f>+S75-S76-S77-S78-S80</f>
        <v>0</v>
      </c>
      <c r="T81" s="261"/>
      <c r="U81" s="261">
        <f>+U75-U76-U77-U78-U80</f>
        <v>0</v>
      </c>
      <c r="V81" s="261"/>
      <c r="W81" s="261">
        <f>+W75-W76-W77-W78-W80</f>
        <v>0</v>
      </c>
      <c r="X81" s="282"/>
      <c r="Y81" s="262">
        <f>+Y75-Y76-Y77-Y78-Y80</f>
        <v>-5682118.0565524995</v>
      </c>
      <c r="Z81" s="284"/>
      <c r="AA81" s="263">
        <f>+AA75-AA76-AA77-AA78-AA80</f>
        <v>-30907935.026210003</v>
      </c>
    </row>
    <row r="82" spans="2:27" x14ac:dyDescent="0.35">
      <c r="B82" s="264" t="s">
        <v>261</v>
      </c>
      <c r="C82" s="271">
        <v>0.35</v>
      </c>
      <c r="D82" s="271"/>
      <c r="E82" s="271">
        <v>0.35</v>
      </c>
      <c r="F82" s="271"/>
      <c r="G82" s="271">
        <v>0.15</v>
      </c>
      <c r="H82" s="271"/>
      <c r="I82" s="271">
        <v>0</v>
      </c>
      <c r="J82" s="271"/>
      <c r="K82" s="271">
        <v>0</v>
      </c>
      <c r="L82" s="271"/>
      <c r="M82" s="271">
        <v>0</v>
      </c>
      <c r="N82" s="271"/>
      <c r="O82" s="271">
        <v>0</v>
      </c>
      <c r="P82" s="271"/>
      <c r="Q82" s="271">
        <v>0</v>
      </c>
      <c r="R82" s="271"/>
      <c r="S82" s="271">
        <v>0</v>
      </c>
      <c r="T82" s="271"/>
      <c r="U82" s="271">
        <v>0</v>
      </c>
      <c r="V82" s="271"/>
      <c r="W82" s="271">
        <v>0</v>
      </c>
      <c r="X82" s="271"/>
      <c r="Y82" s="271">
        <v>0.15</v>
      </c>
      <c r="Z82" s="271"/>
      <c r="AA82" s="272"/>
    </row>
    <row r="83" spans="2:27" x14ac:dyDescent="0.35">
      <c r="B83" s="264" t="s">
        <v>262</v>
      </c>
      <c r="C83" s="271">
        <v>0.15</v>
      </c>
      <c r="D83" s="271"/>
      <c r="E83" s="271">
        <v>0.35</v>
      </c>
      <c r="F83" s="271"/>
      <c r="G83" s="271">
        <v>0.35</v>
      </c>
      <c r="H83" s="271"/>
      <c r="I83" s="271">
        <v>0</v>
      </c>
      <c r="J83" s="271"/>
      <c r="K83" s="271">
        <v>0</v>
      </c>
      <c r="L83" s="271"/>
      <c r="M83" s="271">
        <v>0</v>
      </c>
      <c r="N83" s="271"/>
      <c r="O83" s="271">
        <v>0</v>
      </c>
      <c r="P83" s="271"/>
      <c r="Q83" s="271">
        <v>0</v>
      </c>
      <c r="R83" s="271"/>
      <c r="S83" s="271">
        <v>0</v>
      </c>
      <c r="T83" s="271"/>
      <c r="U83" s="271">
        <v>0</v>
      </c>
      <c r="V83" s="271"/>
      <c r="W83" s="271">
        <v>0</v>
      </c>
      <c r="X83" s="271"/>
      <c r="Y83" s="271">
        <v>0.15</v>
      </c>
      <c r="Z83" s="271"/>
      <c r="AA83" s="272"/>
    </row>
    <row r="84" spans="2:27" ht="15" thickBot="1" x14ac:dyDescent="0.4">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row>
    <row r="85" spans="2:27" ht="29.5" thickBot="1" x14ac:dyDescent="0.4">
      <c r="B85" s="245" t="s">
        <v>269</v>
      </c>
      <c r="C85" s="246" t="s">
        <v>243</v>
      </c>
      <c r="D85" s="246" t="s">
        <v>277</v>
      </c>
      <c r="E85" s="247" t="s">
        <v>244</v>
      </c>
      <c r="F85" s="247" t="s">
        <v>278</v>
      </c>
      <c r="G85" s="247" t="s">
        <v>245</v>
      </c>
      <c r="H85" s="247" t="s">
        <v>279</v>
      </c>
      <c r="I85" s="247" t="s">
        <v>246</v>
      </c>
      <c r="J85" s="247" t="s">
        <v>280</v>
      </c>
      <c r="K85" s="247" t="s">
        <v>247</v>
      </c>
      <c r="L85" s="247" t="s">
        <v>281</v>
      </c>
      <c r="M85" s="247" t="s">
        <v>248</v>
      </c>
      <c r="N85" s="247" t="s">
        <v>282</v>
      </c>
      <c r="O85" s="247" t="s">
        <v>197</v>
      </c>
      <c r="P85" s="247" t="s">
        <v>283</v>
      </c>
      <c r="Q85" s="247" t="s">
        <v>249</v>
      </c>
      <c r="R85" s="247" t="s">
        <v>284</v>
      </c>
      <c r="S85" s="248" t="s">
        <v>250</v>
      </c>
      <c r="T85" s="248" t="s">
        <v>285</v>
      </c>
      <c r="U85" s="248" t="s">
        <v>251</v>
      </c>
      <c r="V85" s="248" t="s">
        <v>286</v>
      </c>
      <c r="W85" s="248" t="s">
        <v>252</v>
      </c>
      <c r="X85" s="281" t="s">
        <v>287</v>
      </c>
      <c r="Y85" s="249" t="s">
        <v>253</v>
      </c>
      <c r="Z85" s="283" t="s">
        <v>288</v>
      </c>
      <c r="AA85" s="250" t="s">
        <v>254</v>
      </c>
    </row>
    <row r="86" spans="2:27" x14ac:dyDescent="0.35">
      <c r="B86" s="251" t="s">
        <v>255</v>
      </c>
      <c r="C86" s="269">
        <f>+'A) Resumen Ingresos y Egresos'!$E$16*'K='!C93</f>
        <v>33198965.997030769</v>
      </c>
      <c r="D86" s="269"/>
      <c r="E86" s="269">
        <f>+'A) Resumen Ingresos y Egresos'!$E$16*'K='!E93</f>
        <v>42512973.830705188</v>
      </c>
      <c r="F86" s="269"/>
      <c r="G86" s="269">
        <f>+'A) Resumen Ingresos y Egresos'!$E$16*'K='!G93</f>
        <v>15964248.477746947</v>
      </c>
      <c r="H86" s="269"/>
      <c r="I86" s="269">
        <f>+'A) Resumen Ingresos y Egresos'!$E$16*'K='!I93</f>
        <v>9636399.256881088</v>
      </c>
      <c r="J86" s="269"/>
      <c r="K86" s="269">
        <f>+'A) Resumen Ingresos y Egresos'!$E$16*'K='!K93</f>
        <v>1750226.8330558455</v>
      </c>
      <c r="L86" s="269"/>
      <c r="M86" s="269">
        <f>+'A) Resumen Ingresos y Egresos'!$E$16*'K='!M93</f>
        <v>667278.79406075145</v>
      </c>
      <c r="N86" s="269"/>
      <c r="O86" s="269">
        <f>+'A) Resumen Ingresos y Egresos'!$E$16*'K='!O93</f>
        <v>1571915.2535009659</v>
      </c>
      <c r="P86" s="269"/>
      <c r="Q86" s="269">
        <f>+'A) Resumen Ingresos y Egresos'!$E$16*'K='!Q93</f>
        <v>1510561.0351798045</v>
      </c>
      <c r="R86" s="269"/>
      <c r="S86" s="269">
        <f>+'A) Resumen Ingresos y Egresos'!$E$16*'K='!S93</f>
        <v>3171304.7292999085</v>
      </c>
      <c r="T86" s="269"/>
      <c r="U86" s="269">
        <f>+'A) Resumen Ingresos y Egresos'!$E$16*'K='!U93</f>
        <v>4327748.4310837016</v>
      </c>
      <c r="V86" s="269"/>
      <c r="W86" s="269">
        <f>+'A) Resumen Ingresos y Egresos'!$E$16*'K='!W93</f>
        <v>3871932.0583974239</v>
      </c>
      <c r="X86" s="269"/>
      <c r="Y86" s="269">
        <f>+'A) Resumen Ingresos y Egresos'!$E$16*'K='!Y93</f>
        <v>15733622.651528805</v>
      </c>
      <c r="Z86" s="270"/>
      <c r="AA86" s="253">
        <f t="shared" ref="AA86:AA91" si="7">SUM(C86:Y86)</f>
        <v>133917177.34847121</v>
      </c>
    </row>
    <row r="87" spans="2:27" x14ac:dyDescent="0.35">
      <c r="B87" s="251" t="s">
        <v>256</v>
      </c>
      <c r="C87" s="269">
        <f>SUM('F) Remuneraciones'!$K$168:$K$178)/12</f>
        <v>1634211.75</v>
      </c>
      <c r="D87" s="269"/>
      <c r="E87" s="269">
        <f>SUM('F) Remuneraciones'!$K$168:$K$178)/12</f>
        <v>1634211.75</v>
      </c>
      <c r="F87" s="269"/>
      <c r="G87" s="269">
        <f>SUM('F) Remuneraciones'!$K$168:$K$178)/12</f>
        <v>1634211.75</v>
      </c>
      <c r="H87" s="269"/>
      <c r="I87" s="269">
        <f>SUM('F) Remuneraciones'!$K$168:$K$178)/12</f>
        <v>1634211.75</v>
      </c>
      <c r="J87" s="269"/>
      <c r="K87" s="269">
        <f>SUM('F) Remuneraciones'!$K$168:$K$178)/12</f>
        <v>1634211.75</v>
      </c>
      <c r="L87" s="269"/>
      <c r="M87" s="269">
        <f>SUM('F) Remuneraciones'!$K$168:$K$178)/12</f>
        <v>1634211.75</v>
      </c>
      <c r="N87" s="269"/>
      <c r="O87" s="269">
        <f>SUM('F) Remuneraciones'!$K$168:$K$178)/12</f>
        <v>1634211.75</v>
      </c>
      <c r="P87" s="269"/>
      <c r="Q87" s="269">
        <f>SUM('F) Remuneraciones'!$K$168:$K$178)/12</f>
        <v>1634211.75</v>
      </c>
      <c r="R87" s="269"/>
      <c r="S87" s="269">
        <f>SUM('F) Remuneraciones'!$K$168:$K$178)/12</f>
        <v>1634211.75</v>
      </c>
      <c r="T87" s="269"/>
      <c r="U87" s="269">
        <f>SUM('F) Remuneraciones'!$K$168:$K$178)/12</f>
        <v>1634211.75</v>
      </c>
      <c r="V87" s="269"/>
      <c r="W87" s="269">
        <f>SUM('F) Remuneraciones'!$K$168:$K$178)/12</f>
        <v>1634211.75</v>
      </c>
      <c r="X87" s="269"/>
      <c r="Y87" s="269">
        <f>SUM('F) Remuneraciones'!$K$168:$K$178)/12</f>
        <v>1634211.75</v>
      </c>
      <c r="Z87" s="270"/>
      <c r="AA87" s="253">
        <f t="shared" si="7"/>
        <v>19610541</v>
      </c>
    </row>
    <row r="88" spans="2:27" x14ac:dyDescent="0.35">
      <c r="B88" s="251" t="s">
        <v>257</v>
      </c>
      <c r="C88" s="269">
        <f>SUM('F) Remuneraciones'!K179:K189)/4</f>
        <v>3912565.1008896669</v>
      </c>
      <c r="D88" s="269"/>
      <c r="E88" s="269">
        <f>+C88</f>
        <v>3912565.1008896669</v>
      </c>
      <c r="F88" s="269"/>
      <c r="G88" s="269">
        <f>+C88</f>
        <v>3912565.1008896669</v>
      </c>
      <c r="H88" s="269"/>
      <c r="I88" s="269">
        <v>0</v>
      </c>
      <c r="J88" s="269"/>
      <c r="K88" s="269">
        <v>0</v>
      </c>
      <c r="L88" s="269"/>
      <c r="M88" s="269">
        <v>0</v>
      </c>
      <c r="N88" s="269"/>
      <c r="O88" s="269">
        <v>0</v>
      </c>
      <c r="P88" s="269"/>
      <c r="Q88" s="269">
        <v>0</v>
      </c>
      <c r="R88" s="269"/>
      <c r="S88" s="269">
        <v>0</v>
      </c>
      <c r="T88" s="269"/>
      <c r="U88" s="269">
        <v>0</v>
      </c>
      <c r="V88" s="269"/>
      <c r="W88" s="269">
        <v>0</v>
      </c>
      <c r="X88" s="270"/>
      <c r="Y88" s="270">
        <f>+G88</f>
        <v>3912565.1008896669</v>
      </c>
      <c r="Z88" s="270"/>
      <c r="AA88" s="253">
        <f t="shared" si="7"/>
        <v>15650260.403558668</v>
      </c>
    </row>
    <row r="89" spans="2:27" x14ac:dyDescent="0.35">
      <c r="B89" s="251" t="s">
        <v>258</v>
      </c>
      <c r="C89" s="269">
        <f>SUM('F) Remuneraciones'!J168:J189)*0.5</f>
        <v>108572.5</v>
      </c>
      <c r="D89" s="269"/>
      <c r="E89" s="255">
        <v>0</v>
      </c>
      <c r="F89" s="255"/>
      <c r="G89" s="255">
        <v>0</v>
      </c>
      <c r="H89" s="255"/>
      <c r="I89" s="255">
        <v>0</v>
      </c>
      <c r="J89" s="255"/>
      <c r="K89" s="255">
        <v>0</v>
      </c>
      <c r="L89" s="255"/>
      <c r="M89" s="255">
        <v>0</v>
      </c>
      <c r="N89" s="255"/>
      <c r="O89" s="255">
        <v>0</v>
      </c>
      <c r="P89" s="255"/>
      <c r="Q89" s="255">
        <v>0</v>
      </c>
      <c r="R89" s="269"/>
      <c r="S89" s="269">
        <f>SUM('F) Remuneraciones'!I168:I189)*0.5</f>
        <v>85064</v>
      </c>
      <c r="T89" s="269"/>
      <c r="U89" s="255">
        <v>0</v>
      </c>
      <c r="V89" s="255"/>
      <c r="W89" s="255">
        <v>0</v>
      </c>
      <c r="X89" s="256"/>
      <c r="Y89" s="256">
        <f>+C89+S89</f>
        <v>193636.5</v>
      </c>
      <c r="Z89" s="270"/>
      <c r="AA89" s="253">
        <f t="shared" si="7"/>
        <v>387273</v>
      </c>
    </row>
    <row r="90" spans="2:27" x14ac:dyDescent="0.35">
      <c r="B90" s="277" t="s">
        <v>290</v>
      </c>
      <c r="C90" s="258"/>
      <c r="D90" s="258"/>
      <c r="E90" s="258"/>
      <c r="F90" s="258"/>
      <c r="G90" s="258"/>
      <c r="H90" s="258"/>
      <c r="I90" s="258"/>
      <c r="J90" s="258"/>
      <c r="K90" s="258"/>
      <c r="L90" s="258"/>
      <c r="M90" s="258"/>
      <c r="N90" s="258"/>
      <c r="O90" s="258"/>
      <c r="P90" s="258"/>
      <c r="Q90" s="258"/>
      <c r="R90" s="258"/>
      <c r="S90" s="258"/>
      <c r="T90" s="258"/>
      <c r="U90" s="258"/>
      <c r="V90" s="258"/>
      <c r="W90" s="258"/>
      <c r="X90" s="278"/>
      <c r="Y90" s="278"/>
      <c r="Z90" s="278"/>
      <c r="AA90" s="279"/>
    </row>
    <row r="91" spans="2:27" ht="15" thickBot="1" x14ac:dyDescent="0.4">
      <c r="B91" s="257" t="s">
        <v>259</v>
      </c>
      <c r="C91" s="258">
        <f>(+'C) Costos Directos'!$D$584-'C) Costos Directos'!$D$517)*C94</f>
        <v>4281196.7066992074</v>
      </c>
      <c r="D91" s="258"/>
      <c r="E91" s="258">
        <f>(+'C) Costos Directos'!$D$584-'C) Costos Directos'!$D$517)*E94</f>
        <v>11918376.470166666</v>
      </c>
      <c r="F91" s="258"/>
      <c r="G91" s="258">
        <f>(+'C) Costos Directos'!$D$584-'C) Costos Directos'!$D$517)*G94</f>
        <v>4969974.6086322898</v>
      </c>
      <c r="H91" s="258"/>
      <c r="I91" s="258">
        <f>(+'C) Costos Directos'!$D$584-'C) Costos Directos'!$D$517)*I94</f>
        <v>2250647.4997685361</v>
      </c>
      <c r="J91" s="258"/>
      <c r="K91" s="258">
        <f>(+'C) Costos Directos'!$D$584-'C) Costos Directos'!$D$517)*K94</f>
        <v>6077093.1310140695</v>
      </c>
      <c r="L91" s="258"/>
      <c r="M91" s="258">
        <f>(+'C) Costos Directos'!$D$584-'C) Costos Directos'!$D$517)*M94</f>
        <v>2363485.1798144579</v>
      </c>
      <c r="N91" s="258"/>
      <c r="O91" s="258">
        <f>(+'C) Costos Directos'!$D$584-'C) Costos Directos'!$D$517)*O94</f>
        <v>2743913.0505308225</v>
      </c>
      <c r="P91" s="258"/>
      <c r="Q91" s="258">
        <f>(+'C) Costos Directos'!$D$584-'C) Costos Directos'!$D$517)*Q94</f>
        <v>2583635.9721992472</v>
      </c>
      <c r="R91" s="258"/>
      <c r="S91" s="258">
        <f>(+'C) Costos Directos'!$D$584-'C) Costos Directos'!$D$517)*S94</f>
        <v>1738716.3408615072</v>
      </c>
      <c r="T91" s="258"/>
      <c r="U91" s="258">
        <f>(+'C) Costos Directos'!$D$584-'C) Costos Directos'!$D$517)*U94</f>
        <v>6707469.325421147</v>
      </c>
      <c r="V91" s="258"/>
      <c r="W91" s="258">
        <f>(+'C) Costos Directos'!$D$584-'C) Costos Directos'!$D$517)*W94</f>
        <v>3548702.8358853715</v>
      </c>
      <c r="X91" s="258"/>
      <c r="Y91" s="258">
        <f>(+'C) Costos Directos'!$D$584-'C) Costos Directos'!$D$517)*Y94</f>
        <v>2979936.8790066782</v>
      </c>
      <c r="Z91" s="278"/>
      <c r="AA91" s="253">
        <f t="shared" si="7"/>
        <v>52163147.999999993</v>
      </c>
    </row>
    <row r="92" spans="2:27" ht="15" thickBot="1" x14ac:dyDescent="0.4">
      <c r="B92" s="259" t="s">
        <v>260</v>
      </c>
      <c r="C92" s="260">
        <f>+C86-C87-C88-C89-C91</f>
        <v>23262419.939441893</v>
      </c>
      <c r="D92" s="260"/>
      <c r="E92" s="261">
        <f>+E86-E87-E88-E89-E91</f>
        <v>25047820.509648852</v>
      </c>
      <c r="F92" s="261"/>
      <c r="G92" s="261">
        <f>+G86-G87-G88-G89-G91</f>
        <v>5447497.0182249909</v>
      </c>
      <c r="H92" s="261"/>
      <c r="I92" s="261">
        <f>+I86-I87-I88-I89-I91</f>
        <v>5751540.0071125515</v>
      </c>
      <c r="J92" s="261"/>
      <c r="K92" s="261">
        <f>+K86-K87-K88-K89-K91</f>
        <v>-5961078.0479582241</v>
      </c>
      <c r="L92" s="261"/>
      <c r="M92" s="261">
        <f>+M86-M87-M88-M89-M91</f>
        <v>-3330418.1357537066</v>
      </c>
      <c r="N92" s="261"/>
      <c r="O92" s="261">
        <f>+O86-O87-O88-O89-O91</f>
        <v>-2806209.5470298566</v>
      </c>
      <c r="P92" s="261"/>
      <c r="Q92" s="261">
        <f>+Q86-Q87-Q88-Q89-Q91</f>
        <v>-2707286.6870194427</v>
      </c>
      <c r="R92" s="261"/>
      <c r="S92" s="261">
        <f>+S86-S87-S88-S89-S91</f>
        <v>-286687.36156159872</v>
      </c>
      <c r="T92" s="261"/>
      <c r="U92" s="261">
        <f>+U86-U87-U88-U89-U91</f>
        <v>-4013932.6443374455</v>
      </c>
      <c r="V92" s="261"/>
      <c r="W92" s="261">
        <f>+W86-W87-W88-W89-W91</f>
        <v>-1310982.5274879476</v>
      </c>
      <c r="X92" s="282"/>
      <c r="Y92" s="262">
        <f>+Y86-Y87-Y88-Y89-Y91</f>
        <v>7013272.4216324594</v>
      </c>
      <c r="Z92" s="284"/>
      <c r="AA92" s="263">
        <f>+AA86-AA87-AA88-AA89-AA91</f>
        <v>46105954.944912545</v>
      </c>
    </row>
    <row r="93" spans="2:27" x14ac:dyDescent="0.35">
      <c r="B93" s="264" t="s">
        <v>261</v>
      </c>
      <c r="C93" s="271">
        <v>0.22184289022865744</v>
      </c>
      <c r="D93" s="271"/>
      <c r="E93" s="271">
        <v>0.28408116649363174</v>
      </c>
      <c r="F93" s="271"/>
      <c r="G93" s="271">
        <v>0.10667666646450902</v>
      </c>
      <c r="H93" s="271"/>
      <c r="I93" s="271">
        <v>6.4392567609936516E-2</v>
      </c>
      <c r="J93" s="271"/>
      <c r="K93" s="271">
        <v>1.1695405791722098E-2</v>
      </c>
      <c r="L93" s="271"/>
      <c r="M93" s="271">
        <v>4.4589056260357545E-3</v>
      </c>
      <c r="N93" s="271"/>
      <c r="O93" s="271">
        <v>1.0503888074777855E-2</v>
      </c>
      <c r="P93" s="271"/>
      <c r="Q93" s="271">
        <v>1.0093905513233505E-2</v>
      </c>
      <c r="R93" s="271"/>
      <c r="S93" s="271">
        <v>2.1191365026447626E-2</v>
      </c>
      <c r="T93" s="271"/>
      <c r="U93" s="271">
        <v>2.8918979591714189E-2</v>
      </c>
      <c r="V93" s="271"/>
      <c r="W93" s="271">
        <v>2.5873112996371714E-2</v>
      </c>
      <c r="X93" s="271"/>
      <c r="Y93" s="271">
        <v>0.10513557329148127</v>
      </c>
      <c r="Z93" s="271"/>
      <c r="AA93" s="272"/>
    </row>
    <row r="94" spans="2:27" x14ac:dyDescent="0.35">
      <c r="B94" s="264" t="s">
        <v>262</v>
      </c>
      <c r="C94" s="271">
        <v>8.2073204375993705E-2</v>
      </c>
      <c r="D94" s="271"/>
      <c r="E94" s="271">
        <v>0.22848269184533621</v>
      </c>
      <c r="F94" s="271"/>
      <c r="G94" s="271">
        <v>9.5277505273115223E-2</v>
      </c>
      <c r="H94" s="271"/>
      <c r="I94" s="271">
        <v>4.3146312790948431E-2</v>
      </c>
      <c r="J94" s="271"/>
      <c r="K94" s="271">
        <v>0.11650165613114588</v>
      </c>
      <c r="L94" s="271"/>
      <c r="M94" s="271">
        <v>4.5309481318390868E-2</v>
      </c>
      <c r="N94" s="271"/>
      <c r="O94" s="271">
        <v>5.2602520279850108E-2</v>
      </c>
      <c r="P94" s="271"/>
      <c r="Q94" s="271">
        <v>4.9529908973270691E-2</v>
      </c>
      <c r="R94" s="271"/>
      <c r="S94" s="271">
        <v>3.3332273981269443E-2</v>
      </c>
      <c r="T94" s="271"/>
      <c r="U94" s="271">
        <v>0.12858635996088938</v>
      </c>
      <c r="V94" s="271"/>
      <c r="W94" s="271">
        <v>6.8030841157925737E-2</v>
      </c>
      <c r="X94" s="271"/>
      <c r="Y94" s="271">
        <v>5.7127243911864335E-2</v>
      </c>
      <c r="Z94" s="271"/>
      <c r="AA94" s="272"/>
    </row>
    <row r="95" spans="2:27" ht="15" thickBot="1" x14ac:dyDescent="0.4">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row>
    <row r="96" spans="2:27" ht="29.5" thickBot="1" x14ac:dyDescent="0.4">
      <c r="B96" s="245" t="s">
        <v>270</v>
      </c>
      <c r="C96" s="246" t="s">
        <v>243</v>
      </c>
      <c r="D96" s="246" t="s">
        <v>277</v>
      </c>
      <c r="E96" s="247" t="s">
        <v>244</v>
      </c>
      <c r="F96" s="247" t="s">
        <v>278</v>
      </c>
      <c r="G96" s="247" t="s">
        <v>245</v>
      </c>
      <c r="H96" s="247" t="s">
        <v>279</v>
      </c>
      <c r="I96" s="247" t="s">
        <v>246</v>
      </c>
      <c r="J96" s="247" t="s">
        <v>280</v>
      </c>
      <c r="K96" s="247" t="s">
        <v>247</v>
      </c>
      <c r="L96" s="247" t="s">
        <v>281</v>
      </c>
      <c r="M96" s="247" t="s">
        <v>248</v>
      </c>
      <c r="N96" s="247" t="s">
        <v>282</v>
      </c>
      <c r="O96" s="247" t="s">
        <v>197</v>
      </c>
      <c r="P96" s="247" t="s">
        <v>283</v>
      </c>
      <c r="Q96" s="247" t="s">
        <v>249</v>
      </c>
      <c r="R96" s="247" t="s">
        <v>284</v>
      </c>
      <c r="S96" s="248" t="s">
        <v>250</v>
      </c>
      <c r="T96" s="248" t="s">
        <v>285</v>
      </c>
      <c r="U96" s="248" t="s">
        <v>251</v>
      </c>
      <c r="V96" s="248" t="s">
        <v>286</v>
      </c>
      <c r="W96" s="248" t="s">
        <v>252</v>
      </c>
      <c r="X96" s="281" t="s">
        <v>287</v>
      </c>
      <c r="Y96" s="249" t="s">
        <v>253</v>
      </c>
      <c r="Z96" s="283" t="s">
        <v>288</v>
      </c>
      <c r="AA96" s="250" t="s">
        <v>254</v>
      </c>
    </row>
    <row r="97" spans="2:27" x14ac:dyDescent="0.35">
      <c r="B97" s="251" t="s">
        <v>255</v>
      </c>
      <c r="C97" s="269">
        <f>+'A) Resumen Ingresos y Egresos'!$E$17*'K='!C104</f>
        <v>0</v>
      </c>
      <c r="D97" s="269"/>
      <c r="E97" s="269">
        <f>+'A) Resumen Ingresos y Egresos'!$E$17*'K='!E104</f>
        <v>0</v>
      </c>
      <c r="F97" s="269"/>
      <c r="G97" s="269">
        <f>+'A) Resumen Ingresos y Egresos'!$E$17*'K='!G104</f>
        <v>0</v>
      </c>
      <c r="H97" s="269"/>
      <c r="I97" s="269">
        <f>+'A) Resumen Ingresos y Egresos'!$E$17*'K='!I104</f>
        <v>0</v>
      </c>
      <c r="J97" s="269"/>
      <c r="K97" s="269">
        <f>+'A) Resumen Ingresos y Egresos'!$E$17*'K='!K104</f>
        <v>0</v>
      </c>
      <c r="L97" s="269"/>
      <c r="M97" s="269">
        <f>+'A) Resumen Ingresos y Egresos'!$E$17*'K='!M104</f>
        <v>0</v>
      </c>
      <c r="N97" s="269"/>
      <c r="O97" s="269">
        <f>+'A) Resumen Ingresos y Egresos'!$E$17*'K='!O104</f>
        <v>0</v>
      </c>
      <c r="P97" s="269"/>
      <c r="Q97" s="269">
        <f>+'A) Resumen Ingresos y Egresos'!$E$17*'K='!Q104</f>
        <v>0</v>
      </c>
      <c r="R97" s="269"/>
      <c r="S97" s="269">
        <f>+'A) Resumen Ingresos y Egresos'!$E$17*'K='!S104</f>
        <v>0</v>
      </c>
      <c r="T97" s="269"/>
      <c r="U97" s="269">
        <f>+'A) Resumen Ingresos y Egresos'!$E$17*'K='!U104</f>
        <v>0</v>
      </c>
      <c r="V97" s="269"/>
      <c r="W97" s="269">
        <f>+'A) Resumen Ingresos y Egresos'!$E$17*'K='!W104</f>
        <v>0</v>
      </c>
      <c r="X97" s="269"/>
      <c r="Y97" s="269">
        <f>+'A) Resumen Ingresos y Egresos'!$E$17*'K='!Y104</f>
        <v>0</v>
      </c>
      <c r="Z97" s="270"/>
      <c r="AA97" s="253">
        <f t="shared" ref="AA97:AA102" si="8">SUM(C97:Y97)</f>
        <v>0</v>
      </c>
    </row>
    <row r="98" spans="2:27" x14ac:dyDescent="0.35">
      <c r="B98" s="251" t="s">
        <v>256</v>
      </c>
      <c r="C98" s="269">
        <f>SUM('F) Remuneraciones'!$K$190:$K$200)/12</f>
        <v>0</v>
      </c>
      <c r="D98" s="269"/>
      <c r="E98" s="269">
        <f>SUM('F) Remuneraciones'!$K$190:$K$200)/12</f>
        <v>0</v>
      </c>
      <c r="F98" s="269"/>
      <c r="G98" s="269">
        <f>SUM('F) Remuneraciones'!$K$190:$K$200)/12</f>
        <v>0</v>
      </c>
      <c r="H98" s="269"/>
      <c r="I98" s="269">
        <f>SUM('F) Remuneraciones'!$K$190:$K$200)/12</f>
        <v>0</v>
      </c>
      <c r="J98" s="269"/>
      <c r="K98" s="269">
        <f>SUM('F) Remuneraciones'!$K$190:$K$200)/12</f>
        <v>0</v>
      </c>
      <c r="L98" s="269"/>
      <c r="M98" s="269">
        <f>SUM('F) Remuneraciones'!$K$190:$K$200)/12</f>
        <v>0</v>
      </c>
      <c r="N98" s="269"/>
      <c r="O98" s="269">
        <f>SUM('F) Remuneraciones'!$K$190:$K$200)/12</f>
        <v>0</v>
      </c>
      <c r="P98" s="269"/>
      <c r="Q98" s="269">
        <f>SUM('F) Remuneraciones'!$K$190:$K$200)/12</f>
        <v>0</v>
      </c>
      <c r="R98" s="269"/>
      <c r="S98" s="269">
        <f>SUM('F) Remuneraciones'!$K$190:$K$200)/12</f>
        <v>0</v>
      </c>
      <c r="T98" s="269"/>
      <c r="U98" s="269">
        <f>SUM('F) Remuneraciones'!$K$190:$K$200)/12</f>
        <v>0</v>
      </c>
      <c r="V98" s="269"/>
      <c r="W98" s="269">
        <f>SUM('F) Remuneraciones'!$K$190:$K$200)/12</f>
        <v>0</v>
      </c>
      <c r="X98" s="269"/>
      <c r="Y98" s="269">
        <f>SUM('F) Remuneraciones'!$K$190:$K$200)/12</f>
        <v>0</v>
      </c>
      <c r="Z98" s="270"/>
      <c r="AA98" s="253">
        <f t="shared" si="8"/>
        <v>0</v>
      </c>
    </row>
    <row r="99" spans="2:27" x14ac:dyDescent="0.35">
      <c r="B99" s="251" t="s">
        <v>257</v>
      </c>
      <c r="C99" s="269">
        <f>SUM('F) Remuneraciones'!K201:K211)/4</f>
        <v>2226936.7278136248</v>
      </c>
      <c r="D99" s="269"/>
      <c r="E99" s="269">
        <f>+C99</f>
        <v>2226936.7278136248</v>
      </c>
      <c r="F99" s="269"/>
      <c r="G99" s="269">
        <f>+C99</f>
        <v>2226936.7278136248</v>
      </c>
      <c r="H99" s="269"/>
      <c r="I99" s="269">
        <v>0</v>
      </c>
      <c r="J99" s="269"/>
      <c r="K99" s="269">
        <v>0</v>
      </c>
      <c r="L99" s="269"/>
      <c r="M99" s="269">
        <v>0</v>
      </c>
      <c r="N99" s="269"/>
      <c r="O99" s="269">
        <v>0</v>
      </c>
      <c r="P99" s="269"/>
      <c r="Q99" s="269">
        <v>0</v>
      </c>
      <c r="R99" s="269"/>
      <c r="S99" s="269">
        <v>0</v>
      </c>
      <c r="T99" s="269"/>
      <c r="U99" s="269">
        <v>0</v>
      </c>
      <c r="V99" s="269"/>
      <c r="W99" s="269">
        <v>0</v>
      </c>
      <c r="X99" s="270"/>
      <c r="Y99" s="270">
        <f>+G99</f>
        <v>2226936.7278136248</v>
      </c>
      <c r="Z99" s="270"/>
      <c r="AA99" s="253">
        <f t="shared" si="8"/>
        <v>8907746.9112544991</v>
      </c>
    </row>
    <row r="100" spans="2:27" x14ac:dyDescent="0.35">
      <c r="B100" s="251" t="s">
        <v>258</v>
      </c>
      <c r="C100" s="269">
        <f>SUM('F) Remuneraciones'!J190:J211)*0.5</f>
        <v>0</v>
      </c>
      <c r="D100" s="269"/>
      <c r="E100" s="255">
        <v>0</v>
      </c>
      <c r="F100" s="255"/>
      <c r="G100" s="255">
        <v>0</v>
      </c>
      <c r="H100" s="255"/>
      <c r="I100" s="255">
        <v>0</v>
      </c>
      <c r="J100" s="255"/>
      <c r="K100" s="255">
        <v>0</v>
      </c>
      <c r="L100" s="255"/>
      <c r="M100" s="255">
        <v>0</v>
      </c>
      <c r="N100" s="255"/>
      <c r="O100" s="255">
        <v>0</v>
      </c>
      <c r="P100" s="255"/>
      <c r="Q100" s="255">
        <v>0</v>
      </c>
      <c r="R100" s="269"/>
      <c r="S100" s="269">
        <f>SUM('F) Remuneraciones'!I190:I211)*0.5</f>
        <v>0</v>
      </c>
      <c r="T100" s="269"/>
      <c r="U100" s="255">
        <v>0</v>
      </c>
      <c r="V100" s="255"/>
      <c r="W100" s="255">
        <v>0</v>
      </c>
      <c r="X100" s="256"/>
      <c r="Y100" s="256">
        <f>+C100+S100</f>
        <v>0</v>
      </c>
      <c r="Z100" s="270"/>
      <c r="AA100" s="253">
        <f t="shared" si="8"/>
        <v>0</v>
      </c>
    </row>
    <row r="101" spans="2:27" x14ac:dyDescent="0.35">
      <c r="B101" s="277" t="s">
        <v>290</v>
      </c>
      <c r="C101" s="258"/>
      <c r="D101" s="258"/>
      <c r="E101" s="258"/>
      <c r="F101" s="258"/>
      <c r="G101" s="258"/>
      <c r="H101" s="258"/>
      <c r="I101" s="258"/>
      <c r="J101" s="258"/>
      <c r="K101" s="258"/>
      <c r="L101" s="258"/>
      <c r="M101" s="258"/>
      <c r="N101" s="258"/>
      <c r="O101" s="258"/>
      <c r="P101" s="258"/>
      <c r="Q101" s="258"/>
      <c r="R101" s="258"/>
      <c r="S101" s="258"/>
      <c r="T101" s="258"/>
      <c r="U101" s="258"/>
      <c r="V101" s="258"/>
      <c r="W101" s="258"/>
      <c r="X101" s="278"/>
      <c r="Y101" s="278"/>
      <c r="Z101" s="278"/>
      <c r="AA101" s="279"/>
    </row>
    <row r="102" spans="2:27" ht="15" thickBot="1" x14ac:dyDescent="0.4">
      <c r="B102" s="257" t="s">
        <v>259</v>
      </c>
      <c r="C102" s="258">
        <f>(+'C) Costos Directos'!$D$656-'C) Costos Directos'!$D$589)*C105</f>
        <v>1877876.55</v>
      </c>
      <c r="D102" s="258"/>
      <c r="E102" s="258">
        <f>(+'C) Costos Directos'!$D$656-'C) Costos Directos'!$D$589)*E105</f>
        <v>4381711.95</v>
      </c>
      <c r="F102" s="258"/>
      <c r="G102" s="258">
        <f>(+'C) Costos Directos'!$D$656-'C) Costos Directos'!$D$589)*G105</f>
        <v>4381711.95</v>
      </c>
      <c r="H102" s="258"/>
      <c r="I102" s="258">
        <f>(+'C) Costos Directos'!$D$656-'C) Costos Directos'!$D$589)*I105</f>
        <v>0</v>
      </c>
      <c r="J102" s="258"/>
      <c r="K102" s="258">
        <f>(+'C) Costos Directos'!$D$656-'C) Costos Directos'!$D$589)*K105</f>
        <v>0</v>
      </c>
      <c r="L102" s="258"/>
      <c r="M102" s="258">
        <f>(+'C) Costos Directos'!$D$656-'C) Costos Directos'!$D$589)*M105</f>
        <v>0</v>
      </c>
      <c r="N102" s="258"/>
      <c r="O102" s="258">
        <f>(+'C) Costos Directos'!$D$656-'C) Costos Directos'!$D$589)*O105</f>
        <v>0</v>
      </c>
      <c r="P102" s="258"/>
      <c r="Q102" s="258">
        <f>(+'C) Costos Directos'!$D$656-'C) Costos Directos'!$D$589)*Q105</f>
        <v>0</v>
      </c>
      <c r="R102" s="258"/>
      <c r="S102" s="258">
        <f>(+'C) Costos Directos'!$D$656-'C) Costos Directos'!$D$589)*S105</f>
        <v>0</v>
      </c>
      <c r="T102" s="258"/>
      <c r="U102" s="258">
        <f>(+'C) Costos Directos'!$D$656-'C) Costos Directos'!$D$589)*U105</f>
        <v>0</v>
      </c>
      <c r="V102" s="258"/>
      <c r="W102" s="258">
        <f>(+'C) Costos Directos'!$D$656-'C) Costos Directos'!$D$589)*W105</f>
        <v>0</v>
      </c>
      <c r="X102" s="258"/>
      <c r="Y102" s="258">
        <f>(+'C) Costos Directos'!$D$656-'C) Costos Directos'!$D$589)*Y105</f>
        <v>1877876.55</v>
      </c>
      <c r="Z102" s="278"/>
      <c r="AA102" s="253">
        <f t="shared" si="8"/>
        <v>12519177</v>
      </c>
    </row>
    <row r="103" spans="2:27" ht="15" thickBot="1" x14ac:dyDescent="0.4">
      <c r="B103" s="259" t="s">
        <v>260</v>
      </c>
      <c r="C103" s="260">
        <f>+C97-C98-C99-C100-C102</f>
        <v>-4104813.2778136246</v>
      </c>
      <c r="D103" s="260"/>
      <c r="E103" s="261">
        <f>+E97-E98-E99-E100-E102</f>
        <v>-6608648.677813625</v>
      </c>
      <c r="F103" s="261"/>
      <c r="G103" s="261">
        <f>+G97-G98-G99-G100-G102</f>
        <v>-6608648.677813625</v>
      </c>
      <c r="H103" s="261"/>
      <c r="I103" s="261">
        <f>+I97-I98-I99-I100-I102</f>
        <v>0</v>
      </c>
      <c r="J103" s="261"/>
      <c r="K103" s="261">
        <f>+K97-K98-K99-K100-K102</f>
        <v>0</v>
      </c>
      <c r="L103" s="261"/>
      <c r="M103" s="261">
        <f>+M97-M98-M99-M100-M102</f>
        <v>0</v>
      </c>
      <c r="N103" s="261"/>
      <c r="O103" s="261">
        <f>+O97-O98-O99-O100-O102</f>
        <v>0</v>
      </c>
      <c r="P103" s="261"/>
      <c r="Q103" s="261">
        <f>+Q97-Q98-Q99-Q100-Q102</f>
        <v>0</v>
      </c>
      <c r="R103" s="261"/>
      <c r="S103" s="261">
        <f>+S97-S98-S99-S100-S102</f>
        <v>0</v>
      </c>
      <c r="T103" s="261"/>
      <c r="U103" s="261">
        <f>+U97-U98-U99-U100-U102</f>
        <v>0</v>
      </c>
      <c r="V103" s="261"/>
      <c r="W103" s="261">
        <f>+W97-W98-W99-W100-W102</f>
        <v>0</v>
      </c>
      <c r="X103" s="282"/>
      <c r="Y103" s="262">
        <f>+Y97-Y98-Y99-Y100-Y102</f>
        <v>-4104813.2778136246</v>
      </c>
      <c r="Z103" s="284"/>
      <c r="AA103" s="263">
        <f>+AA97-AA98-AA99-AA100-AA102</f>
        <v>-21426923.911254499</v>
      </c>
    </row>
    <row r="104" spans="2:27" x14ac:dyDescent="0.35">
      <c r="B104" s="264" t="s">
        <v>261</v>
      </c>
      <c r="C104" s="271">
        <v>0.35</v>
      </c>
      <c r="D104" s="271"/>
      <c r="E104" s="271">
        <v>0.35</v>
      </c>
      <c r="F104" s="271"/>
      <c r="G104" s="271">
        <v>0.15</v>
      </c>
      <c r="H104" s="271"/>
      <c r="I104" s="271">
        <v>0</v>
      </c>
      <c r="J104" s="271"/>
      <c r="K104" s="271">
        <v>0</v>
      </c>
      <c r="L104" s="271"/>
      <c r="M104" s="271">
        <v>0</v>
      </c>
      <c r="N104" s="271"/>
      <c r="O104" s="271">
        <v>0</v>
      </c>
      <c r="P104" s="271"/>
      <c r="Q104" s="271">
        <v>0</v>
      </c>
      <c r="R104" s="271"/>
      <c r="S104" s="271">
        <v>0</v>
      </c>
      <c r="T104" s="271"/>
      <c r="U104" s="271">
        <v>0</v>
      </c>
      <c r="V104" s="271"/>
      <c r="W104" s="271">
        <v>0</v>
      </c>
      <c r="X104" s="271"/>
      <c r="Y104" s="271">
        <v>0.15</v>
      </c>
      <c r="Z104" s="271"/>
    </row>
    <row r="105" spans="2:27" x14ac:dyDescent="0.35">
      <c r="B105" s="264" t="s">
        <v>262</v>
      </c>
      <c r="C105" s="271">
        <v>0.15</v>
      </c>
      <c r="D105" s="271"/>
      <c r="E105" s="271">
        <v>0.35</v>
      </c>
      <c r="F105" s="271"/>
      <c r="G105" s="271">
        <v>0.35</v>
      </c>
      <c r="H105" s="271"/>
      <c r="I105" s="271">
        <v>0</v>
      </c>
      <c r="J105" s="271"/>
      <c r="K105" s="271">
        <v>0</v>
      </c>
      <c r="L105" s="271"/>
      <c r="M105" s="271">
        <v>0</v>
      </c>
      <c r="N105" s="271"/>
      <c r="O105" s="271">
        <v>0</v>
      </c>
      <c r="P105" s="271"/>
      <c r="Q105" s="271">
        <v>0</v>
      </c>
      <c r="R105" s="271"/>
      <c r="S105" s="271">
        <v>0</v>
      </c>
      <c r="T105" s="271"/>
      <c r="U105" s="271">
        <v>0</v>
      </c>
      <c r="V105" s="271"/>
      <c r="W105" s="271">
        <v>0</v>
      </c>
      <c r="X105" s="271"/>
      <c r="Y105" s="271">
        <v>0.15</v>
      </c>
      <c r="Z105" s="271"/>
    </row>
    <row r="106" spans="2:27" ht="15" thickBot="1" x14ac:dyDescent="0.4">
      <c r="C106" s="268"/>
      <c r="D106" s="268"/>
      <c r="E106" s="268"/>
      <c r="F106" s="268"/>
      <c r="G106" s="268"/>
      <c r="H106" s="268"/>
      <c r="I106" s="268"/>
      <c r="J106" s="268"/>
      <c r="K106" s="268"/>
      <c r="L106" s="268"/>
      <c r="M106" s="268"/>
      <c r="N106" s="268"/>
      <c r="O106" s="268"/>
      <c r="P106" s="268"/>
      <c r="Q106" s="268"/>
      <c r="R106" s="268"/>
      <c r="S106" s="268"/>
      <c r="T106" s="268"/>
      <c r="U106" s="268"/>
      <c r="V106" s="268"/>
      <c r="W106" s="268"/>
      <c r="X106" s="268"/>
      <c r="Y106" s="268"/>
      <c r="Z106" s="268"/>
    </row>
    <row r="107" spans="2:27" ht="29.5" thickBot="1" x14ac:dyDescent="0.4">
      <c r="B107" s="245" t="s">
        <v>271</v>
      </c>
      <c r="C107" s="246" t="s">
        <v>243</v>
      </c>
      <c r="D107" s="246" t="s">
        <v>277</v>
      </c>
      <c r="E107" s="247" t="s">
        <v>244</v>
      </c>
      <c r="F107" s="247" t="s">
        <v>278</v>
      </c>
      <c r="G107" s="247" t="s">
        <v>245</v>
      </c>
      <c r="H107" s="247" t="s">
        <v>279</v>
      </c>
      <c r="I107" s="247" t="s">
        <v>246</v>
      </c>
      <c r="J107" s="247" t="s">
        <v>280</v>
      </c>
      <c r="K107" s="247" t="s">
        <v>247</v>
      </c>
      <c r="L107" s="247" t="s">
        <v>281</v>
      </c>
      <c r="M107" s="247" t="s">
        <v>248</v>
      </c>
      <c r="N107" s="247" t="s">
        <v>282</v>
      </c>
      <c r="O107" s="247" t="s">
        <v>197</v>
      </c>
      <c r="P107" s="247" t="s">
        <v>283</v>
      </c>
      <c r="Q107" s="247" t="s">
        <v>249</v>
      </c>
      <c r="R107" s="247" t="s">
        <v>284</v>
      </c>
      <c r="S107" s="248" t="s">
        <v>250</v>
      </c>
      <c r="T107" s="248" t="s">
        <v>285</v>
      </c>
      <c r="U107" s="248" t="s">
        <v>251</v>
      </c>
      <c r="V107" s="248" t="s">
        <v>286</v>
      </c>
      <c r="W107" s="248" t="s">
        <v>252</v>
      </c>
      <c r="X107" s="281" t="s">
        <v>287</v>
      </c>
      <c r="Y107" s="249" t="s">
        <v>253</v>
      </c>
      <c r="Z107" s="283" t="s">
        <v>288</v>
      </c>
      <c r="AA107" s="250" t="s">
        <v>254</v>
      </c>
    </row>
    <row r="108" spans="2:27" x14ac:dyDescent="0.35">
      <c r="B108" s="251" t="s">
        <v>255</v>
      </c>
      <c r="C108" s="269">
        <f>+'A) Resumen Ingresos y Egresos'!$E$18*'K='!C115</f>
        <v>11562477.711294822</v>
      </c>
      <c r="D108" s="269"/>
      <c r="E108" s="269">
        <f>+'A) Resumen Ingresos y Egresos'!$E$18*'K='!E115</f>
        <v>14971362.836818675</v>
      </c>
      <c r="F108" s="269"/>
      <c r="G108" s="269">
        <f>+'A) Resumen Ingresos y Egresos'!$E$18*'K='!G115</f>
        <v>14997987.961072294</v>
      </c>
      <c r="H108" s="269"/>
      <c r="I108" s="269">
        <f>+'A) Resumen Ingresos y Egresos'!$E$18*'K='!I115</f>
        <v>11693307.101525679</v>
      </c>
      <c r="J108" s="269"/>
      <c r="K108" s="269">
        <f>+'A) Resumen Ingresos y Egresos'!$E$18*'K='!K115</f>
        <v>9954920.7591090668</v>
      </c>
      <c r="L108" s="269"/>
      <c r="M108" s="269">
        <f>+'A) Resumen Ingresos y Egresos'!$E$18*'K='!M115</f>
        <v>12855182.962816874</v>
      </c>
      <c r="N108" s="269"/>
      <c r="O108" s="269">
        <f>+'A) Resumen Ingresos y Egresos'!$E$18*'K='!O115</f>
        <v>13419735.069350265</v>
      </c>
      <c r="P108" s="269"/>
      <c r="Q108" s="269">
        <f>+'A) Resumen Ingresos y Egresos'!$E$18*'K='!Q115</f>
        <v>13116020.554041252</v>
      </c>
      <c r="R108" s="269"/>
      <c r="S108" s="269">
        <f>+'A) Resumen Ingresos y Egresos'!$E$18*'K='!S115</f>
        <v>13714187.189827567</v>
      </c>
      <c r="T108" s="269"/>
      <c r="U108" s="269">
        <f>+'A) Resumen Ingresos y Egresos'!$E$18*'K='!U115</f>
        <v>12582411.787618952</v>
      </c>
      <c r="V108" s="269"/>
      <c r="W108" s="269">
        <f>+'A) Resumen Ingresos y Egresos'!$E$18*'K='!W115</f>
        <v>10179052.740838086</v>
      </c>
      <c r="X108" s="269"/>
      <c r="Y108" s="269">
        <f>+'A) Resumen Ingresos y Egresos'!$E$18*'K='!Y115</f>
        <v>16695753.325686466</v>
      </c>
      <c r="Z108" s="270"/>
      <c r="AA108" s="253">
        <f t="shared" ref="AA108:AA113" si="9">SUM(C108:Y108)</f>
        <v>155742399.99999997</v>
      </c>
    </row>
    <row r="109" spans="2:27" x14ac:dyDescent="0.35">
      <c r="B109" s="251" t="s">
        <v>256</v>
      </c>
      <c r="C109" s="269">
        <f>SUM('F) Remuneraciones'!$K$212:$K$222)/12</f>
        <v>7264693.5</v>
      </c>
      <c r="D109" s="269"/>
      <c r="E109" s="269">
        <f>SUM('F) Remuneraciones'!$K$212:$K$222)/12</f>
        <v>7264693.5</v>
      </c>
      <c r="F109" s="269"/>
      <c r="G109" s="269">
        <f>SUM('F) Remuneraciones'!$K$212:$K$222)/12</f>
        <v>7264693.5</v>
      </c>
      <c r="H109" s="269"/>
      <c r="I109" s="269">
        <f>SUM('F) Remuneraciones'!$K$212:$K$222)/12</f>
        <v>7264693.5</v>
      </c>
      <c r="J109" s="269"/>
      <c r="K109" s="269">
        <f>SUM('F) Remuneraciones'!$K$212:$K$222)/12</f>
        <v>7264693.5</v>
      </c>
      <c r="L109" s="269"/>
      <c r="M109" s="269">
        <f>SUM('F) Remuneraciones'!$K$212:$K$222)/12</f>
        <v>7264693.5</v>
      </c>
      <c r="N109" s="269"/>
      <c r="O109" s="269">
        <f>SUM('F) Remuneraciones'!$K$212:$K$222)/12</f>
        <v>7264693.5</v>
      </c>
      <c r="P109" s="269"/>
      <c r="Q109" s="269">
        <f>SUM('F) Remuneraciones'!$K$212:$K$222)/12</f>
        <v>7264693.5</v>
      </c>
      <c r="R109" s="269"/>
      <c r="S109" s="269">
        <f>SUM('F) Remuneraciones'!$K$212:$K$222)/12</f>
        <v>7264693.5</v>
      </c>
      <c r="T109" s="269"/>
      <c r="U109" s="269">
        <f>SUM('F) Remuneraciones'!$K$212:$K$222)/12</f>
        <v>7264693.5</v>
      </c>
      <c r="V109" s="269"/>
      <c r="W109" s="269">
        <f>SUM('F) Remuneraciones'!$K$212:$K$222)/12</f>
        <v>7264693.5</v>
      </c>
      <c r="X109" s="269"/>
      <c r="Y109" s="269">
        <f>SUM('F) Remuneraciones'!$K$212:$K$222)/12</f>
        <v>7264693.5</v>
      </c>
      <c r="Z109" s="270"/>
      <c r="AA109" s="253">
        <f t="shared" si="9"/>
        <v>87176322</v>
      </c>
    </row>
    <row r="110" spans="2:27" x14ac:dyDescent="0.35">
      <c r="B110" s="251" t="s">
        <v>257</v>
      </c>
      <c r="C110" s="269">
        <f>SUM('F) Remuneraciones'!K223:K233)/4</f>
        <v>0</v>
      </c>
      <c r="D110" s="269"/>
      <c r="E110" s="269">
        <f>+C110</f>
        <v>0</v>
      </c>
      <c r="F110" s="269"/>
      <c r="G110" s="269">
        <f>+C110</f>
        <v>0</v>
      </c>
      <c r="H110" s="269"/>
      <c r="I110" s="269">
        <v>0</v>
      </c>
      <c r="J110" s="269"/>
      <c r="K110" s="269">
        <v>0</v>
      </c>
      <c r="L110" s="269"/>
      <c r="M110" s="269">
        <v>0</v>
      </c>
      <c r="N110" s="269"/>
      <c r="O110" s="269">
        <v>0</v>
      </c>
      <c r="P110" s="269"/>
      <c r="Q110" s="269">
        <v>0</v>
      </c>
      <c r="R110" s="269"/>
      <c r="S110" s="269">
        <v>0</v>
      </c>
      <c r="T110" s="269"/>
      <c r="U110" s="269">
        <v>0</v>
      </c>
      <c r="V110" s="269"/>
      <c r="W110" s="269">
        <v>0</v>
      </c>
      <c r="X110" s="270"/>
      <c r="Y110" s="270">
        <f>+G110</f>
        <v>0</v>
      </c>
      <c r="Z110" s="270"/>
      <c r="AA110" s="253">
        <f t="shared" si="9"/>
        <v>0</v>
      </c>
    </row>
    <row r="111" spans="2:27" x14ac:dyDescent="0.35">
      <c r="B111" s="251" t="s">
        <v>258</v>
      </c>
      <c r="C111" s="269">
        <f>SUM('F) Remuneraciones'!J212:J233)*0.5</f>
        <v>1860679</v>
      </c>
      <c r="D111" s="269"/>
      <c r="E111" s="255">
        <v>0</v>
      </c>
      <c r="F111" s="255"/>
      <c r="G111" s="255">
        <v>0</v>
      </c>
      <c r="H111" s="255"/>
      <c r="I111" s="255">
        <v>0</v>
      </c>
      <c r="J111" s="255"/>
      <c r="K111" s="255">
        <v>0</v>
      </c>
      <c r="L111" s="255"/>
      <c r="M111" s="255">
        <v>0</v>
      </c>
      <c r="N111" s="255"/>
      <c r="O111" s="255">
        <v>0</v>
      </c>
      <c r="P111" s="255"/>
      <c r="Q111" s="255">
        <v>0</v>
      </c>
      <c r="R111" s="269"/>
      <c r="S111" s="269">
        <f>SUM('F) Remuneraciones'!I212:I233)*0.5</f>
        <v>870188</v>
      </c>
      <c r="T111" s="269"/>
      <c r="U111" s="255">
        <v>0</v>
      </c>
      <c r="V111" s="255"/>
      <c r="W111" s="255">
        <v>0</v>
      </c>
      <c r="X111" s="256"/>
      <c r="Y111" s="256">
        <f>+C111+S111</f>
        <v>2730867</v>
      </c>
      <c r="Z111" s="270"/>
      <c r="AA111" s="253">
        <f t="shared" si="9"/>
        <v>5461734</v>
      </c>
    </row>
    <row r="112" spans="2:27" x14ac:dyDescent="0.35">
      <c r="B112" s="277" t="s">
        <v>290</v>
      </c>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78"/>
      <c r="Y112" s="278"/>
      <c r="Z112" s="278"/>
      <c r="AA112" s="279"/>
    </row>
    <row r="113" spans="2:27" ht="15" thickBot="1" x14ac:dyDescent="0.4">
      <c r="B113" s="257" t="s">
        <v>259</v>
      </c>
      <c r="C113" s="258">
        <f>(+'C) Costos Directos'!$D$728-'C) Costos Directos'!$D$661)*C116</f>
        <v>4629783.3480862789</v>
      </c>
      <c r="D113" s="258"/>
      <c r="E113" s="258">
        <f>(+'C) Costos Directos'!$D$728-'C) Costos Directos'!$D$661)*E116</f>
        <v>2090437.8630709019</v>
      </c>
      <c r="F113" s="258"/>
      <c r="G113" s="258">
        <f>(+'C) Costos Directos'!$D$728-'C) Costos Directos'!$D$661)*G116</f>
        <v>10178726.384175589</v>
      </c>
      <c r="H113" s="258"/>
      <c r="I113" s="258">
        <f>(+'C) Costos Directos'!$D$728-'C) Costos Directos'!$D$661)*I116</f>
        <v>7103456.1583702043</v>
      </c>
      <c r="J113" s="258"/>
      <c r="K113" s="258">
        <f>(+'C) Costos Directos'!$D$728-'C) Costos Directos'!$D$661)*K116</f>
        <v>5038128.0717438161</v>
      </c>
      <c r="L113" s="258"/>
      <c r="M113" s="258">
        <f>(+'C) Costos Directos'!$D$728-'C) Costos Directos'!$D$661)*M116</f>
        <v>7106138.9061039891</v>
      </c>
      <c r="N113" s="258"/>
      <c r="O113" s="258">
        <f>(+'C) Costos Directos'!$D$728-'C) Costos Directos'!$D$661)*O116</f>
        <v>8291806.1770107225</v>
      </c>
      <c r="P113" s="258"/>
      <c r="Q113" s="258">
        <f>(+'C) Costos Directos'!$D$728-'C) Costos Directos'!$D$661)*Q116</f>
        <v>3431399.3167842668</v>
      </c>
      <c r="R113" s="258"/>
      <c r="S113" s="258">
        <f>(+'C) Costos Directos'!$D$728-'C) Costos Directos'!$D$661)*S116</f>
        <v>4679697.7152223475</v>
      </c>
      <c r="T113" s="258"/>
      <c r="U113" s="258">
        <f>(+'C) Costos Directos'!$D$728-'C) Costos Directos'!$D$661)*U116</f>
        <v>6061952.0385506758</v>
      </c>
      <c r="V113" s="258"/>
      <c r="W113" s="258">
        <f>(+'C) Costos Directos'!$D$728-'C) Costos Directos'!$D$661)*W116</f>
        <v>4937383.7802128</v>
      </c>
      <c r="X113" s="258"/>
      <c r="Y113" s="258">
        <f>(+'C) Costos Directos'!$D$728-'C) Costos Directos'!$D$661)*Y116</f>
        <v>2272417.2406684076</v>
      </c>
      <c r="Z113" s="278"/>
      <c r="AA113" s="253">
        <f t="shared" si="9"/>
        <v>65821327</v>
      </c>
    </row>
    <row r="114" spans="2:27" ht="15" thickBot="1" x14ac:dyDescent="0.4">
      <c r="B114" s="259" t="s">
        <v>260</v>
      </c>
      <c r="C114" s="260">
        <f>+C108-C109-C110-C111-C113</f>
        <v>-2192678.1367914565</v>
      </c>
      <c r="D114" s="260"/>
      <c r="E114" s="261">
        <f>+E108-E109-E110-E111-E113</f>
        <v>5616231.4737477731</v>
      </c>
      <c r="F114" s="261"/>
      <c r="G114" s="261">
        <f>+G108-G109-G110-G111-G113</f>
        <v>-2445431.9231032953</v>
      </c>
      <c r="H114" s="261"/>
      <c r="I114" s="261">
        <f>+I108-I109-I110-I111-I113</f>
        <v>-2674842.556844525</v>
      </c>
      <c r="J114" s="261"/>
      <c r="K114" s="261">
        <f>+K108-K109-K110-K111-K113</f>
        <v>-2347900.8126347493</v>
      </c>
      <c r="L114" s="261"/>
      <c r="M114" s="261">
        <f>+M108-M109-M110-M111-M113</f>
        <v>-1515649.4432871155</v>
      </c>
      <c r="N114" s="261"/>
      <c r="O114" s="261">
        <f>+O108-O109-O110-O111-O113</f>
        <v>-2136764.6076604575</v>
      </c>
      <c r="P114" s="261"/>
      <c r="Q114" s="261">
        <f>+Q108-Q109-Q110-Q111-Q113</f>
        <v>2419927.7372569847</v>
      </c>
      <c r="R114" s="261"/>
      <c r="S114" s="261">
        <f>+S108-S109-S110-S111-S113</f>
        <v>899607.97460521944</v>
      </c>
      <c r="T114" s="261"/>
      <c r="U114" s="261">
        <f>+U108-U109-U110-U111-U113</f>
        <v>-744233.75093172397</v>
      </c>
      <c r="V114" s="261"/>
      <c r="W114" s="261">
        <f>+W108-W109-W110-W111-W113</f>
        <v>-2023024.5393747138</v>
      </c>
      <c r="X114" s="282"/>
      <c r="Y114" s="262">
        <f>+Y108-Y109-Y110-Y111-Y113</f>
        <v>4427775.5850180583</v>
      </c>
      <c r="Z114" s="284"/>
      <c r="AA114" s="263">
        <f>+AA108-AA109-AA110-AA111-AA113</f>
        <v>-2716983.0000000298</v>
      </c>
    </row>
    <row r="115" spans="2:27" x14ac:dyDescent="0.35">
      <c r="B115" s="264" t="s">
        <v>261</v>
      </c>
      <c r="C115" s="271">
        <v>7.424103976370483E-2</v>
      </c>
      <c r="D115" s="271"/>
      <c r="E115" s="271">
        <v>9.6129010704976134E-2</v>
      </c>
      <c r="F115" s="271"/>
      <c r="G115" s="271">
        <v>9.6299966875252302E-2</v>
      </c>
      <c r="H115" s="271"/>
      <c r="I115" s="271">
        <v>7.5081076839227337E-2</v>
      </c>
      <c r="J115" s="271"/>
      <c r="K115" s="271">
        <v>6.3919143143479656E-2</v>
      </c>
      <c r="L115" s="271"/>
      <c r="M115" s="271">
        <v>8.2541317989300755E-2</v>
      </c>
      <c r="N115" s="271"/>
      <c r="O115" s="271">
        <v>8.6166227497137995E-2</v>
      </c>
      <c r="P115" s="271"/>
      <c r="Q115" s="271">
        <v>8.4216119399991601E-2</v>
      </c>
      <c r="R115" s="271"/>
      <c r="S115" s="271">
        <v>8.8056863062515839E-2</v>
      </c>
      <c r="T115" s="271"/>
      <c r="U115" s="271">
        <v>8.0789892717840178E-2</v>
      </c>
      <c r="V115" s="271"/>
      <c r="W115" s="271">
        <v>6.5358263008905002E-2</v>
      </c>
      <c r="X115" s="271"/>
      <c r="Y115" s="271">
        <v>0.10720107899766837</v>
      </c>
      <c r="Z115" s="271"/>
    </row>
    <row r="116" spans="2:27" x14ac:dyDescent="0.35">
      <c r="B116" s="264" t="s">
        <v>262</v>
      </c>
      <c r="C116" s="271">
        <v>7.0338650998122212E-2</v>
      </c>
      <c r="D116" s="271"/>
      <c r="E116" s="271">
        <v>3.1759278616046466E-2</v>
      </c>
      <c r="F116" s="271"/>
      <c r="G116" s="271">
        <v>0.15464176807276445</v>
      </c>
      <c r="H116" s="271"/>
      <c r="I116" s="271">
        <v>0.10792028180121929</v>
      </c>
      <c r="J116" s="271"/>
      <c r="K116" s="271">
        <v>7.6542487083917587E-2</v>
      </c>
      <c r="L116" s="271"/>
      <c r="M116" s="271">
        <v>0.10796103983294031</v>
      </c>
      <c r="N116" s="271"/>
      <c r="O116" s="271">
        <v>0.12597446078549468</v>
      </c>
      <c r="P116" s="271"/>
      <c r="Q116" s="271">
        <v>5.2132028829869489E-2</v>
      </c>
      <c r="R116" s="271"/>
      <c r="S116" s="271">
        <v>7.1096982217060858E-2</v>
      </c>
      <c r="T116" s="271"/>
      <c r="U116" s="271">
        <v>9.2097080305759804E-2</v>
      </c>
      <c r="V116" s="271"/>
      <c r="W116" s="271">
        <v>7.5011914910387625E-2</v>
      </c>
      <c r="X116" s="271"/>
      <c r="Y116" s="271">
        <v>3.4524026546417209E-2</v>
      </c>
      <c r="Z116" s="271"/>
    </row>
    <row r="117" spans="2:27" ht="15" thickBot="1" x14ac:dyDescent="0.4">
      <c r="C117" s="268"/>
      <c r="D117" s="268"/>
      <c r="E117" s="268"/>
      <c r="F117" s="268"/>
      <c r="G117" s="268"/>
      <c r="H117" s="268"/>
      <c r="I117" s="268"/>
      <c r="J117" s="268"/>
      <c r="K117" s="268"/>
      <c r="L117" s="268"/>
      <c r="M117" s="268"/>
      <c r="N117" s="268"/>
      <c r="O117" s="268"/>
      <c r="P117" s="268"/>
      <c r="Q117" s="268"/>
      <c r="R117" s="268"/>
      <c r="S117" s="268"/>
      <c r="T117" s="268"/>
      <c r="U117" s="268"/>
      <c r="V117" s="268"/>
      <c r="W117" s="268"/>
      <c r="X117" s="268"/>
      <c r="Y117" s="268"/>
      <c r="Z117" s="268"/>
    </row>
    <row r="118" spans="2:27" ht="29.5" thickBot="1" x14ac:dyDescent="0.4">
      <c r="B118" s="245" t="s">
        <v>272</v>
      </c>
      <c r="C118" s="246" t="s">
        <v>243</v>
      </c>
      <c r="D118" s="246" t="s">
        <v>277</v>
      </c>
      <c r="E118" s="247" t="s">
        <v>244</v>
      </c>
      <c r="F118" s="247" t="s">
        <v>278</v>
      </c>
      <c r="G118" s="247" t="s">
        <v>245</v>
      </c>
      <c r="H118" s="247" t="s">
        <v>279</v>
      </c>
      <c r="I118" s="247" t="s">
        <v>246</v>
      </c>
      <c r="J118" s="247" t="s">
        <v>280</v>
      </c>
      <c r="K118" s="247" t="s">
        <v>247</v>
      </c>
      <c r="L118" s="247" t="s">
        <v>281</v>
      </c>
      <c r="M118" s="247" t="s">
        <v>248</v>
      </c>
      <c r="N118" s="247" t="s">
        <v>282</v>
      </c>
      <c r="O118" s="247" t="s">
        <v>197</v>
      </c>
      <c r="P118" s="247" t="s">
        <v>283</v>
      </c>
      <c r="Q118" s="247" t="s">
        <v>249</v>
      </c>
      <c r="R118" s="247" t="s">
        <v>284</v>
      </c>
      <c r="S118" s="248" t="s">
        <v>250</v>
      </c>
      <c r="T118" s="248" t="s">
        <v>285</v>
      </c>
      <c r="U118" s="248" t="s">
        <v>251</v>
      </c>
      <c r="V118" s="248" t="s">
        <v>286</v>
      </c>
      <c r="W118" s="248" t="s">
        <v>252</v>
      </c>
      <c r="X118" s="281" t="s">
        <v>287</v>
      </c>
      <c r="Y118" s="249" t="s">
        <v>253</v>
      </c>
      <c r="Z118" s="283" t="s">
        <v>288</v>
      </c>
      <c r="AA118" s="250" t="s">
        <v>254</v>
      </c>
    </row>
    <row r="119" spans="2:27" x14ac:dyDescent="0.35">
      <c r="B119" s="251" t="s">
        <v>255</v>
      </c>
      <c r="C119" s="269">
        <f>+'A) Resumen Ingresos y Egresos'!$E$19*'K='!C126</f>
        <v>12420196.92153248</v>
      </c>
      <c r="D119" s="269"/>
      <c r="E119" s="269">
        <f>+'A) Resumen Ingresos y Egresos'!$E$19*'K='!E126</f>
        <v>21053338.722994659</v>
      </c>
      <c r="F119" s="269"/>
      <c r="G119" s="269">
        <f>+'A) Resumen Ingresos y Egresos'!$E$19*'K='!G126</f>
        <v>14401113.837454526</v>
      </c>
      <c r="H119" s="269"/>
      <c r="I119" s="269">
        <f>+'A) Resumen Ingresos y Egresos'!$E$19*'K='!I126</f>
        <v>4262346.2776098968</v>
      </c>
      <c r="J119" s="269"/>
      <c r="K119" s="269">
        <f>+'A) Resumen Ingresos y Egresos'!$E$19*'K='!K126</f>
        <v>1793105.4513419808</v>
      </c>
      <c r="L119" s="269"/>
      <c r="M119" s="269">
        <f>+'A) Resumen Ingresos y Egresos'!$E$19*'K='!M126</f>
        <v>894304.587063852</v>
      </c>
      <c r="N119" s="269"/>
      <c r="O119" s="269">
        <f>+'A) Resumen Ingresos y Egresos'!$E$19*'K='!O126</f>
        <v>3703327.1470801244</v>
      </c>
      <c r="P119" s="269"/>
      <c r="Q119" s="269">
        <f>+'A) Resumen Ingresos y Egresos'!$E$19*'K='!Q126</f>
        <v>3094881.9728985848</v>
      </c>
      <c r="R119" s="269"/>
      <c r="S119" s="269">
        <f>+'A) Resumen Ingresos y Egresos'!$E$19*'K='!S126</f>
        <v>3986792.1460705493</v>
      </c>
      <c r="T119" s="269"/>
      <c r="U119" s="269">
        <f>+'A) Resumen Ingresos y Egresos'!$E$19*'K='!U126</f>
        <v>3813689.223969222</v>
      </c>
      <c r="V119" s="269"/>
      <c r="W119" s="269">
        <f>+'A) Resumen Ingresos y Egresos'!$E$19*'K='!W126</f>
        <v>3516297.3176113856</v>
      </c>
      <c r="X119" s="269"/>
      <c r="Y119" s="269">
        <f>+'A) Resumen Ingresos y Egresos'!$E$19*'K='!Y126</f>
        <v>22813006.394372739</v>
      </c>
      <c r="Z119" s="270"/>
      <c r="AA119" s="253">
        <f t="shared" ref="AA119:AA124" si="10">SUM(C119:Y119)</f>
        <v>95752400</v>
      </c>
    </row>
    <row r="120" spans="2:27" x14ac:dyDescent="0.35">
      <c r="B120" s="251" t="s">
        <v>256</v>
      </c>
      <c r="C120" s="269">
        <f>SUM('F) Remuneraciones'!$K$234:$K$244)/12</f>
        <v>4462488.666666667</v>
      </c>
      <c r="D120" s="269"/>
      <c r="E120" s="269">
        <f>SUM('F) Remuneraciones'!$K$234:$K$244)/12</f>
        <v>4462488.666666667</v>
      </c>
      <c r="F120" s="269"/>
      <c r="G120" s="269">
        <f>SUM('F) Remuneraciones'!$K$234:$K$244)/12</f>
        <v>4462488.666666667</v>
      </c>
      <c r="H120" s="269"/>
      <c r="I120" s="269">
        <f>SUM('F) Remuneraciones'!$K$234:$K$244)/12</f>
        <v>4462488.666666667</v>
      </c>
      <c r="J120" s="269"/>
      <c r="K120" s="269">
        <f>SUM('F) Remuneraciones'!$K$234:$K$244)/12</f>
        <v>4462488.666666667</v>
      </c>
      <c r="L120" s="269"/>
      <c r="M120" s="269">
        <f>SUM('F) Remuneraciones'!$K$234:$K$244)/12</f>
        <v>4462488.666666667</v>
      </c>
      <c r="N120" s="269"/>
      <c r="O120" s="269">
        <f>SUM('F) Remuneraciones'!$K$234:$K$244)/12</f>
        <v>4462488.666666667</v>
      </c>
      <c r="P120" s="269"/>
      <c r="Q120" s="269">
        <f>SUM('F) Remuneraciones'!$K$234:$K$244)/12</f>
        <v>4462488.666666667</v>
      </c>
      <c r="R120" s="269"/>
      <c r="S120" s="269">
        <f>SUM('F) Remuneraciones'!$K$234:$K$244)/12</f>
        <v>4462488.666666667</v>
      </c>
      <c r="T120" s="269"/>
      <c r="U120" s="269">
        <f>SUM('F) Remuneraciones'!$K$234:$K$244)/12</f>
        <v>4462488.666666667</v>
      </c>
      <c r="V120" s="269"/>
      <c r="W120" s="269">
        <f>SUM('F) Remuneraciones'!$K$234:$K$244)/12</f>
        <v>4462488.666666667</v>
      </c>
      <c r="X120" s="269"/>
      <c r="Y120" s="269">
        <f>SUM('F) Remuneraciones'!$K$234:$K$244)/12</f>
        <v>4462488.666666667</v>
      </c>
      <c r="Z120" s="270"/>
      <c r="AA120" s="253">
        <f t="shared" si="10"/>
        <v>53549863.999999993</v>
      </c>
    </row>
    <row r="121" spans="2:27" x14ac:dyDescent="0.35">
      <c r="B121" s="251" t="s">
        <v>257</v>
      </c>
      <c r="C121" s="269">
        <f>SUM('F) Remuneraciones'!K245:K255)/4</f>
        <v>1595572.00575</v>
      </c>
      <c r="D121" s="269"/>
      <c r="E121" s="269">
        <f>+C121</f>
        <v>1595572.00575</v>
      </c>
      <c r="F121" s="269"/>
      <c r="G121" s="269">
        <f>+C121</f>
        <v>1595572.00575</v>
      </c>
      <c r="H121" s="269"/>
      <c r="I121" s="269">
        <v>0</v>
      </c>
      <c r="J121" s="269"/>
      <c r="K121" s="269">
        <v>0</v>
      </c>
      <c r="L121" s="269"/>
      <c r="M121" s="269">
        <v>0</v>
      </c>
      <c r="N121" s="269"/>
      <c r="O121" s="269">
        <v>0</v>
      </c>
      <c r="P121" s="269"/>
      <c r="Q121" s="269">
        <v>0</v>
      </c>
      <c r="R121" s="269"/>
      <c r="S121" s="269">
        <v>0</v>
      </c>
      <c r="T121" s="269"/>
      <c r="U121" s="269">
        <v>0</v>
      </c>
      <c r="V121" s="269"/>
      <c r="W121" s="269">
        <v>0</v>
      </c>
      <c r="X121" s="270"/>
      <c r="Y121" s="270">
        <f>+G121</f>
        <v>1595572.00575</v>
      </c>
      <c r="Z121" s="270"/>
      <c r="AA121" s="253">
        <f t="shared" si="10"/>
        <v>6382288.023</v>
      </c>
    </row>
    <row r="122" spans="2:27" x14ac:dyDescent="0.35">
      <c r="B122" s="251" t="s">
        <v>258</v>
      </c>
      <c r="C122" s="269">
        <f>SUM('F) Remuneraciones'!J234:J255)*0.5</f>
        <v>779844</v>
      </c>
      <c r="D122" s="269"/>
      <c r="E122" s="255">
        <v>0</v>
      </c>
      <c r="F122" s="255"/>
      <c r="G122" s="255">
        <v>0</v>
      </c>
      <c r="H122" s="255"/>
      <c r="I122" s="255">
        <v>0</v>
      </c>
      <c r="J122" s="255"/>
      <c r="K122" s="255">
        <v>0</v>
      </c>
      <c r="L122" s="255"/>
      <c r="M122" s="255">
        <v>0</v>
      </c>
      <c r="N122" s="255"/>
      <c r="O122" s="255">
        <v>0</v>
      </c>
      <c r="P122" s="255"/>
      <c r="Q122" s="255">
        <v>0</v>
      </c>
      <c r="R122" s="269"/>
      <c r="S122" s="269">
        <f>SUM('F) Remuneraciones'!I234:I255)*0.5</f>
        <v>434008</v>
      </c>
      <c r="T122" s="269"/>
      <c r="U122" s="255">
        <v>0</v>
      </c>
      <c r="V122" s="255"/>
      <c r="W122" s="255">
        <v>0</v>
      </c>
      <c r="X122" s="256"/>
      <c r="Y122" s="256">
        <f>+C122+S122</f>
        <v>1213852</v>
      </c>
      <c r="Z122" s="270"/>
      <c r="AA122" s="253">
        <f t="shared" si="10"/>
        <v>2427704</v>
      </c>
    </row>
    <row r="123" spans="2:27" x14ac:dyDescent="0.35">
      <c r="B123" s="277" t="s">
        <v>290</v>
      </c>
      <c r="C123" s="258"/>
      <c r="D123" s="258"/>
      <c r="E123" s="258"/>
      <c r="F123" s="258"/>
      <c r="G123" s="258"/>
      <c r="H123" s="258"/>
      <c r="I123" s="258"/>
      <c r="J123" s="258"/>
      <c r="K123" s="258"/>
      <c r="L123" s="258"/>
      <c r="M123" s="258"/>
      <c r="N123" s="258"/>
      <c r="O123" s="258"/>
      <c r="P123" s="258"/>
      <c r="Q123" s="258"/>
      <c r="R123" s="258"/>
      <c r="S123" s="258"/>
      <c r="T123" s="258"/>
      <c r="U123" s="258"/>
      <c r="V123" s="258"/>
      <c r="W123" s="258"/>
      <c r="X123" s="278"/>
      <c r="Y123" s="278"/>
      <c r="Z123" s="278"/>
      <c r="AA123" s="279"/>
    </row>
    <row r="124" spans="2:27" ht="15" thickBot="1" x14ac:dyDescent="0.4">
      <c r="B124" s="257" t="s">
        <v>259</v>
      </c>
      <c r="C124" s="258">
        <f>(+'C) Costos Directos'!$D$800-'C) Costos Directos'!$D$733)*C127</f>
        <v>4171712.4417132852</v>
      </c>
      <c r="D124" s="258"/>
      <c r="E124" s="258">
        <f>(+'C) Costos Directos'!$D$800-'C) Costos Directos'!$D$733)*E127</f>
        <v>4663179.536305123</v>
      </c>
      <c r="F124" s="258"/>
      <c r="G124" s="258">
        <f>(+'C) Costos Directos'!$D$800-'C) Costos Directos'!$D$733)*G127</f>
        <v>5876690.5764307519</v>
      </c>
      <c r="H124" s="258"/>
      <c r="I124" s="258">
        <f>(+'C) Costos Directos'!$D$800-'C) Costos Directos'!$D$733)*I127</f>
        <v>1889676.3387148231</v>
      </c>
      <c r="J124" s="258"/>
      <c r="K124" s="258">
        <f>(+'C) Costos Directos'!$D$800-'C) Costos Directos'!$D$733)*K127</f>
        <v>5149842.0703058988</v>
      </c>
      <c r="L124" s="258"/>
      <c r="M124" s="258">
        <f>(+'C) Costos Directos'!$D$800-'C) Costos Directos'!$D$733)*M127</f>
        <v>3151817.7832890581</v>
      </c>
      <c r="N124" s="258"/>
      <c r="O124" s="258">
        <f>(+'C) Costos Directos'!$D$800-'C) Costos Directos'!$D$733)*O127</f>
        <v>2509664.9284339328</v>
      </c>
      <c r="P124" s="258"/>
      <c r="Q124" s="258">
        <f>(+'C) Costos Directos'!$D$800-'C) Costos Directos'!$D$733)*Q127</f>
        <v>2942648.1637593112</v>
      </c>
      <c r="R124" s="258"/>
      <c r="S124" s="258">
        <f>(+'C) Costos Directos'!$D$800-'C) Costos Directos'!$D$733)*S127</f>
        <v>1826201.6645284251</v>
      </c>
      <c r="T124" s="258"/>
      <c r="U124" s="258">
        <f>(+'C) Costos Directos'!$D$800-'C) Costos Directos'!$D$733)*U127</f>
        <v>4277729.2068022983</v>
      </c>
      <c r="V124" s="258"/>
      <c r="W124" s="258">
        <f>(+'C) Costos Directos'!$D$800-'C) Costos Directos'!$D$733)*W127</f>
        <v>3240134.378930876</v>
      </c>
      <c r="X124" s="258"/>
      <c r="Y124" s="258">
        <f>(+'C) Costos Directos'!$D$800-'C) Costos Directos'!$D$733)*Y127</f>
        <v>2138650.3107862077</v>
      </c>
      <c r="Z124" s="278"/>
      <c r="AA124" s="253">
        <f t="shared" si="10"/>
        <v>41837947.399999991</v>
      </c>
    </row>
    <row r="125" spans="2:27" ht="15" thickBot="1" x14ac:dyDescent="0.4">
      <c r="B125" s="259" t="s">
        <v>260</v>
      </c>
      <c r="C125" s="260">
        <f>+C119-C120-C121-C122-C124</f>
        <v>1410579.8074025284</v>
      </c>
      <c r="D125" s="260"/>
      <c r="E125" s="261">
        <f>+E119-E120-E121-E122-E124</f>
        <v>10332098.514272869</v>
      </c>
      <c r="F125" s="261"/>
      <c r="G125" s="261">
        <f>+G119-G120-G121-G122-G124</f>
        <v>2466362.5886071073</v>
      </c>
      <c r="H125" s="261"/>
      <c r="I125" s="261">
        <f>+I119-I120-I121-I122-I124</f>
        <v>-2089818.7277715933</v>
      </c>
      <c r="J125" s="261"/>
      <c r="K125" s="261">
        <f>+K119-K120-K121-K122-K124</f>
        <v>-7819225.2856305847</v>
      </c>
      <c r="L125" s="261"/>
      <c r="M125" s="261">
        <f>+M119-M120-M121-M122-M124</f>
        <v>-6720001.8628918733</v>
      </c>
      <c r="N125" s="261"/>
      <c r="O125" s="261">
        <f>+O119-O120-O121-O122-O124</f>
        <v>-3268826.4480204755</v>
      </c>
      <c r="P125" s="261"/>
      <c r="Q125" s="261">
        <f>+Q119-Q120-Q121-Q122-Q124</f>
        <v>-4310254.8575273938</v>
      </c>
      <c r="R125" s="261"/>
      <c r="S125" s="261">
        <f>+S119-S120-S121-S122-S124</f>
        <v>-2735906.1851245426</v>
      </c>
      <c r="T125" s="261"/>
      <c r="U125" s="261">
        <f>+U119-U120-U121-U122-U124</f>
        <v>-4926528.6494997432</v>
      </c>
      <c r="V125" s="261"/>
      <c r="W125" s="261">
        <f>+W119-W120-W121-W122-W124</f>
        <v>-4186325.7279861574</v>
      </c>
      <c r="X125" s="282"/>
      <c r="Y125" s="262">
        <f>+Y119-Y120-Y121-Y122-Y124</f>
        <v>13402443.411169862</v>
      </c>
      <c r="Z125" s="284"/>
      <c r="AA125" s="263">
        <f>+AA119-AA120-AA121-AA122-AA124</f>
        <v>-8445403.4229999855</v>
      </c>
    </row>
    <row r="126" spans="2:27" x14ac:dyDescent="0.35">
      <c r="B126" s="264" t="s">
        <v>261</v>
      </c>
      <c r="C126" s="271">
        <v>0.12971159909863858</v>
      </c>
      <c r="D126" s="271"/>
      <c r="E126" s="271">
        <v>0.2198727000367057</v>
      </c>
      <c r="F126" s="271"/>
      <c r="G126" s="271">
        <v>0.15039950787086825</v>
      </c>
      <c r="H126" s="271"/>
      <c r="I126" s="271">
        <v>4.4514250061720613E-2</v>
      </c>
      <c r="J126" s="271"/>
      <c r="K126" s="271">
        <v>1.8726480499099561E-2</v>
      </c>
      <c r="L126" s="271"/>
      <c r="M126" s="271">
        <v>9.3397615836663308E-3</v>
      </c>
      <c r="N126" s="271"/>
      <c r="O126" s="271">
        <v>3.8676076496047353E-2</v>
      </c>
      <c r="P126" s="271"/>
      <c r="Q126" s="271">
        <v>3.2321716979402969E-2</v>
      </c>
      <c r="R126" s="271"/>
      <c r="S126" s="271">
        <v>4.1636472256262498E-2</v>
      </c>
      <c r="T126" s="271"/>
      <c r="U126" s="271">
        <v>3.982865415351701E-2</v>
      </c>
      <c r="V126" s="271"/>
      <c r="W126" s="271">
        <v>3.6722811309287139E-2</v>
      </c>
      <c r="X126" s="271"/>
      <c r="Y126" s="271">
        <v>0.23824996965478401</v>
      </c>
      <c r="Z126" s="271"/>
    </row>
    <row r="127" spans="2:27" x14ac:dyDescent="0.35">
      <c r="B127" s="264" t="s">
        <v>262</v>
      </c>
      <c r="C127" s="271">
        <v>9.9711211972920211E-2</v>
      </c>
      <c r="D127" s="271"/>
      <c r="E127" s="271">
        <v>0.11145813373017253</v>
      </c>
      <c r="F127" s="271"/>
      <c r="G127" s="271">
        <v>0.14046316661392316</v>
      </c>
      <c r="H127" s="271"/>
      <c r="I127" s="271">
        <v>4.5166564235290939E-2</v>
      </c>
      <c r="J127" s="271"/>
      <c r="K127" s="271">
        <v>0.12309021809960734</v>
      </c>
      <c r="L127" s="271"/>
      <c r="M127" s="271">
        <v>7.5333948703445688E-2</v>
      </c>
      <c r="N127" s="271"/>
      <c r="O127" s="271">
        <v>5.9985374149448198E-2</v>
      </c>
      <c r="P127" s="271"/>
      <c r="Q127" s="271">
        <v>7.0334429546113728E-2</v>
      </c>
      <c r="R127" s="271"/>
      <c r="S127" s="271">
        <v>4.3649408683190456E-2</v>
      </c>
      <c r="T127" s="271"/>
      <c r="U127" s="271">
        <v>0.1022451977843038</v>
      </c>
      <c r="V127" s="271"/>
      <c r="W127" s="271">
        <v>7.744486955712547E-2</v>
      </c>
      <c r="X127" s="271"/>
      <c r="Y127" s="271">
        <v>5.1117476924458491E-2</v>
      </c>
      <c r="Z127" s="271"/>
    </row>
    <row r="128" spans="2:27" ht="15" thickBot="1" x14ac:dyDescent="0.4">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row>
    <row r="129" spans="2:27" ht="29.5" thickBot="1" x14ac:dyDescent="0.4">
      <c r="B129" s="245" t="s">
        <v>273</v>
      </c>
      <c r="C129" s="246" t="s">
        <v>243</v>
      </c>
      <c r="D129" s="246" t="s">
        <v>277</v>
      </c>
      <c r="E129" s="247" t="s">
        <v>244</v>
      </c>
      <c r="F129" s="247" t="s">
        <v>278</v>
      </c>
      <c r="G129" s="247" t="s">
        <v>245</v>
      </c>
      <c r="H129" s="247" t="s">
        <v>279</v>
      </c>
      <c r="I129" s="247" t="s">
        <v>246</v>
      </c>
      <c r="J129" s="247" t="s">
        <v>280</v>
      </c>
      <c r="K129" s="247" t="s">
        <v>247</v>
      </c>
      <c r="L129" s="247" t="s">
        <v>281</v>
      </c>
      <c r="M129" s="247" t="s">
        <v>248</v>
      </c>
      <c r="N129" s="247" t="s">
        <v>282</v>
      </c>
      <c r="O129" s="247" t="s">
        <v>197</v>
      </c>
      <c r="P129" s="247" t="s">
        <v>283</v>
      </c>
      <c r="Q129" s="247" t="s">
        <v>249</v>
      </c>
      <c r="R129" s="247" t="s">
        <v>284</v>
      </c>
      <c r="S129" s="248" t="s">
        <v>250</v>
      </c>
      <c r="T129" s="248" t="s">
        <v>285</v>
      </c>
      <c r="U129" s="248" t="s">
        <v>251</v>
      </c>
      <c r="V129" s="248" t="s">
        <v>286</v>
      </c>
      <c r="W129" s="248" t="s">
        <v>252</v>
      </c>
      <c r="X129" s="281" t="s">
        <v>287</v>
      </c>
      <c r="Y129" s="249" t="s">
        <v>253</v>
      </c>
      <c r="Z129" s="283" t="s">
        <v>288</v>
      </c>
      <c r="AA129" s="250" t="s">
        <v>254</v>
      </c>
    </row>
    <row r="130" spans="2:27" x14ac:dyDescent="0.35">
      <c r="B130" s="251" t="s">
        <v>255</v>
      </c>
      <c r="C130" s="269">
        <f>+'A) Resumen Ingresos y Egresos'!$E$20*'K='!C137</f>
        <v>2532064.776375859</v>
      </c>
      <c r="D130" s="269"/>
      <c r="E130" s="269">
        <f>+'A) Resumen Ingresos y Egresos'!$E$20*'K='!E137</f>
        <v>3051420.5341067933</v>
      </c>
      <c r="F130" s="269"/>
      <c r="G130" s="269">
        <f>+'A) Resumen Ingresos y Egresos'!$E$20*'K='!G137</f>
        <v>887486.7125441815</v>
      </c>
      <c r="H130" s="269"/>
      <c r="I130" s="269">
        <f>+'A) Resumen Ingresos y Egresos'!$E$20*'K='!I137</f>
        <v>3505533.0894823708</v>
      </c>
      <c r="J130" s="269"/>
      <c r="K130" s="269">
        <f>+'A) Resumen Ingresos y Egresos'!$E$20*'K='!K137</f>
        <v>2138531.0721126311</v>
      </c>
      <c r="L130" s="269"/>
      <c r="M130" s="269">
        <f>+'A) Resumen Ingresos y Egresos'!$E$20*'K='!M137</f>
        <v>1888516.8055819275</v>
      </c>
      <c r="N130" s="269"/>
      <c r="O130" s="269">
        <f>+'A) Resumen Ingresos y Egresos'!$E$20*'K='!O137</f>
        <v>2340806.8661009655</v>
      </c>
      <c r="P130" s="269"/>
      <c r="Q130" s="269">
        <f>+'A) Resumen Ingresos y Egresos'!$E$20*'K='!Q137</f>
        <v>2172734.9597480502</v>
      </c>
      <c r="R130" s="269"/>
      <c r="S130" s="269">
        <f>+'A) Resumen Ingresos y Egresos'!$E$20*'K='!S137</f>
        <v>3162916.249772694</v>
      </c>
      <c r="T130" s="269"/>
      <c r="U130" s="269">
        <f>+'A) Resumen Ingresos y Egresos'!$E$20*'K='!U137</f>
        <v>1414724.2321524608</v>
      </c>
      <c r="V130" s="269"/>
      <c r="W130" s="269">
        <f>+'A) Resumen Ingresos y Egresos'!$E$20*'K='!W137</f>
        <v>1615068.6042946144</v>
      </c>
      <c r="X130" s="269"/>
      <c r="Y130" s="269">
        <f>+'A) Resumen Ingresos y Egresos'!$E$20*'K='!Y137</f>
        <v>1803096.0977274526</v>
      </c>
      <c r="Z130" s="270"/>
      <c r="AA130" s="253">
        <f t="shared" ref="AA130:AA135" si="11">SUM(C130:Y130)</f>
        <v>26512900</v>
      </c>
    </row>
    <row r="131" spans="2:27" x14ac:dyDescent="0.35">
      <c r="B131" s="251" t="s">
        <v>256</v>
      </c>
      <c r="C131" s="269">
        <f>SUM('F) Remuneraciones'!$K$256:$K$266)/12</f>
        <v>0</v>
      </c>
      <c r="D131" s="269"/>
      <c r="E131" s="269">
        <f>SUM('F) Remuneraciones'!$K$256:$K$266)/12</f>
        <v>0</v>
      </c>
      <c r="F131" s="269"/>
      <c r="G131" s="269">
        <f>SUM('F) Remuneraciones'!$K$256:$K$266)/12</f>
        <v>0</v>
      </c>
      <c r="H131" s="269"/>
      <c r="I131" s="269">
        <f>SUM('F) Remuneraciones'!$K$256:$K$266)/12</f>
        <v>0</v>
      </c>
      <c r="J131" s="269"/>
      <c r="K131" s="269">
        <f>SUM('F) Remuneraciones'!$K$256:$K$266)/12</f>
        <v>0</v>
      </c>
      <c r="L131" s="269"/>
      <c r="M131" s="269">
        <f>SUM('F) Remuneraciones'!$K$256:$K$266)/12</f>
        <v>0</v>
      </c>
      <c r="N131" s="269"/>
      <c r="O131" s="269">
        <f>SUM('F) Remuneraciones'!$K$256:$K$266)/12</f>
        <v>0</v>
      </c>
      <c r="P131" s="269"/>
      <c r="Q131" s="269">
        <f>SUM('F) Remuneraciones'!$K$256:$K$266)/12</f>
        <v>0</v>
      </c>
      <c r="R131" s="269"/>
      <c r="S131" s="269">
        <f>SUM('F) Remuneraciones'!$K$256:$K$266)/12</f>
        <v>0</v>
      </c>
      <c r="T131" s="269"/>
      <c r="U131" s="269">
        <f>SUM('F) Remuneraciones'!$K$256:$K$266)/12</f>
        <v>0</v>
      </c>
      <c r="V131" s="269"/>
      <c r="W131" s="269">
        <f>SUM('F) Remuneraciones'!$K$256:$K$266)/12</f>
        <v>0</v>
      </c>
      <c r="X131" s="269"/>
      <c r="Y131" s="269">
        <f>SUM('F) Remuneraciones'!$K$256:$K$266)/12</f>
        <v>0</v>
      </c>
      <c r="Z131" s="270"/>
      <c r="AA131" s="253">
        <f t="shared" si="11"/>
        <v>0</v>
      </c>
    </row>
    <row r="132" spans="2:27" x14ac:dyDescent="0.35">
      <c r="B132" s="251" t="s">
        <v>257</v>
      </c>
      <c r="C132" s="269">
        <f>SUM('F) Remuneraciones'!K267:K277)/4</f>
        <v>0</v>
      </c>
      <c r="D132" s="269"/>
      <c r="E132" s="269">
        <f>+C132</f>
        <v>0</v>
      </c>
      <c r="F132" s="269"/>
      <c r="G132" s="269">
        <f>+C132</f>
        <v>0</v>
      </c>
      <c r="H132" s="269"/>
      <c r="I132" s="269">
        <v>0</v>
      </c>
      <c r="J132" s="269"/>
      <c r="K132" s="269">
        <v>0</v>
      </c>
      <c r="L132" s="269"/>
      <c r="M132" s="269">
        <v>0</v>
      </c>
      <c r="N132" s="269"/>
      <c r="O132" s="269">
        <v>0</v>
      </c>
      <c r="P132" s="269"/>
      <c r="Q132" s="269">
        <v>0</v>
      </c>
      <c r="R132" s="269"/>
      <c r="S132" s="269">
        <v>0</v>
      </c>
      <c r="T132" s="269"/>
      <c r="U132" s="269">
        <v>0</v>
      </c>
      <c r="V132" s="269"/>
      <c r="W132" s="269">
        <v>0</v>
      </c>
      <c r="X132" s="270"/>
      <c r="Y132" s="270">
        <f>+G132</f>
        <v>0</v>
      </c>
      <c r="Z132" s="270"/>
      <c r="AA132" s="253">
        <f t="shared" si="11"/>
        <v>0</v>
      </c>
    </row>
    <row r="133" spans="2:27" x14ac:dyDescent="0.35">
      <c r="B133" s="251" t="s">
        <v>258</v>
      </c>
      <c r="C133" s="269">
        <f>SUM('F) Remuneraciones'!J256:J277)*0.5</f>
        <v>0</v>
      </c>
      <c r="D133" s="269"/>
      <c r="E133" s="255">
        <v>0</v>
      </c>
      <c r="F133" s="255"/>
      <c r="G133" s="255">
        <v>0</v>
      </c>
      <c r="H133" s="255"/>
      <c r="I133" s="255">
        <v>0</v>
      </c>
      <c r="J133" s="255"/>
      <c r="K133" s="255">
        <v>0</v>
      </c>
      <c r="L133" s="255"/>
      <c r="M133" s="255">
        <v>0</v>
      </c>
      <c r="N133" s="255"/>
      <c r="O133" s="255">
        <v>0</v>
      </c>
      <c r="P133" s="255"/>
      <c r="Q133" s="255">
        <v>0</v>
      </c>
      <c r="R133" s="269"/>
      <c r="S133" s="269">
        <f>SUM('F) Remuneraciones'!I256:I277)*0.5</f>
        <v>0</v>
      </c>
      <c r="T133" s="269"/>
      <c r="U133" s="255">
        <v>0</v>
      </c>
      <c r="V133" s="255"/>
      <c r="W133" s="255">
        <v>0</v>
      </c>
      <c r="X133" s="256"/>
      <c r="Y133" s="256">
        <f>+C133+S133</f>
        <v>0</v>
      </c>
      <c r="Z133" s="270"/>
      <c r="AA133" s="253">
        <f t="shared" si="11"/>
        <v>0</v>
      </c>
    </row>
    <row r="134" spans="2:27" x14ac:dyDescent="0.35">
      <c r="B134" s="277" t="s">
        <v>290</v>
      </c>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78"/>
      <c r="Y134" s="278"/>
      <c r="Z134" s="278"/>
      <c r="AA134" s="279"/>
    </row>
    <row r="135" spans="2:27" ht="15" thickBot="1" x14ac:dyDescent="0.4">
      <c r="B135" s="257" t="s">
        <v>259</v>
      </c>
      <c r="C135" s="258">
        <f>(+'C) Costos Directos'!$D$872-'C) Costos Directos'!$D$805)*C138</f>
        <v>1486266.1425009915</v>
      </c>
      <c r="D135" s="258"/>
      <c r="E135" s="258">
        <f>(+'C) Costos Directos'!$D$872-'C) Costos Directos'!$D$805)*E138</f>
        <v>1245934.2196250383</v>
      </c>
      <c r="F135" s="258"/>
      <c r="G135" s="258">
        <f>(+'C) Costos Directos'!$D$872-'C) Costos Directos'!$D$805)*G138</f>
        <v>870143.02200022584</v>
      </c>
      <c r="H135" s="258"/>
      <c r="I135" s="258">
        <f>(+'C) Costos Directos'!$D$872-'C) Costos Directos'!$D$805)*I138</f>
        <v>751314.14810978784</v>
      </c>
      <c r="J135" s="258"/>
      <c r="K135" s="258">
        <f>(+'C) Costos Directos'!$D$872-'C) Costos Directos'!$D$805)*K138</f>
        <v>624389.00401595107</v>
      </c>
      <c r="L135" s="258"/>
      <c r="M135" s="258">
        <f>(+'C) Costos Directos'!$D$872-'C) Costos Directos'!$D$805)*M138</f>
        <v>1336996.2882021694</v>
      </c>
      <c r="N135" s="258"/>
      <c r="O135" s="258">
        <f>(+'C) Costos Directos'!$D$872-'C) Costos Directos'!$D$805)*O138</f>
        <v>880619.40943750541</v>
      </c>
      <c r="P135" s="258"/>
      <c r="Q135" s="258">
        <f>(+'C) Costos Directos'!$D$872-'C) Costos Directos'!$D$805)*Q138</f>
        <v>1246413.5615931321</v>
      </c>
      <c r="R135" s="258"/>
      <c r="S135" s="258">
        <f>(+'C) Costos Directos'!$D$872-'C) Costos Directos'!$D$805)*S138</f>
        <v>501168.62024859269</v>
      </c>
      <c r="T135" s="258"/>
      <c r="U135" s="258">
        <f>(+'C) Costos Directos'!$D$872-'C) Costos Directos'!$D$805)*U138</f>
        <v>1112703.8850278147</v>
      </c>
      <c r="V135" s="258"/>
      <c r="W135" s="258">
        <f>(+'C) Costos Directos'!$D$872-'C) Costos Directos'!$D$805)*W138</f>
        <v>673186.93817937095</v>
      </c>
      <c r="X135" s="258"/>
      <c r="Y135" s="258">
        <f>(+'C) Costos Directos'!$D$872-'C) Costos Directos'!$D$805)*Y138</f>
        <v>590048.76105942018</v>
      </c>
      <c r="Z135" s="278"/>
      <c r="AA135" s="253">
        <f t="shared" si="11"/>
        <v>11319184.000000002</v>
      </c>
    </row>
    <row r="136" spans="2:27" ht="15" thickBot="1" x14ac:dyDescent="0.4">
      <c r="B136" s="259" t="s">
        <v>260</v>
      </c>
      <c r="C136" s="260">
        <f>+C130-C131-C132-C133-C135</f>
        <v>1045798.6338748676</v>
      </c>
      <c r="D136" s="260"/>
      <c r="E136" s="261">
        <f>+E130-E131-E132-E133-E135</f>
        <v>1805486.314481755</v>
      </c>
      <c r="F136" s="261"/>
      <c r="G136" s="261">
        <f>+G130-G131-G132-G133-G135</f>
        <v>17343.690543955658</v>
      </c>
      <c r="H136" s="261"/>
      <c r="I136" s="261">
        <f>+I130-I131-I132-I133-I135</f>
        <v>2754218.9413725827</v>
      </c>
      <c r="J136" s="261"/>
      <c r="K136" s="261">
        <f>+K130-K131-K132-K133-K135</f>
        <v>1514142.0680966801</v>
      </c>
      <c r="L136" s="261"/>
      <c r="M136" s="261">
        <f>+M130-M131-M132-M133-M135</f>
        <v>551520.51737975818</v>
      </c>
      <c r="N136" s="261"/>
      <c r="O136" s="261">
        <f>+O130-O131-O132-O133-O135</f>
        <v>1460187.45666346</v>
      </c>
      <c r="P136" s="261"/>
      <c r="Q136" s="261">
        <f>+Q130-Q131-Q132-Q133-Q135</f>
        <v>926321.3981549181</v>
      </c>
      <c r="R136" s="261"/>
      <c r="S136" s="261">
        <f>+S130-S131-S132-S133-S135</f>
        <v>2661747.6295241015</v>
      </c>
      <c r="T136" s="261"/>
      <c r="U136" s="261">
        <f>+U130-U131-U132-U133-U135</f>
        <v>302020.34712464618</v>
      </c>
      <c r="V136" s="261"/>
      <c r="W136" s="261">
        <f>+W130-W131-W132-W133-W135</f>
        <v>941881.66611524345</v>
      </c>
      <c r="X136" s="282"/>
      <c r="Y136" s="262">
        <f>+Y130-Y131-Y132-Y133-Y135</f>
        <v>1213047.3366680325</v>
      </c>
      <c r="Z136" s="284"/>
      <c r="AA136" s="263">
        <f>+AA130-AA131-AA132-AA133-AA135</f>
        <v>15193715.999999998</v>
      </c>
    </row>
    <row r="137" spans="2:27" x14ac:dyDescent="0.35">
      <c r="B137" s="264" t="s">
        <v>261</v>
      </c>
      <c r="C137" s="271">
        <v>9.5503124002876291E-2</v>
      </c>
      <c r="D137" s="271"/>
      <c r="E137" s="271">
        <v>0.1150919188058188</v>
      </c>
      <c r="F137" s="271"/>
      <c r="G137" s="271">
        <v>3.3473769845780037E-2</v>
      </c>
      <c r="H137" s="271"/>
      <c r="I137" s="271">
        <v>0.13221990387631571</v>
      </c>
      <c r="J137" s="271"/>
      <c r="K137" s="271">
        <v>8.0660021050606726E-2</v>
      </c>
      <c r="L137" s="271"/>
      <c r="M137" s="271">
        <v>7.1230110835929963E-2</v>
      </c>
      <c r="N137" s="271"/>
      <c r="O137" s="271">
        <v>8.828935597769258E-2</v>
      </c>
      <c r="P137" s="271"/>
      <c r="Q137" s="271">
        <v>8.195010578805223E-2</v>
      </c>
      <c r="R137" s="271"/>
      <c r="S137" s="271">
        <v>0.11929725717566519</v>
      </c>
      <c r="T137" s="271"/>
      <c r="U137" s="271">
        <v>5.3359844911437859E-2</v>
      </c>
      <c r="V137" s="271"/>
      <c r="W137" s="271">
        <v>6.0916331457313774E-2</v>
      </c>
      <c r="X137" s="271"/>
      <c r="Y137" s="271">
        <v>6.8008256272510836E-2</v>
      </c>
      <c r="Z137" s="271"/>
    </row>
    <row r="138" spans="2:27" x14ac:dyDescent="0.35">
      <c r="B138" s="264" t="s">
        <v>262</v>
      </c>
      <c r="C138" s="271">
        <v>0.13130506072707993</v>
      </c>
      <c r="D138" s="271"/>
      <c r="E138" s="271">
        <v>0.11007279496693741</v>
      </c>
      <c r="F138" s="271"/>
      <c r="G138" s="271">
        <v>7.6873299524084587E-2</v>
      </c>
      <c r="H138" s="271"/>
      <c r="I138" s="271">
        <v>6.6375292433605446E-2</v>
      </c>
      <c r="J138" s="271"/>
      <c r="K138" s="271">
        <v>5.5162015567195577E-2</v>
      </c>
      <c r="L138" s="271"/>
      <c r="M138" s="271">
        <v>0.11811772723211933</v>
      </c>
      <c r="N138" s="271"/>
      <c r="O138" s="271">
        <v>7.7798842163667045E-2</v>
      </c>
      <c r="P138" s="271"/>
      <c r="Q138" s="271">
        <v>0.11011514271639476</v>
      </c>
      <c r="R138" s="271"/>
      <c r="S138" s="271">
        <v>4.4276037941303248E-2</v>
      </c>
      <c r="T138" s="271"/>
      <c r="U138" s="271">
        <v>9.8302482319203813E-2</v>
      </c>
      <c r="V138" s="271"/>
      <c r="W138" s="271">
        <v>5.9473097899934387E-2</v>
      </c>
      <c r="X138" s="271"/>
      <c r="Y138" s="271">
        <v>5.2128206508474474E-2</v>
      </c>
      <c r="Z138" s="271"/>
    </row>
    <row r="139" spans="2:27" ht="15" thickBot="1" x14ac:dyDescent="0.4">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row>
    <row r="140" spans="2:27" ht="29.5" thickBot="1" x14ac:dyDescent="0.4">
      <c r="B140" s="245" t="s">
        <v>274</v>
      </c>
      <c r="C140" s="246" t="s">
        <v>243</v>
      </c>
      <c r="D140" s="246" t="s">
        <v>277</v>
      </c>
      <c r="E140" s="247" t="s">
        <v>244</v>
      </c>
      <c r="F140" s="247" t="s">
        <v>289</v>
      </c>
      <c r="G140" s="247" t="s">
        <v>245</v>
      </c>
      <c r="H140" s="247" t="s">
        <v>279</v>
      </c>
      <c r="I140" s="247" t="s">
        <v>246</v>
      </c>
      <c r="J140" s="247" t="s">
        <v>280</v>
      </c>
      <c r="K140" s="247" t="s">
        <v>247</v>
      </c>
      <c r="L140" s="247" t="s">
        <v>281</v>
      </c>
      <c r="M140" s="247" t="s">
        <v>248</v>
      </c>
      <c r="N140" s="247" t="s">
        <v>282</v>
      </c>
      <c r="O140" s="247" t="s">
        <v>197</v>
      </c>
      <c r="P140" s="247" t="s">
        <v>283</v>
      </c>
      <c r="Q140" s="247" t="s">
        <v>249</v>
      </c>
      <c r="R140" s="247" t="s">
        <v>284</v>
      </c>
      <c r="S140" s="248" t="s">
        <v>250</v>
      </c>
      <c r="T140" s="248" t="s">
        <v>285</v>
      </c>
      <c r="U140" s="248" t="s">
        <v>251</v>
      </c>
      <c r="V140" s="248" t="s">
        <v>286</v>
      </c>
      <c r="W140" s="248" t="s">
        <v>252</v>
      </c>
      <c r="X140" s="281" t="s">
        <v>287</v>
      </c>
      <c r="Y140" s="249" t="s">
        <v>253</v>
      </c>
      <c r="Z140" s="283" t="s">
        <v>288</v>
      </c>
      <c r="AA140" s="250" t="s">
        <v>254</v>
      </c>
    </row>
    <row r="141" spans="2:27" x14ac:dyDescent="0.35">
      <c r="B141" s="251" t="s">
        <v>255</v>
      </c>
      <c r="C141" s="269">
        <f>+'A) Resumen Ingresos y Egresos'!$E$21*'K='!C148</f>
        <v>1266772.5373989516</v>
      </c>
      <c r="D141" s="269"/>
      <c r="E141" s="269">
        <f>+'A) Resumen Ingresos y Egresos'!$E$21*'K='!E148</f>
        <v>1526602.2294241418</v>
      </c>
      <c r="F141" s="269"/>
      <c r="G141" s="269">
        <f>+'A) Resumen Ingresos y Egresos'!$E$21*'K='!G148</f>
        <v>444002.77798839554</v>
      </c>
      <c r="H141" s="269"/>
      <c r="I141" s="269">
        <f>+'A) Resumen Ingresos y Egresos'!$E$21*'K='!I148</f>
        <v>1753791.2489962268</v>
      </c>
      <c r="J141" s="269"/>
      <c r="K141" s="269">
        <f>+'A) Resumen Ingresos y Egresos'!$E$21*'K='!K148</f>
        <v>1069890.6512194576</v>
      </c>
      <c r="L141" s="269"/>
      <c r="M141" s="269">
        <f>+'A) Resumen Ingresos y Egresos'!$E$21*'K='!M148</f>
        <v>944810.43614994222</v>
      </c>
      <c r="N141" s="269"/>
      <c r="O141" s="269">
        <f>+'A) Resumen Ingresos y Egresos'!$E$21*'K='!O148</f>
        <v>1171087.67555931</v>
      </c>
      <c r="P141" s="269"/>
      <c r="Q141" s="269">
        <f>+'A) Resumen Ingresos y Egresos'!$E$21*'K='!Q148</f>
        <v>1087002.5931938824</v>
      </c>
      <c r="R141" s="269"/>
      <c r="S141" s="269">
        <f>+'A) Resumen Ingresos y Egresos'!$E$21*'K='!S148</f>
        <v>1582382.6786294582</v>
      </c>
      <c r="T141" s="269"/>
      <c r="U141" s="269">
        <f>+'A) Resumen Ingresos y Egresos'!$E$21*'K='!U148</f>
        <v>707775.65487429406</v>
      </c>
      <c r="V141" s="269"/>
      <c r="W141" s="269">
        <f>+'A) Resumen Ingresos y Egresos'!$E$21*'K='!W148</f>
        <v>808006.40371610131</v>
      </c>
      <c r="X141" s="269"/>
      <c r="Y141" s="269">
        <f>+'A) Resumen Ingresos y Egresos'!$E$21*'K='!Y148</f>
        <v>902075.11284983822</v>
      </c>
      <c r="Z141" s="270"/>
      <c r="AA141" s="253">
        <f t="shared" ref="AA141:AA146" si="12">SUM(C141:Y141)</f>
        <v>13264200.000000004</v>
      </c>
    </row>
    <row r="142" spans="2:27" x14ac:dyDescent="0.35">
      <c r="B142" s="251" t="s">
        <v>256</v>
      </c>
      <c r="C142" s="269">
        <f>SUM('F) Remuneraciones'!$K$278:$K$288)/12</f>
        <v>0</v>
      </c>
      <c r="D142" s="269"/>
      <c r="E142" s="269">
        <f>SUM('F) Remuneraciones'!$K$278:$K$288)/12</f>
        <v>0</v>
      </c>
      <c r="F142" s="269"/>
      <c r="G142" s="269">
        <f>SUM('F) Remuneraciones'!$K$278:$K$288)/12</f>
        <v>0</v>
      </c>
      <c r="H142" s="269"/>
      <c r="I142" s="269">
        <f>SUM('F) Remuneraciones'!$K$278:$K$288)/12</f>
        <v>0</v>
      </c>
      <c r="J142" s="269"/>
      <c r="K142" s="269">
        <f>SUM('F) Remuneraciones'!$K$278:$K$288)/12</f>
        <v>0</v>
      </c>
      <c r="L142" s="269"/>
      <c r="M142" s="269">
        <f>SUM('F) Remuneraciones'!$K$278:$K$288)/12</f>
        <v>0</v>
      </c>
      <c r="N142" s="269"/>
      <c r="O142" s="269">
        <f>SUM('F) Remuneraciones'!$K$278:$K$288)/12</f>
        <v>0</v>
      </c>
      <c r="P142" s="269"/>
      <c r="Q142" s="269">
        <f>SUM('F) Remuneraciones'!$K$278:$K$288)/12</f>
        <v>0</v>
      </c>
      <c r="R142" s="269"/>
      <c r="S142" s="269">
        <f>SUM('F) Remuneraciones'!$K$278:$K$288)/12</f>
        <v>0</v>
      </c>
      <c r="T142" s="269"/>
      <c r="U142" s="269">
        <f>SUM('F) Remuneraciones'!$K$278:$K$288)/12</f>
        <v>0</v>
      </c>
      <c r="V142" s="269"/>
      <c r="W142" s="269">
        <f>SUM('F) Remuneraciones'!$K$278:$K$288)/12</f>
        <v>0</v>
      </c>
      <c r="X142" s="269"/>
      <c r="Y142" s="269">
        <f>SUM('F) Remuneraciones'!$K$278:$K$288)/12</f>
        <v>0</v>
      </c>
      <c r="Z142" s="270"/>
      <c r="AA142" s="253">
        <f t="shared" si="12"/>
        <v>0</v>
      </c>
    </row>
    <row r="143" spans="2:27" x14ac:dyDescent="0.35">
      <c r="B143" s="251" t="s">
        <v>257</v>
      </c>
      <c r="C143" s="269">
        <f>SUM('F) Remuneraciones'!K289:K299)/4</f>
        <v>0</v>
      </c>
      <c r="D143" s="269"/>
      <c r="E143" s="269">
        <f>+C143</f>
        <v>0</v>
      </c>
      <c r="F143" s="269"/>
      <c r="G143" s="269">
        <f>+C143</f>
        <v>0</v>
      </c>
      <c r="H143" s="269"/>
      <c r="I143" s="269">
        <v>0</v>
      </c>
      <c r="J143" s="269"/>
      <c r="K143" s="269">
        <v>0</v>
      </c>
      <c r="L143" s="269"/>
      <c r="M143" s="269">
        <v>0</v>
      </c>
      <c r="N143" s="269"/>
      <c r="O143" s="269">
        <v>0</v>
      </c>
      <c r="P143" s="269"/>
      <c r="Q143" s="269">
        <v>0</v>
      </c>
      <c r="R143" s="269"/>
      <c r="S143" s="269">
        <v>0</v>
      </c>
      <c r="T143" s="269"/>
      <c r="U143" s="269">
        <v>0</v>
      </c>
      <c r="V143" s="269"/>
      <c r="W143" s="269">
        <v>0</v>
      </c>
      <c r="X143" s="270"/>
      <c r="Y143" s="270">
        <f>+G143</f>
        <v>0</v>
      </c>
      <c r="Z143" s="270"/>
      <c r="AA143" s="253">
        <f t="shared" si="12"/>
        <v>0</v>
      </c>
    </row>
    <row r="144" spans="2:27" x14ac:dyDescent="0.35">
      <c r="B144" s="251" t="s">
        <v>258</v>
      </c>
      <c r="C144" s="269">
        <f>SUM('F) Remuneraciones'!J278:J299)*0.5</f>
        <v>0</v>
      </c>
      <c r="D144" s="269"/>
      <c r="E144" s="255">
        <v>0</v>
      </c>
      <c r="F144" s="255"/>
      <c r="G144" s="255">
        <v>0</v>
      </c>
      <c r="H144" s="255"/>
      <c r="I144" s="255">
        <v>0</v>
      </c>
      <c r="J144" s="255"/>
      <c r="K144" s="255">
        <v>0</v>
      </c>
      <c r="L144" s="255"/>
      <c r="M144" s="255">
        <v>0</v>
      </c>
      <c r="N144" s="255"/>
      <c r="O144" s="255">
        <v>0</v>
      </c>
      <c r="P144" s="255"/>
      <c r="Q144" s="255">
        <v>0</v>
      </c>
      <c r="R144" s="269"/>
      <c r="S144" s="269">
        <f>SUM('F) Remuneraciones'!I278:I299)*0.5</f>
        <v>0</v>
      </c>
      <c r="T144" s="269"/>
      <c r="U144" s="255">
        <v>0</v>
      </c>
      <c r="V144" s="255"/>
      <c r="W144" s="255">
        <v>0</v>
      </c>
      <c r="X144" s="256"/>
      <c r="Y144" s="256">
        <f>+C144+S144</f>
        <v>0</v>
      </c>
      <c r="Z144" s="270"/>
      <c r="AA144" s="253">
        <f t="shared" si="12"/>
        <v>0</v>
      </c>
    </row>
    <row r="145" spans="2:27" x14ac:dyDescent="0.35">
      <c r="B145" s="277" t="s">
        <v>290</v>
      </c>
      <c r="C145" s="258"/>
      <c r="D145" s="258"/>
      <c r="E145" s="258"/>
      <c r="F145" s="258"/>
      <c r="G145" s="258"/>
      <c r="H145" s="258"/>
      <c r="I145" s="258"/>
      <c r="J145" s="258"/>
      <c r="K145" s="258"/>
      <c r="L145" s="258"/>
      <c r="M145" s="258"/>
      <c r="N145" s="258"/>
      <c r="O145" s="258"/>
      <c r="P145" s="258"/>
      <c r="Q145" s="258"/>
      <c r="R145" s="258"/>
      <c r="S145" s="258"/>
      <c r="T145" s="258"/>
      <c r="U145" s="258"/>
      <c r="V145" s="258"/>
      <c r="W145" s="258"/>
      <c r="X145" s="278"/>
      <c r="Y145" s="278"/>
      <c r="Z145" s="278"/>
      <c r="AA145" s="279"/>
    </row>
    <row r="146" spans="2:27" ht="15" thickBot="1" x14ac:dyDescent="0.4">
      <c r="B146" s="257" t="s">
        <v>259</v>
      </c>
      <c r="C146" s="258">
        <f>(+'C) Costos Directos'!$D$944-'C) Costos Directos'!$D$877)*C149</f>
        <v>572415.62136588921</v>
      </c>
      <c r="D146" s="258"/>
      <c r="E146" s="258">
        <f>(+'C) Costos Directos'!$D$944-'C) Costos Directos'!$D$877)*E149</f>
        <v>479854.98028474057</v>
      </c>
      <c r="F146" s="258"/>
      <c r="G146" s="258">
        <f>(+'C) Costos Directos'!$D$944-'C) Costos Directos'!$D$877)*G149</f>
        <v>335124.00260784361</v>
      </c>
      <c r="H146" s="258"/>
      <c r="I146" s="258">
        <f>(+'C) Costos Directos'!$D$944-'C) Costos Directos'!$D$877)*I149</f>
        <v>289358.64353847451</v>
      </c>
      <c r="J146" s="258"/>
      <c r="K146" s="258">
        <f>(+'C) Costos Directos'!$D$944-'C) Costos Directos'!$D$877)*K149</f>
        <v>240475.1137682469</v>
      </c>
      <c r="L146" s="258"/>
      <c r="M146" s="258">
        <f>(+'C) Costos Directos'!$D$944-'C) Costos Directos'!$D$877)*M149</f>
        <v>514926.323886586</v>
      </c>
      <c r="N146" s="258"/>
      <c r="O146" s="258">
        <f>(+'C) Costos Directos'!$D$944-'C) Costos Directos'!$D$877)*O149</f>
        <v>339158.84378002363</v>
      </c>
      <c r="P146" s="258"/>
      <c r="Q146" s="258">
        <f>(+'C) Costos Directos'!$D$944-'C) Costos Directos'!$D$877)*Q149</f>
        <v>480039.59246331808</v>
      </c>
      <c r="R146" s="258"/>
      <c r="S146" s="258">
        <f>(+'C) Costos Directos'!$D$944-'C) Costos Directos'!$D$877)*S149</f>
        <v>193018.42312437133</v>
      </c>
      <c r="T146" s="258"/>
      <c r="U146" s="258">
        <f>(+'C) Costos Directos'!$D$944-'C) Costos Directos'!$D$877)*U149</f>
        <v>428543.09031937772</v>
      </c>
      <c r="V146" s="258"/>
      <c r="W146" s="258">
        <f>(+'C) Costos Directos'!$D$944-'C) Costos Directos'!$D$877)*W149</f>
        <v>259268.98857085954</v>
      </c>
      <c r="X146" s="258"/>
      <c r="Y146" s="258">
        <f>(+'C) Costos Directos'!$D$944-'C) Costos Directos'!$D$877)*Y149</f>
        <v>227249.42629026872</v>
      </c>
      <c r="Z146" s="278"/>
      <c r="AA146" s="253">
        <f t="shared" si="12"/>
        <v>4359433.05</v>
      </c>
    </row>
    <row r="147" spans="2:27" ht="15" thickBot="1" x14ac:dyDescent="0.4">
      <c r="B147" s="259" t="s">
        <v>260</v>
      </c>
      <c r="C147" s="260">
        <f>+C141-C142-C143-C144-C146</f>
        <v>694356.91603306239</v>
      </c>
      <c r="D147" s="260"/>
      <c r="E147" s="261">
        <f>+E141-E142-E143-E144-E146</f>
        <v>1046747.2491394012</v>
      </c>
      <c r="F147" s="261"/>
      <c r="G147" s="261">
        <f>+G141-G142-G143-G144-G146</f>
        <v>108878.77538055193</v>
      </c>
      <c r="H147" s="261"/>
      <c r="I147" s="261">
        <f>+I141-I142-I143-I144-I146</f>
        <v>1464432.6054577522</v>
      </c>
      <c r="J147" s="261"/>
      <c r="K147" s="261">
        <f>+K141-K142-K143-K144-K146</f>
        <v>829415.53745121066</v>
      </c>
      <c r="L147" s="261"/>
      <c r="M147" s="261">
        <f>+M141-M142-M143-M144-M146</f>
        <v>429884.11226335622</v>
      </c>
      <c r="N147" s="261"/>
      <c r="O147" s="261">
        <f>+O141-O142-O143-O144-O146</f>
        <v>831928.83177928638</v>
      </c>
      <c r="P147" s="261"/>
      <c r="Q147" s="261">
        <f>+Q141-Q142-Q143-Q144-Q146</f>
        <v>606963.00073056435</v>
      </c>
      <c r="R147" s="261"/>
      <c r="S147" s="261">
        <f>+S141-S142-S143-S144-S146</f>
        <v>1389364.2555050869</v>
      </c>
      <c r="T147" s="261"/>
      <c r="U147" s="261">
        <f>+U141-U142-U143-U144-U146</f>
        <v>279232.56455491635</v>
      </c>
      <c r="V147" s="261"/>
      <c r="W147" s="261">
        <f>+W141-W142-W143-W144-W146</f>
        <v>548737.41514524177</v>
      </c>
      <c r="X147" s="282"/>
      <c r="Y147" s="262">
        <f>+Y141-Y142-Y143-Y144-Y146</f>
        <v>674825.68655956956</v>
      </c>
      <c r="Z147" s="284"/>
      <c r="AA147" s="263">
        <f>+AA141-AA142-AA143-AA144-AA146</f>
        <v>8904766.950000003</v>
      </c>
    </row>
    <row r="148" spans="2:27" x14ac:dyDescent="0.35">
      <c r="B148" s="264" t="s">
        <v>261</v>
      </c>
      <c r="C148" s="271">
        <v>9.5503124002876291E-2</v>
      </c>
      <c r="D148" s="271"/>
      <c r="E148" s="271">
        <v>0.1150919188058188</v>
      </c>
      <c r="F148" s="271"/>
      <c r="G148" s="271">
        <v>3.3473769845780037E-2</v>
      </c>
      <c r="H148" s="271"/>
      <c r="I148" s="271">
        <v>0.13221990387631571</v>
      </c>
      <c r="J148" s="271"/>
      <c r="K148" s="271">
        <v>8.0660021050606726E-2</v>
      </c>
      <c r="L148" s="271"/>
      <c r="M148" s="271">
        <v>7.1230110835929963E-2</v>
      </c>
      <c r="N148" s="271"/>
      <c r="O148" s="271">
        <v>8.828935597769258E-2</v>
      </c>
      <c r="P148" s="271"/>
      <c r="Q148" s="271">
        <v>8.195010578805223E-2</v>
      </c>
      <c r="R148" s="271"/>
      <c r="S148" s="271">
        <v>0.11929725717566519</v>
      </c>
      <c r="T148" s="271"/>
      <c r="U148" s="271">
        <v>5.3359844911437859E-2</v>
      </c>
      <c r="V148" s="271"/>
      <c r="W148" s="271">
        <v>6.0916331457313774E-2</v>
      </c>
      <c r="X148" s="271"/>
      <c r="Y148" s="271">
        <v>6.8008256272510836E-2</v>
      </c>
      <c r="Z148" s="271"/>
    </row>
    <row r="149" spans="2:27" x14ac:dyDescent="0.35">
      <c r="B149" s="264" t="s">
        <v>262</v>
      </c>
      <c r="C149" s="271">
        <v>0.13130506072707993</v>
      </c>
      <c r="D149" s="271"/>
      <c r="E149" s="271">
        <v>0.11007279496693741</v>
      </c>
      <c r="F149" s="271"/>
      <c r="G149" s="271">
        <v>7.6873299524084587E-2</v>
      </c>
      <c r="H149" s="271"/>
      <c r="I149" s="271">
        <v>6.6375292433605446E-2</v>
      </c>
      <c r="J149" s="271"/>
      <c r="K149" s="271">
        <v>5.5162015567195577E-2</v>
      </c>
      <c r="L149" s="271"/>
      <c r="M149" s="271">
        <v>0.11811772723211933</v>
      </c>
      <c r="N149" s="271"/>
      <c r="O149" s="271">
        <v>7.7798842163667045E-2</v>
      </c>
      <c r="P149" s="271"/>
      <c r="Q149" s="271">
        <v>0.11011514271639476</v>
      </c>
      <c r="R149" s="271"/>
      <c r="S149" s="271">
        <v>4.4276037941303248E-2</v>
      </c>
      <c r="T149" s="271"/>
      <c r="U149" s="271">
        <v>9.8302482319203813E-2</v>
      </c>
      <c r="V149" s="271"/>
      <c r="W149" s="271">
        <v>5.9473097899934387E-2</v>
      </c>
      <c r="X149" s="271"/>
      <c r="Y149" s="271">
        <v>5.2128206508474474E-2</v>
      </c>
      <c r="Z149" s="271"/>
    </row>
    <row r="150" spans="2:27" ht="15" thickBot="1" x14ac:dyDescent="0.4">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row>
    <row r="151" spans="2:27" ht="29.5" thickBot="1" x14ac:dyDescent="0.4">
      <c r="B151" s="245" t="s">
        <v>275</v>
      </c>
      <c r="C151" s="246" t="s">
        <v>243</v>
      </c>
      <c r="D151" s="246" t="s">
        <v>277</v>
      </c>
      <c r="E151" s="247" t="s">
        <v>244</v>
      </c>
      <c r="F151" s="247" t="s">
        <v>278</v>
      </c>
      <c r="G151" s="247" t="s">
        <v>245</v>
      </c>
      <c r="H151" s="247" t="s">
        <v>279</v>
      </c>
      <c r="I151" s="247" t="s">
        <v>246</v>
      </c>
      <c r="J151" s="247" t="s">
        <v>280</v>
      </c>
      <c r="K151" s="247" t="s">
        <v>247</v>
      </c>
      <c r="L151" s="247" t="s">
        <v>281</v>
      </c>
      <c r="M151" s="247" t="s">
        <v>248</v>
      </c>
      <c r="N151" s="247" t="s">
        <v>282</v>
      </c>
      <c r="O151" s="247" t="s">
        <v>197</v>
      </c>
      <c r="P151" s="247" t="s">
        <v>283</v>
      </c>
      <c r="Q151" s="247" t="s">
        <v>249</v>
      </c>
      <c r="R151" s="247" t="s">
        <v>284</v>
      </c>
      <c r="S151" s="248" t="s">
        <v>250</v>
      </c>
      <c r="T151" s="248" t="s">
        <v>285</v>
      </c>
      <c r="U151" s="248" t="s">
        <v>251</v>
      </c>
      <c r="V151" s="248" t="s">
        <v>286</v>
      </c>
      <c r="W151" s="248" t="s">
        <v>252</v>
      </c>
      <c r="X151" s="281" t="s">
        <v>287</v>
      </c>
      <c r="Y151" s="249" t="s">
        <v>253</v>
      </c>
      <c r="Z151" s="283" t="s">
        <v>288</v>
      </c>
      <c r="AA151" s="250" t="s">
        <v>254</v>
      </c>
    </row>
    <row r="152" spans="2:27" x14ac:dyDescent="0.35">
      <c r="B152" s="251" t="s">
        <v>255</v>
      </c>
      <c r="C152" s="269" t="e">
        <f>+'A) Resumen Ingresos y Egresos'!#REF!*'K='!C159</f>
        <v>#REF!</v>
      </c>
      <c r="D152" s="269"/>
      <c r="E152" s="269" t="e">
        <f>+'A) Resumen Ingresos y Egresos'!#REF!*'K='!E159</f>
        <v>#REF!</v>
      </c>
      <c r="F152" s="269"/>
      <c r="G152" s="269" t="e">
        <f>+'A) Resumen Ingresos y Egresos'!#REF!*'K='!G159</f>
        <v>#REF!</v>
      </c>
      <c r="H152" s="269"/>
      <c r="I152" s="269" t="e">
        <f>+'A) Resumen Ingresos y Egresos'!#REF!*'K='!I159</f>
        <v>#REF!</v>
      </c>
      <c r="J152" s="269"/>
      <c r="K152" s="269" t="e">
        <f>+'A) Resumen Ingresos y Egresos'!#REF!*'K='!K159</f>
        <v>#REF!</v>
      </c>
      <c r="L152" s="269"/>
      <c r="M152" s="269" t="e">
        <f>+'A) Resumen Ingresos y Egresos'!#REF!*'K='!M159</f>
        <v>#REF!</v>
      </c>
      <c r="N152" s="269"/>
      <c r="O152" s="269" t="e">
        <f>+'A) Resumen Ingresos y Egresos'!#REF!*'K='!O159</f>
        <v>#REF!</v>
      </c>
      <c r="P152" s="269"/>
      <c r="Q152" s="269" t="e">
        <f>+'A) Resumen Ingresos y Egresos'!#REF!*'K='!Q159</f>
        <v>#REF!</v>
      </c>
      <c r="R152" s="269"/>
      <c r="S152" s="269" t="e">
        <f>+'A) Resumen Ingresos y Egresos'!#REF!*'K='!S159</f>
        <v>#REF!</v>
      </c>
      <c r="T152" s="269"/>
      <c r="U152" s="269" t="e">
        <f>+'A) Resumen Ingresos y Egresos'!#REF!*'K='!U159</f>
        <v>#REF!</v>
      </c>
      <c r="V152" s="269"/>
      <c r="W152" s="269" t="e">
        <f>+'A) Resumen Ingresos y Egresos'!#REF!*'K='!W159</f>
        <v>#REF!</v>
      </c>
      <c r="X152" s="269"/>
      <c r="Y152" s="269" t="e">
        <f>+'A) Resumen Ingresos y Egresos'!#REF!*'K='!Y159</f>
        <v>#REF!</v>
      </c>
      <c r="Z152" s="270"/>
      <c r="AA152" s="253" t="e">
        <f t="shared" ref="AA152:AA157" si="13">SUM(C152:Y152)</f>
        <v>#REF!</v>
      </c>
    </row>
    <row r="153" spans="2:27" x14ac:dyDescent="0.35">
      <c r="B153" s="251" t="s">
        <v>256</v>
      </c>
      <c r="C153" s="269" t="e">
        <f>SUM('F) Remuneraciones'!#REF!)/12</f>
        <v>#REF!</v>
      </c>
      <c r="D153" s="269"/>
      <c r="E153" s="269" t="e">
        <f>SUM('F) Remuneraciones'!#REF!)/12</f>
        <v>#REF!</v>
      </c>
      <c r="F153" s="269"/>
      <c r="G153" s="269" t="e">
        <f>SUM('F) Remuneraciones'!#REF!)/12</f>
        <v>#REF!</v>
      </c>
      <c r="H153" s="269"/>
      <c r="I153" s="269" t="e">
        <f>SUM('F) Remuneraciones'!#REF!)/12</f>
        <v>#REF!</v>
      </c>
      <c r="J153" s="269"/>
      <c r="K153" s="269" t="e">
        <f>SUM('F) Remuneraciones'!#REF!)/12</f>
        <v>#REF!</v>
      </c>
      <c r="L153" s="269"/>
      <c r="M153" s="269" t="e">
        <f>SUM('F) Remuneraciones'!#REF!)/12</f>
        <v>#REF!</v>
      </c>
      <c r="N153" s="269"/>
      <c r="O153" s="269" t="e">
        <f>SUM('F) Remuneraciones'!#REF!)/12</f>
        <v>#REF!</v>
      </c>
      <c r="P153" s="269"/>
      <c r="Q153" s="269" t="e">
        <f>SUM('F) Remuneraciones'!#REF!)/12</f>
        <v>#REF!</v>
      </c>
      <c r="R153" s="269"/>
      <c r="S153" s="269" t="e">
        <f>SUM('F) Remuneraciones'!#REF!)/12</f>
        <v>#REF!</v>
      </c>
      <c r="T153" s="269"/>
      <c r="U153" s="269" t="e">
        <f>SUM('F) Remuneraciones'!#REF!)/12</f>
        <v>#REF!</v>
      </c>
      <c r="V153" s="269"/>
      <c r="W153" s="269" t="e">
        <f>SUM('F) Remuneraciones'!#REF!)/12</f>
        <v>#REF!</v>
      </c>
      <c r="X153" s="269"/>
      <c r="Y153" s="269" t="e">
        <f>SUM('F) Remuneraciones'!#REF!)/12</f>
        <v>#REF!</v>
      </c>
      <c r="Z153" s="270"/>
      <c r="AA153" s="253" t="e">
        <f t="shared" si="13"/>
        <v>#REF!</v>
      </c>
    </row>
    <row r="154" spans="2:27" x14ac:dyDescent="0.35">
      <c r="B154" s="251" t="s">
        <v>257</v>
      </c>
      <c r="C154" s="269" t="e">
        <f>SUM('F) Remuneraciones'!#REF!)/4</f>
        <v>#REF!</v>
      </c>
      <c r="D154" s="269"/>
      <c r="E154" s="269" t="e">
        <f>+C154</f>
        <v>#REF!</v>
      </c>
      <c r="F154" s="269"/>
      <c r="G154" s="269" t="e">
        <f>+C154</f>
        <v>#REF!</v>
      </c>
      <c r="H154" s="269"/>
      <c r="I154" s="269">
        <v>0</v>
      </c>
      <c r="J154" s="269"/>
      <c r="K154" s="269">
        <v>0</v>
      </c>
      <c r="L154" s="269"/>
      <c r="M154" s="269">
        <v>0</v>
      </c>
      <c r="N154" s="269"/>
      <c r="O154" s="269">
        <v>0</v>
      </c>
      <c r="P154" s="269"/>
      <c r="Q154" s="269">
        <v>0</v>
      </c>
      <c r="R154" s="269"/>
      <c r="S154" s="269">
        <v>0</v>
      </c>
      <c r="T154" s="269"/>
      <c r="U154" s="269">
        <v>0</v>
      </c>
      <c r="V154" s="269"/>
      <c r="W154" s="269">
        <v>0</v>
      </c>
      <c r="X154" s="270"/>
      <c r="Y154" s="270" t="e">
        <f>+G154</f>
        <v>#REF!</v>
      </c>
      <c r="Z154" s="270"/>
      <c r="AA154" s="253" t="e">
        <f t="shared" si="13"/>
        <v>#REF!</v>
      </c>
    </row>
    <row r="155" spans="2:27" x14ac:dyDescent="0.35">
      <c r="B155" s="251" t="s">
        <v>258</v>
      </c>
      <c r="C155" s="269" t="e">
        <f>SUM('F) Remuneraciones'!#REF!)*0.5</f>
        <v>#REF!</v>
      </c>
      <c r="D155" s="269"/>
      <c r="E155" s="255">
        <v>0</v>
      </c>
      <c r="F155" s="255"/>
      <c r="G155" s="255">
        <v>0</v>
      </c>
      <c r="H155" s="255"/>
      <c r="I155" s="255">
        <v>0</v>
      </c>
      <c r="J155" s="255"/>
      <c r="K155" s="255">
        <v>0</v>
      </c>
      <c r="L155" s="255"/>
      <c r="M155" s="255">
        <v>0</v>
      </c>
      <c r="N155" s="255"/>
      <c r="O155" s="255">
        <v>0</v>
      </c>
      <c r="P155" s="255"/>
      <c r="Q155" s="255">
        <v>0</v>
      </c>
      <c r="R155" s="269"/>
      <c r="S155" s="269" t="e">
        <f>SUM('F) Remuneraciones'!#REF!)*0.5</f>
        <v>#REF!</v>
      </c>
      <c r="T155" s="269"/>
      <c r="U155" s="255">
        <v>0</v>
      </c>
      <c r="V155" s="255"/>
      <c r="W155" s="255">
        <v>0</v>
      </c>
      <c r="X155" s="256"/>
      <c r="Y155" s="256" t="e">
        <f>+C155+S155</f>
        <v>#REF!</v>
      </c>
      <c r="Z155" s="270"/>
      <c r="AA155" s="253" t="e">
        <f t="shared" si="13"/>
        <v>#REF!</v>
      </c>
    </row>
    <row r="156" spans="2:27" x14ac:dyDescent="0.35">
      <c r="B156" s="277" t="s">
        <v>290</v>
      </c>
      <c r="C156" s="258"/>
      <c r="D156" s="258"/>
      <c r="E156" s="258"/>
      <c r="F156" s="258"/>
      <c r="G156" s="258"/>
      <c r="H156" s="258"/>
      <c r="I156" s="258"/>
      <c r="J156" s="258"/>
      <c r="K156" s="258"/>
      <c r="L156" s="258"/>
      <c r="M156" s="258"/>
      <c r="N156" s="258"/>
      <c r="O156" s="258"/>
      <c r="P156" s="258"/>
      <c r="Q156" s="258"/>
      <c r="R156" s="258"/>
      <c r="S156" s="258"/>
      <c r="T156" s="258"/>
      <c r="U156" s="258"/>
      <c r="V156" s="258"/>
      <c r="W156" s="258"/>
      <c r="X156" s="278"/>
      <c r="Y156" s="278"/>
      <c r="Z156" s="278"/>
      <c r="AA156" s="279"/>
    </row>
    <row r="157" spans="2:27" ht="15" thickBot="1" x14ac:dyDescent="0.4">
      <c r="B157" s="257" t="s">
        <v>259</v>
      </c>
      <c r="C157" s="258" t="e">
        <f>(+'C) Costos Directos'!#REF!-'C) Costos Directos'!#REF!)*C160</f>
        <v>#REF!</v>
      </c>
      <c r="D157" s="258"/>
      <c r="E157" s="258" t="e">
        <f>(+'C) Costos Directos'!#REF!-'C) Costos Directos'!#REF!)*E160</f>
        <v>#REF!</v>
      </c>
      <c r="F157" s="258"/>
      <c r="G157" s="258" t="e">
        <f>(+'C) Costos Directos'!#REF!-'C) Costos Directos'!#REF!)*G160</f>
        <v>#REF!</v>
      </c>
      <c r="H157" s="258"/>
      <c r="I157" s="258" t="e">
        <f>(+'C) Costos Directos'!#REF!-'C) Costos Directos'!#REF!)*I160</f>
        <v>#REF!</v>
      </c>
      <c r="J157" s="258"/>
      <c r="K157" s="258" t="e">
        <f>(+'C) Costos Directos'!#REF!-'C) Costos Directos'!#REF!)*K160</f>
        <v>#REF!</v>
      </c>
      <c r="L157" s="258"/>
      <c r="M157" s="258" t="e">
        <f>(+'C) Costos Directos'!#REF!-'C) Costos Directos'!#REF!)*M160</f>
        <v>#REF!</v>
      </c>
      <c r="N157" s="258"/>
      <c r="O157" s="258" t="e">
        <f>(+'C) Costos Directos'!#REF!-'C) Costos Directos'!#REF!)*O160</f>
        <v>#REF!</v>
      </c>
      <c r="P157" s="258"/>
      <c r="Q157" s="258" t="e">
        <f>(+'C) Costos Directos'!#REF!-'C) Costos Directos'!#REF!)*Q160</f>
        <v>#REF!</v>
      </c>
      <c r="R157" s="258"/>
      <c r="S157" s="258" t="e">
        <f>(+'C) Costos Directos'!#REF!-'C) Costos Directos'!#REF!)*S160</f>
        <v>#REF!</v>
      </c>
      <c r="T157" s="258"/>
      <c r="U157" s="258" t="e">
        <f>(+'C) Costos Directos'!#REF!-'C) Costos Directos'!#REF!)*U160</f>
        <v>#REF!</v>
      </c>
      <c r="V157" s="258"/>
      <c r="W157" s="258" t="e">
        <f>(+'C) Costos Directos'!#REF!-'C) Costos Directos'!#REF!)*W160</f>
        <v>#REF!</v>
      </c>
      <c r="X157" s="258"/>
      <c r="Y157" s="258" t="e">
        <f>(+'C) Costos Directos'!#REF!-'C) Costos Directos'!#REF!)*Y160</f>
        <v>#REF!</v>
      </c>
      <c r="Z157" s="278"/>
      <c r="AA157" s="253" t="e">
        <f t="shared" si="13"/>
        <v>#REF!</v>
      </c>
    </row>
    <row r="158" spans="2:27" ht="15" thickBot="1" x14ac:dyDescent="0.4">
      <c r="B158" s="259" t="s">
        <v>260</v>
      </c>
      <c r="C158" s="260" t="e">
        <f>+C152-C153-C154-C155-C157</f>
        <v>#REF!</v>
      </c>
      <c r="D158" s="260"/>
      <c r="E158" s="261" t="e">
        <f>+E152-E153-E154-E155-E157</f>
        <v>#REF!</v>
      </c>
      <c r="F158" s="261"/>
      <c r="G158" s="261" t="e">
        <f>+G152-G153-G154-G155-G157</f>
        <v>#REF!</v>
      </c>
      <c r="H158" s="261"/>
      <c r="I158" s="261" t="e">
        <f>+I152-I153-I154-I155-I157</f>
        <v>#REF!</v>
      </c>
      <c r="J158" s="261"/>
      <c r="K158" s="261" t="e">
        <f>+K152-K153-K154-K155-K157</f>
        <v>#REF!</v>
      </c>
      <c r="L158" s="261"/>
      <c r="M158" s="261" t="e">
        <f>+M152-M153-M154-M155-M157</f>
        <v>#REF!</v>
      </c>
      <c r="N158" s="261"/>
      <c r="O158" s="261" t="e">
        <f>+O152-O153-O154-O155-O157</f>
        <v>#REF!</v>
      </c>
      <c r="P158" s="261"/>
      <c r="Q158" s="261" t="e">
        <f>+Q152-Q153-Q154-Q155-Q157</f>
        <v>#REF!</v>
      </c>
      <c r="R158" s="261"/>
      <c r="S158" s="261" t="e">
        <f>+S152-S153-S154-S155-S157</f>
        <v>#REF!</v>
      </c>
      <c r="T158" s="261"/>
      <c r="U158" s="261" t="e">
        <f>+U152-U153-U154-U155-U157</f>
        <v>#REF!</v>
      </c>
      <c r="V158" s="261"/>
      <c r="W158" s="261" t="e">
        <f>+W152-W153-W154-W155-W157</f>
        <v>#REF!</v>
      </c>
      <c r="X158" s="282"/>
      <c r="Y158" s="262" t="e">
        <f>+Y152-Y153-Y154-Y155-Y157</f>
        <v>#REF!</v>
      </c>
      <c r="Z158" s="284"/>
      <c r="AA158" s="263" t="e">
        <f>+AA152-AA153-AA154-AA155-AA157</f>
        <v>#REF!</v>
      </c>
    </row>
    <row r="159" spans="2:27" x14ac:dyDescent="0.35">
      <c r="B159" s="264" t="s">
        <v>261</v>
      </c>
      <c r="C159" s="271">
        <v>0.11609701210032783</v>
      </c>
      <c r="D159" s="271"/>
      <c r="E159" s="271">
        <v>3.6393918431058825E-2</v>
      </c>
      <c r="F159" s="271"/>
      <c r="G159" s="271">
        <v>1.0478039674737708E-2</v>
      </c>
      <c r="H159" s="271"/>
      <c r="I159" s="271">
        <v>0.26211973776721081</v>
      </c>
      <c r="J159" s="271"/>
      <c r="K159" s="271">
        <v>2.7941494550006225E-2</v>
      </c>
      <c r="L159" s="271"/>
      <c r="M159" s="271">
        <v>7.0510515363275003E-2</v>
      </c>
      <c r="N159" s="271"/>
      <c r="O159" s="271">
        <v>7.2717844720855213E-2</v>
      </c>
      <c r="P159" s="271"/>
      <c r="Q159" s="271">
        <v>6.4335412981065043E-2</v>
      </c>
      <c r="R159" s="271"/>
      <c r="S159" s="271">
        <v>0.20528661781846966</v>
      </c>
      <c r="T159" s="271"/>
      <c r="U159" s="271">
        <v>6.0074371222024546E-2</v>
      </c>
      <c r="V159" s="271"/>
      <c r="W159" s="271">
        <v>2.3750278680111144E-2</v>
      </c>
      <c r="X159" s="271"/>
      <c r="Y159" s="271">
        <v>5.0294756690858013E-2</v>
      </c>
      <c r="Z159" s="271"/>
    </row>
    <row r="160" spans="2:27" x14ac:dyDescent="0.35">
      <c r="B160" s="264" t="s">
        <v>262</v>
      </c>
      <c r="C160" s="271">
        <v>1.2087687424981508E-2</v>
      </c>
      <c r="D160" s="271"/>
      <c r="E160" s="271">
        <v>0.22441752322536862</v>
      </c>
      <c r="F160" s="271"/>
      <c r="G160" s="271">
        <v>0.28556015382490468</v>
      </c>
      <c r="H160" s="271"/>
      <c r="I160" s="271">
        <v>0</v>
      </c>
      <c r="J160" s="271"/>
      <c r="K160" s="271">
        <v>1.614355664628811E-2</v>
      </c>
      <c r="L160" s="271"/>
      <c r="M160" s="271">
        <v>1.6831998206603103E-2</v>
      </c>
      <c r="N160" s="271"/>
      <c r="O160" s="271">
        <v>1.9819390208576902E-2</v>
      </c>
      <c r="P160" s="271"/>
      <c r="Q160" s="271">
        <v>3.6180986510889628E-2</v>
      </c>
      <c r="R160" s="271"/>
      <c r="S160" s="271">
        <v>4.131594476748765E-2</v>
      </c>
      <c r="T160" s="271"/>
      <c r="U160" s="271">
        <v>0.26083545168945915</v>
      </c>
      <c r="V160" s="271"/>
      <c r="W160" s="271">
        <v>6.1506416915367283E-2</v>
      </c>
      <c r="X160" s="271"/>
      <c r="Y160" s="271">
        <v>2.5300890580073364E-2</v>
      </c>
      <c r="Z160" s="271"/>
    </row>
    <row r="161" spans="2:27" ht="15" thickBot="1" x14ac:dyDescent="0.4">
      <c r="C161" s="268"/>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8"/>
    </row>
    <row r="162" spans="2:27" ht="29.5" thickBot="1" x14ac:dyDescent="0.4">
      <c r="B162" s="245" t="s">
        <v>276</v>
      </c>
      <c r="C162" s="246" t="s">
        <v>243</v>
      </c>
      <c r="D162" s="246" t="s">
        <v>277</v>
      </c>
      <c r="E162" s="247" t="s">
        <v>244</v>
      </c>
      <c r="F162" s="247" t="s">
        <v>278</v>
      </c>
      <c r="G162" s="247" t="s">
        <v>245</v>
      </c>
      <c r="H162" s="247" t="s">
        <v>279</v>
      </c>
      <c r="I162" s="247" t="s">
        <v>246</v>
      </c>
      <c r="J162" s="247" t="s">
        <v>280</v>
      </c>
      <c r="K162" s="247" t="s">
        <v>247</v>
      </c>
      <c r="L162" s="247" t="s">
        <v>281</v>
      </c>
      <c r="M162" s="247" t="s">
        <v>248</v>
      </c>
      <c r="N162" s="247" t="s">
        <v>282</v>
      </c>
      <c r="O162" s="247" t="s">
        <v>197</v>
      </c>
      <c r="P162" s="247" t="s">
        <v>283</v>
      </c>
      <c r="Q162" s="247" t="s">
        <v>249</v>
      </c>
      <c r="R162" s="247" t="s">
        <v>284</v>
      </c>
      <c r="S162" s="248" t="s">
        <v>250</v>
      </c>
      <c r="T162" s="248" t="s">
        <v>285</v>
      </c>
      <c r="U162" s="248" t="s">
        <v>251</v>
      </c>
      <c r="V162" s="248" t="s">
        <v>286</v>
      </c>
      <c r="W162" s="248" t="s">
        <v>252</v>
      </c>
      <c r="X162" s="281" t="s">
        <v>287</v>
      </c>
      <c r="Y162" s="249" t="s">
        <v>253</v>
      </c>
      <c r="Z162" s="283" t="s">
        <v>288</v>
      </c>
      <c r="AA162" s="250" t="s">
        <v>254</v>
      </c>
    </row>
    <row r="163" spans="2:27" x14ac:dyDescent="0.35">
      <c r="B163" s="251" t="s">
        <v>255</v>
      </c>
      <c r="C163" s="269" t="e">
        <f>+'A) Resumen Ingresos y Egresos'!#REF!*'K='!C170</f>
        <v>#REF!</v>
      </c>
      <c r="D163" s="269"/>
      <c r="E163" s="269" t="e">
        <f>+'A) Resumen Ingresos y Egresos'!#REF!*'K='!E170</f>
        <v>#REF!</v>
      </c>
      <c r="F163" s="269"/>
      <c r="G163" s="269" t="e">
        <f>+'A) Resumen Ingresos y Egresos'!#REF!*'K='!G170</f>
        <v>#REF!</v>
      </c>
      <c r="H163" s="269"/>
      <c r="I163" s="269" t="e">
        <f>+'A) Resumen Ingresos y Egresos'!#REF!*'K='!I170</f>
        <v>#REF!</v>
      </c>
      <c r="J163" s="269"/>
      <c r="K163" s="269" t="e">
        <f>+'A) Resumen Ingresos y Egresos'!#REF!*'K='!K170</f>
        <v>#REF!</v>
      </c>
      <c r="L163" s="269"/>
      <c r="M163" s="269" t="e">
        <f>+'A) Resumen Ingresos y Egresos'!#REF!*'K='!M170</f>
        <v>#REF!</v>
      </c>
      <c r="N163" s="269"/>
      <c r="O163" s="269" t="e">
        <f>+'A) Resumen Ingresos y Egresos'!#REF!*'K='!O170</f>
        <v>#REF!</v>
      </c>
      <c r="P163" s="269"/>
      <c r="Q163" s="269" t="e">
        <f>+'A) Resumen Ingresos y Egresos'!#REF!*'K='!Q170</f>
        <v>#REF!</v>
      </c>
      <c r="R163" s="269"/>
      <c r="S163" s="269" t="e">
        <f>+'A) Resumen Ingresos y Egresos'!#REF!*'K='!S170</f>
        <v>#REF!</v>
      </c>
      <c r="T163" s="269"/>
      <c r="U163" s="269" t="e">
        <f>+'A) Resumen Ingresos y Egresos'!#REF!*'K='!U170</f>
        <v>#REF!</v>
      </c>
      <c r="V163" s="269"/>
      <c r="W163" s="269" t="e">
        <f>+'A) Resumen Ingresos y Egresos'!#REF!*'K='!W170</f>
        <v>#REF!</v>
      </c>
      <c r="X163" s="269"/>
      <c r="Y163" s="269" t="e">
        <f>+'A) Resumen Ingresos y Egresos'!#REF!*'K='!Y170</f>
        <v>#REF!</v>
      </c>
      <c r="Z163" s="270"/>
      <c r="AA163" s="253" t="e">
        <f t="shared" ref="AA163:AA168" si="14">SUM(C163:Y163)</f>
        <v>#REF!</v>
      </c>
    </row>
    <row r="164" spans="2:27" x14ac:dyDescent="0.35">
      <c r="B164" s="251" t="s">
        <v>256</v>
      </c>
      <c r="C164" s="269" t="e">
        <f>SUM('F) Remuneraciones'!#REF!)/12</f>
        <v>#REF!</v>
      </c>
      <c r="D164" s="269"/>
      <c r="E164" s="269" t="e">
        <f>SUM('F) Remuneraciones'!#REF!)/12</f>
        <v>#REF!</v>
      </c>
      <c r="F164" s="269"/>
      <c r="G164" s="269" t="e">
        <f>SUM('F) Remuneraciones'!#REF!)/12</f>
        <v>#REF!</v>
      </c>
      <c r="H164" s="269"/>
      <c r="I164" s="269" t="e">
        <f>SUM('F) Remuneraciones'!#REF!)/12</f>
        <v>#REF!</v>
      </c>
      <c r="J164" s="269"/>
      <c r="K164" s="269" t="e">
        <f>SUM('F) Remuneraciones'!#REF!)/12</f>
        <v>#REF!</v>
      </c>
      <c r="L164" s="269"/>
      <c r="M164" s="269" t="e">
        <f>SUM('F) Remuneraciones'!#REF!)/12</f>
        <v>#REF!</v>
      </c>
      <c r="N164" s="269"/>
      <c r="O164" s="269" t="e">
        <f>SUM('F) Remuneraciones'!#REF!)/12</f>
        <v>#REF!</v>
      </c>
      <c r="P164" s="269"/>
      <c r="Q164" s="269" t="e">
        <f>SUM('F) Remuneraciones'!#REF!)/12</f>
        <v>#REF!</v>
      </c>
      <c r="R164" s="269"/>
      <c r="S164" s="269" t="e">
        <f>SUM('F) Remuneraciones'!#REF!)/12</f>
        <v>#REF!</v>
      </c>
      <c r="T164" s="269"/>
      <c r="U164" s="269" t="e">
        <f>SUM('F) Remuneraciones'!#REF!)/12</f>
        <v>#REF!</v>
      </c>
      <c r="V164" s="269"/>
      <c r="W164" s="269" t="e">
        <f>SUM('F) Remuneraciones'!#REF!)/12</f>
        <v>#REF!</v>
      </c>
      <c r="X164" s="269"/>
      <c r="Y164" s="269" t="e">
        <f>SUM('F) Remuneraciones'!#REF!)/12</f>
        <v>#REF!</v>
      </c>
      <c r="Z164" s="270"/>
      <c r="AA164" s="253" t="e">
        <f t="shared" si="14"/>
        <v>#REF!</v>
      </c>
    </row>
    <row r="165" spans="2:27" x14ac:dyDescent="0.35">
      <c r="B165" s="251" t="s">
        <v>257</v>
      </c>
      <c r="C165" s="269" t="e">
        <f>SUM('F) Remuneraciones'!#REF!)/4</f>
        <v>#REF!</v>
      </c>
      <c r="D165" s="269"/>
      <c r="E165" s="269" t="e">
        <f>+C165</f>
        <v>#REF!</v>
      </c>
      <c r="F165" s="269"/>
      <c r="G165" s="269" t="e">
        <f>+C165</f>
        <v>#REF!</v>
      </c>
      <c r="H165" s="269"/>
      <c r="I165" s="269">
        <v>0</v>
      </c>
      <c r="J165" s="269"/>
      <c r="K165" s="269">
        <v>0</v>
      </c>
      <c r="L165" s="269"/>
      <c r="M165" s="269">
        <v>0</v>
      </c>
      <c r="N165" s="269"/>
      <c r="O165" s="269">
        <v>0</v>
      </c>
      <c r="P165" s="269"/>
      <c r="Q165" s="269">
        <v>0</v>
      </c>
      <c r="R165" s="269"/>
      <c r="S165" s="269">
        <v>0</v>
      </c>
      <c r="T165" s="269"/>
      <c r="U165" s="269">
        <v>0</v>
      </c>
      <c r="V165" s="269"/>
      <c r="W165" s="269">
        <v>0</v>
      </c>
      <c r="X165" s="270"/>
      <c r="Y165" s="270" t="e">
        <f>+G165</f>
        <v>#REF!</v>
      </c>
      <c r="Z165" s="270"/>
      <c r="AA165" s="253" t="e">
        <f t="shared" si="14"/>
        <v>#REF!</v>
      </c>
    </row>
    <row r="166" spans="2:27" x14ac:dyDescent="0.35">
      <c r="B166" s="251" t="s">
        <v>258</v>
      </c>
      <c r="C166" s="269" t="e">
        <f>SUM('F) Remuneraciones'!#REF!)*0.5</f>
        <v>#REF!</v>
      </c>
      <c r="D166" s="269"/>
      <c r="E166" s="255">
        <v>0</v>
      </c>
      <c r="F166" s="255"/>
      <c r="G166" s="255">
        <v>0</v>
      </c>
      <c r="H166" s="255"/>
      <c r="I166" s="255">
        <v>0</v>
      </c>
      <c r="J166" s="255"/>
      <c r="K166" s="255">
        <v>0</v>
      </c>
      <c r="L166" s="255"/>
      <c r="M166" s="255">
        <v>0</v>
      </c>
      <c r="N166" s="255"/>
      <c r="O166" s="255">
        <v>0</v>
      </c>
      <c r="P166" s="255"/>
      <c r="Q166" s="255">
        <v>0</v>
      </c>
      <c r="R166" s="269"/>
      <c r="S166" s="269" t="e">
        <f>SUM('F) Remuneraciones'!#REF!)*0.5</f>
        <v>#REF!</v>
      </c>
      <c r="T166" s="269"/>
      <c r="U166" s="255">
        <v>0</v>
      </c>
      <c r="V166" s="255"/>
      <c r="W166" s="255">
        <v>0</v>
      </c>
      <c r="X166" s="256"/>
      <c r="Y166" s="256" t="e">
        <f>+C166+S166</f>
        <v>#REF!</v>
      </c>
      <c r="Z166" s="270"/>
      <c r="AA166" s="253" t="e">
        <f t="shared" si="14"/>
        <v>#REF!</v>
      </c>
    </row>
    <row r="167" spans="2:27" x14ac:dyDescent="0.35">
      <c r="B167" s="277" t="s">
        <v>291</v>
      </c>
      <c r="C167" s="258"/>
      <c r="D167" s="258"/>
      <c r="E167" s="258"/>
      <c r="F167" s="258"/>
      <c r="G167" s="258"/>
      <c r="H167" s="258"/>
      <c r="I167" s="258"/>
      <c r="J167" s="258"/>
      <c r="K167" s="258"/>
      <c r="L167" s="258"/>
      <c r="M167" s="258"/>
      <c r="N167" s="258"/>
      <c r="O167" s="258"/>
      <c r="P167" s="258"/>
      <c r="Q167" s="258"/>
      <c r="R167" s="258"/>
      <c r="S167" s="258"/>
      <c r="T167" s="258"/>
      <c r="U167" s="258"/>
      <c r="V167" s="258"/>
      <c r="W167" s="258"/>
      <c r="X167" s="278"/>
      <c r="Y167" s="278"/>
      <c r="Z167" s="278"/>
      <c r="AA167" s="279"/>
    </row>
    <row r="168" spans="2:27" ht="15" thickBot="1" x14ac:dyDescent="0.4">
      <c r="B168" s="257" t="s">
        <v>259</v>
      </c>
      <c r="C168" s="258" t="e">
        <f>(+'C) Costos Directos'!#REF!-'C) Costos Directos'!#REF!)*C171</f>
        <v>#REF!</v>
      </c>
      <c r="D168" s="258"/>
      <c r="E168" s="258" t="e">
        <f>(+'C) Costos Directos'!#REF!-'C) Costos Directos'!#REF!)*E171</f>
        <v>#REF!</v>
      </c>
      <c r="F168" s="258"/>
      <c r="G168" s="258" t="e">
        <f>(+'C) Costos Directos'!#REF!-'C) Costos Directos'!#REF!)*G171</f>
        <v>#REF!</v>
      </c>
      <c r="H168" s="258"/>
      <c r="I168" s="258" t="e">
        <f>(+'C) Costos Directos'!#REF!-'C) Costos Directos'!#REF!)*I171</f>
        <v>#REF!</v>
      </c>
      <c r="J168" s="258"/>
      <c r="K168" s="258" t="e">
        <f>(+'C) Costos Directos'!#REF!-'C) Costos Directos'!#REF!)*K171</f>
        <v>#REF!</v>
      </c>
      <c r="L168" s="258"/>
      <c r="M168" s="258" t="e">
        <f>(+'C) Costos Directos'!#REF!-'C) Costos Directos'!#REF!)*M171</f>
        <v>#REF!</v>
      </c>
      <c r="N168" s="258"/>
      <c r="O168" s="258" t="e">
        <f>(+'C) Costos Directos'!#REF!-'C) Costos Directos'!#REF!)*O171</f>
        <v>#REF!</v>
      </c>
      <c r="P168" s="258"/>
      <c r="Q168" s="258" t="e">
        <f>(+'C) Costos Directos'!#REF!-'C) Costos Directos'!#REF!)*Q171</f>
        <v>#REF!</v>
      </c>
      <c r="R168" s="258"/>
      <c r="S168" s="258" t="e">
        <f>(+'C) Costos Directos'!#REF!-'C) Costos Directos'!#REF!)*S171</f>
        <v>#REF!</v>
      </c>
      <c r="T168" s="258"/>
      <c r="U168" s="258" t="e">
        <f>(+'C) Costos Directos'!#REF!-'C) Costos Directos'!#REF!)*U171</f>
        <v>#REF!</v>
      </c>
      <c r="V168" s="258"/>
      <c r="W168" s="258" t="e">
        <f>(+'C) Costos Directos'!#REF!-'C) Costos Directos'!#REF!)*W171</f>
        <v>#REF!</v>
      </c>
      <c r="X168" s="258"/>
      <c r="Y168" s="258" t="e">
        <f>(+'C) Costos Directos'!#REF!-'C) Costos Directos'!#REF!)*Y171</f>
        <v>#REF!</v>
      </c>
      <c r="Z168" s="278"/>
      <c r="AA168" s="253" t="e">
        <f t="shared" si="14"/>
        <v>#REF!</v>
      </c>
    </row>
    <row r="169" spans="2:27" ht="15" thickBot="1" x14ac:dyDescent="0.4">
      <c r="B169" s="259" t="s">
        <v>260</v>
      </c>
      <c r="C169" s="260" t="e">
        <f>+C163-C164-C165-C166-C168</f>
        <v>#REF!</v>
      </c>
      <c r="D169" s="260"/>
      <c r="E169" s="261" t="e">
        <f t="shared" ref="E169:AA169" si="15">+E163-E164-E165-E166-E168</f>
        <v>#REF!</v>
      </c>
      <c r="F169" s="261"/>
      <c r="G169" s="261" t="e">
        <f t="shared" si="15"/>
        <v>#REF!</v>
      </c>
      <c r="H169" s="261"/>
      <c r="I169" s="261" t="e">
        <f t="shared" si="15"/>
        <v>#REF!</v>
      </c>
      <c r="J169" s="261"/>
      <c r="K169" s="261" t="e">
        <f t="shared" si="15"/>
        <v>#REF!</v>
      </c>
      <c r="L169" s="261"/>
      <c r="M169" s="261" t="e">
        <f t="shared" si="15"/>
        <v>#REF!</v>
      </c>
      <c r="N169" s="261"/>
      <c r="O169" s="261" t="e">
        <f t="shared" si="15"/>
        <v>#REF!</v>
      </c>
      <c r="P169" s="261"/>
      <c r="Q169" s="261" t="e">
        <f t="shared" si="15"/>
        <v>#REF!</v>
      </c>
      <c r="R169" s="261"/>
      <c r="S169" s="261" t="e">
        <f t="shared" si="15"/>
        <v>#REF!</v>
      </c>
      <c r="T169" s="261"/>
      <c r="U169" s="261" t="e">
        <f t="shared" si="15"/>
        <v>#REF!</v>
      </c>
      <c r="V169" s="261"/>
      <c r="W169" s="261" t="e">
        <f t="shared" si="15"/>
        <v>#REF!</v>
      </c>
      <c r="X169" s="282"/>
      <c r="Y169" s="262" t="e">
        <f t="shared" si="15"/>
        <v>#REF!</v>
      </c>
      <c r="Z169" s="284"/>
      <c r="AA169" s="263" t="e">
        <f t="shared" si="15"/>
        <v>#REF!</v>
      </c>
    </row>
    <row r="170" spans="2:27" x14ac:dyDescent="0.35">
      <c r="B170" s="264" t="s">
        <v>261</v>
      </c>
      <c r="C170" s="273"/>
      <c r="D170" s="273"/>
      <c r="E170" s="273"/>
      <c r="F170" s="273"/>
      <c r="G170" s="273"/>
      <c r="H170" s="273"/>
      <c r="I170" s="273"/>
      <c r="J170" s="273"/>
      <c r="K170" s="273"/>
      <c r="L170" s="273"/>
      <c r="M170" s="273"/>
      <c r="N170" s="273"/>
      <c r="O170" s="273"/>
      <c r="P170" s="273"/>
      <c r="Q170" s="273"/>
      <c r="R170" s="273"/>
      <c r="S170" s="273"/>
      <c r="T170" s="273"/>
      <c r="U170" s="273"/>
      <c r="V170" s="273"/>
      <c r="W170" s="273"/>
      <c r="X170" s="273"/>
      <c r="Y170" s="273"/>
      <c r="Z170" s="273"/>
    </row>
    <row r="171" spans="2:27" x14ac:dyDescent="0.35">
      <c r="B171" s="264" t="s">
        <v>262</v>
      </c>
      <c r="C171" s="274"/>
      <c r="D171" s="274"/>
      <c r="E171" s="274"/>
      <c r="F171" s="274"/>
      <c r="G171" s="274"/>
      <c r="H171" s="274"/>
      <c r="I171" s="274"/>
      <c r="J171" s="274"/>
      <c r="K171" s="274"/>
      <c r="L171" s="274"/>
      <c r="M171" s="274"/>
      <c r="N171" s="274"/>
      <c r="O171" s="274"/>
      <c r="P171" s="274"/>
      <c r="Q171" s="274"/>
      <c r="R171" s="274"/>
      <c r="S171" s="274"/>
      <c r="T171" s="274"/>
      <c r="U171" s="274"/>
      <c r="V171" s="274"/>
      <c r="W171" s="274"/>
      <c r="X171" s="274"/>
      <c r="Y171" s="274"/>
      <c r="Z171" s="274"/>
    </row>
    <row r="175" spans="2:27" x14ac:dyDescent="0.35">
      <c r="B175" s="275"/>
    </row>
  </sheetData>
  <mergeCells count="2">
    <mergeCell ref="G4:I4"/>
    <mergeCell ref="B6:S6"/>
  </mergeCells>
  <hyperlinks>
    <hyperlink ref="B6:S6" location="'Índice Tablas'!A1" display="TABLA N°13:  INGRESO POR ARRIENDOS "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showGridLines="0" workbookViewId="0">
      <selection activeCell="A30" sqref="A30"/>
    </sheetView>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U307"/>
  <sheetViews>
    <sheetView showGridLines="0" tabSelected="1" topLeftCell="H8" zoomScale="67" zoomScaleNormal="55" workbookViewId="0">
      <selection activeCell="G29" sqref="G29"/>
    </sheetView>
  </sheetViews>
  <sheetFormatPr baseColWidth="10" defaultRowHeight="14.5" x14ac:dyDescent="0.35"/>
  <cols>
    <col min="1" max="1" width="36.26953125" style="5" customWidth="1"/>
    <col min="2" max="2" width="24.54296875" style="5" customWidth="1"/>
    <col min="3" max="5" width="17.7265625" style="5" customWidth="1"/>
    <col min="6" max="6" width="20.7265625" style="5" customWidth="1"/>
    <col min="7" max="12" width="17.7265625" style="5" customWidth="1"/>
    <col min="13" max="13" width="22.81640625" style="5" customWidth="1"/>
    <col min="14" max="15" width="17.7265625" style="5" customWidth="1"/>
    <col min="16" max="16" width="17.7265625" customWidth="1"/>
    <col min="17" max="17" width="15" bestFit="1" customWidth="1"/>
    <col min="20" max="20" width="15" bestFit="1" customWidth="1"/>
  </cols>
  <sheetData>
    <row r="1" spans="1:17" x14ac:dyDescent="0.35">
      <c r="A1" s="1"/>
      <c r="B1" s="2"/>
      <c r="C1" s="2"/>
      <c r="D1" s="2"/>
      <c r="E1" s="3"/>
      <c r="F1" s="2"/>
      <c r="G1" s="2"/>
      <c r="H1" s="2"/>
      <c r="I1" s="2"/>
      <c r="J1" s="2"/>
      <c r="K1" s="2"/>
      <c r="L1" s="2"/>
      <c r="M1" s="2"/>
      <c r="N1" s="2"/>
      <c r="O1" s="2"/>
    </row>
    <row r="2" spans="1:17" x14ac:dyDescent="0.35">
      <c r="A2" s="4"/>
      <c r="B2" s="2"/>
      <c r="C2" s="2"/>
      <c r="D2" s="2"/>
      <c r="E2" s="3" t="s">
        <v>0</v>
      </c>
      <c r="F2" s="2"/>
      <c r="G2" s="2"/>
      <c r="H2" s="2"/>
      <c r="I2" s="2"/>
      <c r="J2" s="2"/>
      <c r="K2" s="2"/>
      <c r="L2" s="2"/>
      <c r="M2" s="2"/>
      <c r="N2" s="2"/>
      <c r="O2" s="2"/>
    </row>
    <row r="3" spans="1:17" x14ac:dyDescent="0.35">
      <c r="B3" s="2"/>
      <c r="C3" s="2"/>
      <c r="D3" s="2"/>
      <c r="E3" s="2"/>
      <c r="F3" s="2"/>
      <c r="G3" s="2"/>
      <c r="H3" s="2"/>
      <c r="I3" s="2"/>
      <c r="J3" s="2"/>
      <c r="K3" s="2"/>
      <c r="L3" s="2"/>
      <c r="M3" s="2"/>
      <c r="N3" s="2"/>
      <c r="O3" s="2"/>
    </row>
    <row r="4" spans="1:17" ht="15.5" x14ac:dyDescent="0.35">
      <c r="B4" s="6"/>
      <c r="C4" s="2732" t="s">
        <v>1</v>
      </c>
      <c r="D4" s="2732"/>
      <c r="E4" s="2733" t="s">
        <v>34</v>
      </c>
      <c r="F4" s="2734"/>
      <c r="G4" s="2"/>
      <c r="H4" s="2"/>
      <c r="I4" s="2"/>
      <c r="J4" s="7"/>
      <c r="K4" s="2"/>
      <c r="L4" s="2"/>
      <c r="M4" s="2"/>
      <c r="N4" s="2"/>
      <c r="O4" s="2"/>
    </row>
    <row r="5" spans="1:17" x14ac:dyDescent="0.35">
      <c r="F5" s="8"/>
      <c r="G5" s="8"/>
      <c r="H5" s="2"/>
      <c r="I5" s="2"/>
      <c r="J5" s="7"/>
      <c r="K5" s="2"/>
      <c r="L5" s="2"/>
      <c r="M5" s="2"/>
      <c r="N5" s="2"/>
      <c r="O5" s="2"/>
    </row>
    <row r="6" spans="1:17" x14ac:dyDescent="0.35">
      <c r="A6" s="2735" t="s">
        <v>2</v>
      </c>
      <c r="B6" s="2735"/>
      <c r="C6" s="2735"/>
      <c r="D6" s="2735"/>
      <c r="F6" s="8"/>
      <c r="G6" s="8"/>
      <c r="H6" s="2"/>
      <c r="I6" s="2"/>
      <c r="J6" s="7"/>
      <c r="K6" s="2"/>
      <c r="L6" s="2"/>
      <c r="M6" s="2"/>
      <c r="N6" s="2"/>
      <c r="O6" s="2"/>
    </row>
    <row r="7" spans="1:17" ht="15" thickBot="1" x14ac:dyDescent="0.4">
      <c r="B7" s="2"/>
      <c r="C7" s="2"/>
      <c r="E7" s="2"/>
      <c r="F7" s="2"/>
      <c r="G7" s="2"/>
      <c r="H7" s="2"/>
      <c r="K7" s="9"/>
    </row>
    <row r="8" spans="1:17" ht="54.75" customHeight="1" x14ac:dyDescent="0.35">
      <c r="A8" s="681" t="s">
        <v>3</v>
      </c>
      <c r="B8" s="682" t="s">
        <v>4</v>
      </c>
      <c r="C8" s="682" t="s">
        <v>5</v>
      </c>
      <c r="D8" s="682" t="s">
        <v>367</v>
      </c>
      <c r="E8" s="682" t="s">
        <v>6</v>
      </c>
      <c r="F8" s="683" t="s">
        <v>7</v>
      </c>
      <c r="G8" s="683" t="s">
        <v>8</v>
      </c>
      <c r="H8" s="683" t="s">
        <v>9</v>
      </c>
      <c r="I8" s="683" t="s">
        <v>10</v>
      </c>
      <c r="J8" s="683" t="s">
        <v>11</v>
      </c>
      <c r="K8" s="684" t="s">
        <v>12</v>
      </c>
      <c r="L8" s="684" t="s">
        <v>13</v>
      </c>
      <c r="M8" s="684" t="s">
        <v>14</v>
      </c>
      <c r="N8" s="685" t="s">
        <v>15</v>
      </c>
      <c r="O8" s="686" t="s">
        <v>16</v>
      </c>
      <c r="P8" s="687" t="s">
        <v>17</v>
      </c>
    </row>
    <row r="9" spans="1:17" x14ac:dyDescent="0.35">
      <c r="A9" s="688" t="str">
        <f>+'B) Reajuste Tarifas y Ocupación'!A12</f>
        <v>C. H. Mare Nostrum</v>
      </c>
      <c r="B9" s="664">
        <f>+I65</f>
        <v>167313400</v>
      </c>
      <c r="C9" s="664">
        <f>+H65</f>
        <v>34050200</v>
      </c>
      <c r="D9" s="695"/>
      <c r="E9" s="667">
        <f>SUM(B9:D9)</f>
        <v>201363600</v>
      </c>
      <c r="F9" s="689">
        <f>+'C) Costos Directos'!H12</f>
        <v>70913676.537999988</v>
      </c>
      <c r="G9" s="689">
        <f>+'C) Costos Directos'!H27+'C) Costos Directos'!H28+'C) Costos Directos'!H29+'C) Costos Directos'!H30+'C) Costos Directos'!H31+'C) Costos Directos'!H32+'C) Costos Directos'!H33+'C) Costos Directos'!H46+'C) Costos Directos'!H53+'C) Costos Directos'!H23+'C) Costos Directos'!H47</f>
        <v>49332674.365999997</v>
      </c>
      <c r="H9" s="689">
        <f>+'C) Costos Directos'!H68</f>
        <v>0</v>
      </c>
      <c r="I9" s="689">
        <f>'C) Costos Directos'!H25+'C) Costos Directos'!H74</f>
        <v>2096367</v>
      </c>
      <c r="J9" s="689">
        <f>+'C) Costos Directos'!H80-F9-G9-H9-I9</f>
        <v>37281903.350000024</v>
      </c>
      <c r="K9" s="689">
        <f t="shared" ref="K9:K21" si="0">SUM(F9:J9)</f>
        <v>159624621.25400001</v>
      </c>
      <c r="L9" s="689">
        <f>IFERROR(+'D) Costos Indirectos '!$AN$15*P9,0)</f>
        <v>30811868.968863059</v>
      </c>
      <c r="M9" s="690">
        <f>+K9+L9</f>
        <v>190436490.22286308</v>
      </c>
      <c r="N9" s="678">
        <f t="shared" ref="N9:N21" si="1">E9-M9</f>
        <v>10927109.777136922</v>
      </c>
      <c r="O9" s="667">
        <f>E9-K9</f>
        <v>41738978.745999992</v>
      </c>
      <c r="P9" s="2611">
        <v>0.16133720286345141</v>
      </c>
      <c r="Q9" s="1639"/>
    </row>
    <row r="10" spans="1:17" x14ac:dyDescent="0.35">
      <c r="A10" s="688" t="str">
        <f>+'B) Reajuste Tarifas y Ocupación'!A22</f>
        <v>Cabañas Punta Osas</v>
      </c>
      <c r="B10" s="664">
        <f>+I84</f>
        <v>142888300</v>
      </c>
      <c r="C10" s="664">
        <f>+H84</f>
        <v>39282300</v>
      </c>
      <c r="D10" s="665"/>
      <c r="E10" s="667">
        <f t="shared" ref="E10:E21" si="2">SUM(B10:D10)</f>
        <v>182170600</v>
      </c>
      <c r="F10" s="689">
        <f>+'C) Costos Directos'!H84</f>
        <v>86385596.340000004</v>
      </c>
      <c r="G10" s="689">
        <f>+'C) Costos Directos'!H99+'C) Costos Directos'!H100+'C) Costos Directos'!H101+'C) Costos Directos'!H103+'C) Costos Directos'!H104+'C) Costos Directos'!H105+'C) Costos Directos'!H118+'C) Costos Directos'!H125+'C) Costos Directos'!H95+'C) Costos Directos'!H102+'C) Costos Directos'!H119</f>
        <v>41277298</v>
      </c>
      <c r="H10" s="689">
        <f>+'C) Costos Directos'!H140</f>
        <v>0</v>
      </c>
      <c r="I10" s="689">
        <f>'C) Costos Directos'!H97+'C) Costos Directos'!H146</f>
        <v>5969250</v>
      </c>
      <c r="J10" s="689">
        <f>+'C) Costos Directos'!H152-F10-G10-H10-I10</f>
        <v>22338937</v>
      </c>
      <c r="K10" s="689">
        <f t="shared" si="0"/>
        <v>155971081.34</v>
      </c>
      <c r="L10" s="689">
        <f>IFERROR(+'D) Costos Indirectos '!$AN$15*P10,0)</f>
        <v>30520711.645171896</v>
      </c>
      <c r="M10" s="690">
        <f t="shared" ref="M10:M21" si="3">+K10+L10</f>
        <v>186491792.98517191</v>
      </c>
      <c r="N10" s="678">
        <f t="shared" si="1"/>
        <v>-4321192.9851719141</v>
      </c>
      <c r="O10" s="667">
        <f t="shared" ref="O10:O21" si="4">E10-K10</f>
        <v>26199518.659999996</v>
      </c>
      <c r="P10" s="2611">
        <v>0.15981264399151116</v>
      </c>
      <c r="Q10" s="1639"/>
    </row>
    <row r="11" spans="1:17" x14ac:dyDescent="0.35">
      <c r="A11" s="688" t="str">
        <f>+'B) Reajuste Tarifas y Ocupación'!A28</f>
        <v>C.R. Los Maitenes</v>
      </c>
      <c r="B11" s="664">
        <f>+I139</f>
        <v>82009200</v>
      </c>
      <c r="C11" s="664">
        <f>+H139</f>
        <v>25299600</v>
      </c>
      <c r="D11" s="665"/>
      <c r="E11" s="667">
        <f t="shared" si="2"/>
        <v>107308800</v>
      </c>
      <c r="F11" s="664">
        <f>+'C) Costos Directos'!H156</f>
        <v>41320991.442193955</v>
      </c>
      <c r="G11" s="689">
        <f>+'C) Costos Directos'!H171+'C) Costos Directos'!H172+'C) Costos Directos'!H173+'C) Costos Directos'!H174+'C) Costos Directos'!H175+'C) Costos Directos'!H176+'C) Costos Directos'!H177+'C) Costos Directos'!H190+'C) Costos Directos'!H197+'C) Costos Directos'!H167+'C) Costos Directos'!H191</f>
        <v>28621307.649999999</v>
      </c>
      <c r="H11" s="689">
        <f>+'C) Costos Directos'!H212</f>
        <v>0</v>
      </c>
      <c r="I11" s="689">
        <f>'C) Costos Directos'!H169+'C) Costos Directos'!H218</f>
        <v>2698500</v>
      </c>
      <c r="J11" s="689">
        <f>+'C) Costos Directos'!H224-F11-G11-H11-I11</f>
        <v>14619759.000000007</v>
      </c>
      <c r="K11" s="689">
        <f t="shared" si="0"/>
        <v>87260558.092193961</v>
      </c>
      <c r="L11" s="689">
        <f>IFERROR(+'D) Costos Indirectos '!$AN$15*P11,0)</f>
        <v>17563384.422432769</v>
      </c>
      <c r="M11" s="690">
        <f t="shared" si="3"/>
        <v>104823942.51462673</v>
      </c>
      <c r="N11" s="678">
        <f t="shared" si="1"/>
        <v>2484857.4853732735</v>
      </c>
      <c r="O11" s="667">
        <f t="shared" si="4"/>
        <v>20048241.907806039</v>
      </c>
      <c r="P11" s="2611">
        <v>9.1965447418796323E-2</v>
      </c>
      <c r="Q11" s="1639"/>
    </row>
    <row r="12" spans="1:17" x14ac:dyDescent="0.35">
      <c r="A12" s="691" t="str">
        <f>+'B) Reajuste Tarifas y Ocupación'!A45</f>
        <v>Piscina C.R. Los Maitenes (Alto)</v>
      </c>
      <c r="B12" s="664">
        <f>+I146</f>
        <v>0</v>
      </c>
      <c r="C12" s="665"/>
      <c r="D12" s="665"/>
      <c r="E12" s="667">
        <f t="shared" si="2"/>
        <v>0</v>
      </c>
      <c r="F12" s="692">
        <f>+'C) Costos Directos'!H228</f>
        <v>9592067.9012216665</v>
      </c>
      <c r="G12" s="692">
        <f>+'C) Costos Directos'!H246+'C) Costos Directos'!H243+'C) Costos Directos'!H244+'C) Costos Directos'!H245+'C) Costos Directos'!H239+'C) Costos Directos'!H247+'C) Costos Directos'!H248+'C) Costos Directos'!H249+'C) Costos Directos'!H262+'C) Costos Directos'!H263+'C) Costos Directos'!H269+'C) Costos Directos'!H240</f>
        <v>11168785</v>
      </c>
      <c r="H12" s="692">
        <f>+'C) Costos Directos'!H284</f>
        <v>0</v>
      </c>
      <c r="I12" s="692">
        <f>'C) Costos Directos'!H241+'C) Costos Directos'!H290</f>
        <v>0</v>
      </c>
      <c r="J12" s="692">
        <f>+'C) Costos Directos'!H296-F12-G12-H12-I12</f>
        <v>210798</v>
      </c>
      <c r="K12" s="692">
        <f>SUM(F12:J12)</f>
        <v>20971650.901221666</v>
      </c>
      <c r="L12" s="692">
        <f>IFERROR(+'D) Costos Indirectos '!$AN$15*P12,0)</f>
        <v>0</v>
      </c>
      <c r="M12" s="679">
        <f>+K12+L12</f>
        <v>20971650.901221666</v>
      </c>
      <c r="N12" s="679">
        <f t="shared" si="1"/>
        <v>-20971650.901221666</v>
      </c>
      <c r="O12" s="667">
        <f t="shared" si="4"/>
        <v>-20971650.901221666</v>
      </c>
      <c r="P12" s="2611">
        <v>0</v>
      </c>
      <c r="Q12" s="1639"/>
    </row>
    <row r="13" spans="1:17" x14ac:dyDescent="0.35">
      <c r="A13" s="691" t="str">
        <f>+'B) Reajuste Tarifas y Ocupación'!A47</f>
        <v>Piscina C.R. Los Maitenes (Bajo)</v>
      </c>
      <c r="B13" s="664">
        <f>+I153</f>
        <v>0</v>
      </c>
      <c r="C13" s="665"/>
      <c r="D13" s="665"/>
      <c r="E13" s="667">
        <f t="shared" si="2"/>
        <v>0</v>
      </c>
      <c r="F13" s="692">
        <f>+'C) Costos Directos'!H300</f>
        <v>9592067.9012216665</v>
      </c>
      <c r="G13" s="692">
        <f>+'C) Costos Directos'!H311+'C) Costos Directos'!H315+'C) Costos Directos'!H316+'C) Costos Directos'!H317+'C) Costos Directos'!H318+'C) Costos Directos'!H319+'C) Costos Directos'!H320+'C) Costos Directos'!H321+'C) Costos Directos'!H334+'C) Costos Directos'!H335+'C) Costos Directos'!H341+'C) Costos Directos'!H312</f>
        <v>15027986</v>
      </c>
      <c r="H13" s="692">
        <f>+'C) Costos Directos'!H356</f>
        <v>0</v>
      </c>
      <c r="I13" s="692">
        <f>'C) Costos Directos'!H313+'C) Costos Directos'!H362</f>
        <v>0</v>
      </c>
      <c r="J13" s="692">
        <f>+'C) Costos Directos'!H368-F13-G13-H13-I13</f>
        <v>210798</v>
      </c>
      <c r="K13" s="692">
        <f t="shared" si="0"/>
        <v>24830851.901221666</v>
      </c>
      <c r="L13" s="692">
        <f>IFERROR(+'D) Costos Indirectos '!$AN$15*P13,0)</f>
        <v>0</v>
      </c>
      <c r="M13" s="679">
        <f t="shared" si="3"/>
        <v>24830851.901221666</v>
      </c>
      <c r="N13" s="679">
        <f t="shared" si="1"/>
        <v>-24830851.901221666</v>
      </c>
      <c r="O13" s="667">
        <f t="shared" si="4"/>
        <v>-24830851.901221666</v>
      </c>
      <c r="P13" s="2611">
        <v>0</v>
      </c>
      <c r="Q13" s="1639"/>
    </row>
    <row r="14" spans="1:17" x14ac:dyDescent="0.35">
      <c r="A14" s="688" t="str">
        <f>+'B) Reajuste Tarifas y Ocupación'!A49</f>
        <v>C. R. Las Salinas</v>
      </c>
      <c r="B14" s="664">
        <f>+I196</f>
        <v>85614500</v>
      </c>
      <c r="C14" s="664">
        <f>+H196</f>
        <v>5586000</v>
      </c>
      <c r="D14" s="665"/>
      <c r="E14" s="667">
        <f t="shared" si="2"/>
        <v>91200500</v>
      </c>
      <c r="F14" s="664">
        <f>+'C) Costos Directos'!H372</f>
        <v>28345453.990241721</v>
      </c>
      <c r="G14" s="689">
        <f>+'C) Costos Directos'!H387+'C) Costos Directos'!H388+'C) Costos Directos'!H389+'C) Costos Directos'!H390+'C) Costos Directos'!H391+'C) Costos Directos'!H392+'C) Costos Directos'!H413+'C) Costos Directos'!H383+'C) Costos Directos'!H393+'C) Costos Directos'!H406</f>
        <v>22547347.300000001</v>
      </c>
      <c r="H14" s="689">
        <f>+'C) Costos Directos'!H428</f>
        <v>0</v>
      </c>
      <c r="I14" s="689">
        <f>'C) Costos Directos'!H385+'C) Costos Directos'!H434</f>
        <v>14490000</v>
      </c>
      <c r="J14" s="689">
        <f>+'C) Costos Directos'!H440-F14-G14-H14-I14</f>
        <v>2409812.9999999963</v>
      </c>
      <c r="K14" s="689">
        <f>SUM(F14:J14)</f>
        <v>67792614.290241718</v>
      </c>
      <c r="L14" s="689">
        <f>IFERROR(+'D) Costos Indirectos '!$AN$15*P14,0)</f>
        <v>9865194.7915409431</v>
      </c>
      <c r="M14" s="690">
        <f>+K14+L14</f>
        <v>77657809.081782669</v>
      </c>
      <c r="N14" s="678">
        <f t="shared" si="1"/>
        <v>13542690.918217331</v>
      </c>
      <c r="O14" s="667">
        <f>E14-K14</f>
        <v>23407885.709758282</v>
      </c>
      <c r="P14" s="2611">
        <v>5.1656163246011473E-2</v>
      </c>
      <c r="Q14" s="1639"/>
    </row>
    <row r="15" spans="1:17" x14ac:dyDescent="0.35">
      <c r="A15" s="691" t="str">
        <f>+'B) Reajuste Tarifas y Ocupación'!A63</f>
        <v>Piscina C.R. Las Salinas</v>
      </c>
      <c r="B15" s="664">
        <f>+I203</f>
        <v>0</v>
      </c>
      <c r="C15" s="665"/>
      <c r="D15" s="665"/>
      <c r="E15" s="667">
        <f t="shared" si="2"/>
        <v>0</v>
      </c>
      <c r="F15" s="692">
        <f>+'C) Costos Directos'!H444</f>
        <v>10929945.53738945</v>
      </c>
      <c r="G15" s="692">
        <f>+'C) Costos Directos'!H459+'C) Costos Directos'!H460+'C) Costos Directos'!H456+'C) Costos Directos'!H455+'C) Costos Directos'!H461+'C) Costos Directos'!H462+'C) Costos Directos'!H463+'C) Costos Directos'!H464+'C) Costos Directos'!H465+'C) Costos Directos'!H478+'C) Costos Directos'!H479+'C) Costos Directos'!H485</f>
        <v>20153250</v>
      </c>
      <c r="H15" s="692">
        <f>+'C) Costos Directos'!H500</f>
        <v>0</v>
      </c>
      <c r="I15" s="692">
        <f>'C) Costos Directos'!H457+'C) Costos Directos'!H506</f>
        <v>0</v>
      </c>
      <c r="J15" s="692">
        <f>+'C) Costos Directos'!H512-F15-G15-H15-I15</f>
        <v>295407</v>
      </c>
      <c r="K15" s="692">
        <f t="shared" si="0"/>
        <v>31378602.53738945</v>
      </c>
      <c r="L15" s="692">
        <f>IFERROR(+'D) Costos Indirectos '!$AN$15*P15,0)</f>
        <v>0</v>
      </c>
      <c r="M15" s="679">
        <f t="shared" si="3"/>
        <v>31378602.53738945</v>
      </c>
      <c r="N15" s="679">
        <f t="shared" si="1"/>
        <v>-31378602.53738945</v>
      </c>
      <c r="O15" s="667">
        <f t="shared" si="4"/>
        <v>-31378602.53738945</v>
      </c>
      <c r="P15" s="2611">
        <v>0</v>
      </c>
      <c r="Q15" s="1639"/>
    </row>
    <row r="16" spans="1:17" x14ac:dyDescent="0.35">
      <c r="A16" s="688" t="str">
        <f>+'B) Reajuste Tarifas y Ocupación'!A65</f>
        <v>C. R. Ralunco</v>
      </c>
      <c r="B16" s="664">
        <f>+I222</f>
        <v>113939600</v>
      </c>
      <c r="C16" s="664">
        <f>+H222</f>
        <v>35711200</v>
      </c>
      <c r="D16" s="665"/>
      <c r="E16" s="667">
        <f>SUM(B16:D16)</f>
        <v>149650800</v>
      </c>
      <c r="F16" s="664">
        <f>+'C) Costos Directos'!H516</f>
        <v>36830110.181718796</v>
      </c>
      <c r="G16" s="689">
        <f>+'C) Costos Directos'!H531+'C) Costos Directos'!H532+'C) Costos Directos'!H533+'C) Costos Directos'!H535+'C) Costos Directos'!H536+'C) Costos Directos'!H537+'C) Costos Directos'!H557+'C) Costos Directos'!H527+'C) Costos Directos'!H534+'C) Costos Directos'!H550+'C) Costos Directos'!H551</f>
        <v>26523685</v>
      </c>
      <c r="H16" s="689">
        <f>+'C) Costos Directos'!H572</f>
        <v>0</v>
      </c>
      <c r="I16" s="689">
        <f>'C) Costos Directos'!H529+'C) Costos Directos'!H578</f>
        <v>3692640</v>
      </c>
      <c r="J16" s="689">
        <f>+'C) Costos Directos'!H584-F16-G16-H16-I16</f>
        <v>21946823</v>
      </c>
      <c r="K16" s="689">
        <f t="shared" si="0"/>
        <v>88993258.181718796</v>
      </c>
      <c r="L16" s="689">
        <f>IFERROR(+'D) Costos Indirectos '!$AN$15*P16,0)</f>
        <v>14720350.816669561</v>
      </c>
      <c r="M16" s="690">
        <f t="shared" si="3"/>
        <v>103713608.99838835</v>
      </c>
      <c r="N16" s="678">
        <f t="shared" si="1"/>
        <v>45937191.00161165</v>
      </c>
      <c r="O16" s="667">
        <f>E16-K16</f>
        <v>60657541.818281204</v>
      </c>
      <c r="P16" s="2611">
        <v>7.707874612637701E-2</v>
      </c>
      <c r="Q16" s="1639"/>
    </row>
    <row r="17" spans="1:21" x14ac:dyDescent="0.35">
      <c r="A17" s="691" t="str">
        <f>+'B) Reajuste Tarifas y Ocupación'!A71</f>
        <v>Piscina C.R. Ralunco</v>
      </c>
      <c r="B17" s="665"/>
      <c r="C17" s="665"/>
      <c r="D17" s="665"/>
      <c r="E17" s="665"/>
      <c r="F17" s="692">
        <f>+'C) Costos Directos'!H588</f>
        <v>9308595.5222609527</v>
      </c>
      <c r="G17" s="692">
        <f>+'C) Costos Directos'!H600+'C) Costos Directos'!H603+'C) Costos Directos'!H604+'C) Costos Directos'!H599+'C) Costos Directos'!H605+'C) Costos Directos'!H606+'C) Costos Directos'!H607+'C) Costos Directos'!H608+'C) Costos Directos'!H609+'C) Costos Directos'!H622+'C) Costos Directos'!H623+'C) Costos Directos'!H629</f>
        <v>12270177</v>
      </c>
      <c r="H17" s="692">
        <f>+'C) Costos Directos'!H644</f>
        <v>0</v>
      </c>
      <c r="I17" s="692">
        <f>'C) Costos Directos'!H601+'C) Costos Directos'!H650</f>
        <v>0</v>
      </c>
      <c r="J17" s="692">
        <f>+'C) Costos Directos'!H656-F17-G17-H17-I17</f>
        <v>249000</v>
      </c>
      <c r="K17" s="692">
        <f t="shared" si="0"/>
        <v>21827772.522260953</v>
      </c>
      <c r="L17" s="692">
        <f>IFERROR(+'D) Costos Indirectos '!$AN$15*P17,0)</f>
        <v>0</v>
      </c>
      <c r="M17" s="679">
        <f t="shared" si="3"/>
        <v>21827772.522260953</v>
      </c>
      <c r="N17" s="679">
        <f t="shared" si="1"/>
        <v>-21827772.522260953</v>
      </c>
      <c r="O17" s="667">
        <f t="shared" si="4"/>
        <v>-21827772.522260953</v>
      </c>
      <c r="P17" s="2611">
        <v>0</v>
      </c>
      <c r="Q17" s="1639"/>
    </row>
    <row r="18" spans="1:21" x14ac:dyDescent="0.35">
      <c r="A18" s="688" t="str">
        <f>+'B) Reajuste Tarifas y Ocupación'!A73</f>
        <v>C. H. Las Salinas</v>
      </c>
      <c r="B18" s="664">
        <f>I251</f>
        <v>120680900</v>
      </c>
      <c r="C18" s="664">
        <f>+H251</f>
        <v>35061500</v>
      </c>
      <c r="D18" s="695"/>
      <c r="E18" s="667">
        <f t="shared" si="2"/>
        <v>155742400</v>
      </c>
      <c r="F18" s="664">
        <f>+'C) Costos Directos'!H660</f>
        <v>90853478.459999979</v>
      </c>
      <c r="G18" s="689">
        <f>+'C) Costos Directos'!H675+'C) Costos Directos'!H676+'C) Costos Directos'!H677+'C) Costos Directos'!H678+'C) Costos Directos'!H679+'C) Costos Directos'!H681+'C) Costos Directos'!H694+'C) Costos Directos'!H701+'C) Costos Directos'!H671+'C) Costos Directos'!H680+'C) Costos Directos'!H695</f>
        <v>30470038</v>
      </c>
      <c r="H18" s="689">
        <f>+'C) Costos Directos'!H716</f>
        <v>0</v>
      </c>
      <c r="I18" s="689">
        <f>'C) Costos Directos'!H673+'C) Costos Directos'!H722</f>
        <v>8874000</v>
      </c>
      <c r="J18" s="689">
        <f>+'C) Costos Directos'!H728-F18-G18-H18-I18</f>
        <v>26477289</v>
      </c>
      <c r="K18" s="689">
        <f t="shared" si="0"/>
        <v>156674805.45999998</v>
      </c>
      <c r="L18" s="689">
        <f>IFERROR(+'D) Costos Indirectos '!$AN$15*P18,0)</f>
        <v>27561003.138749342</v>
      </c>
      <c r="M18" s="690">
        <f t="shared" si="3"/>
        <v>184235808.59874931</v>
      </c>
      <c r="N18" s="678">
        <f t="shared" si="1"/>
        <v>-28493408.59874931</v>
      </c>
      <c r="O18" s="667">
        <f>E18-K18</f>
        <v>-932405.45999997854</v>
      </c>
      <c r="P18" s="2611">
        <v>0.14431500922615734</v>
      </c>
      <c r="Q18" s="1639"/>
    </row>
    <row r="19" spans="1:21" x14ac:dyDescent="0.35">
      <c r="A19" s="688" t="str">
        <f>+'B) Reajuste Tarifas y Ocupación'!A80</f>
        <v>Cabanas Papudo</v>
      </c>
      <c r="B19" s="664">
        <f>+I276</f>
        <v>65342000</v>
      </c>
      <c r="C19" s="664">
        <f>+H276</f>
        <v>30410400</v>
      </c>
      <c r="D19" s="665"/>
      <c r="E19" s="667">
        <f t="shared" si="2"/>
        <v>95752400</v>
      </c>
      <c r="F19" s="664">
        <f>+'C) Costos Directos'!H732</f>
        <v>62519852.184034988</v>
      </c>
      <c r="G19" s="689">
        <f>+'C) Costos Directos'!H747+'C) Costos Directos'!H748+'C) Costos Directos'!H749+'C) Costos Directos'!H751+'C) Costos Directos'!H766+'C) Costos Directos'!H773+'C) Costos Directos'!H743+'C) Costos Directos'!H750+'C) Costos Directos'!H752+'C) Costos Directos'!H753+'C) Costos Directos'!H767</f>
        <v>24565176.550000001</v>
      </c>
      <c r="H19" s="689">
        <f>+'C) Costos Directos'!H788</f>
        <v>0</v>
      </c>
      <c r="I19" s="689">
        <f>'C) Costos Directos'!H745+'C) Costos Directos'!H794</f>
        <v>1501500</v>
      </c>
      <c r="J19" s="689">
        <f>+'C) Costos Directos'!H800-F19-G19-H19-I19</f>
        <v>15771270.84999999</v>
      </c>
      <c r="K19" s="689">
        <f t="shared" si="0"/>
        <v>104357799.58403498</v>
      </c>
      <c r="L19" s="689">
        <f>IFERROR(+'D) Costos Indirectos '!$AN$15*P19,0)</f>
        <v>20549740.075690191</v>
      </c>
      <c r="M19" s="690">
        <f>+K19+L19</f>
        <v>124907539.65972517</v>
      </c>
      <c r="N19" s="678">
        <f t="shared" si="1"/>
        <v>-29155139.659725174</v>
      </c>
      <c r="O19" s="667">
        <f t="shared" si="4"/>
        <v>-8605399.5840349793</v>
      </c>
      <c r="P19" s="2611">
        <v>0.10760261205619308</v>
      </c>
      <c r="Q19" s="1639"/>
    </row>
    <row r="20" spans="1:21" x14ac:dyDescent="0.35">
      <c r="A20" s="688" t="str">
        <f>+'B) Reajuste Tarifas y Ocupación'!A88</f>
        <v>Residencia Universitaria Recreo</v>
      </c>
      <c r="B20" s="664">
        <f>+I283</f>
        <v>26512900</v>
      </c>
      <c r="C20" s="664"/>
      <c r="D20" s="665"/>
      <c r="E20" s="667">
        <f t="shared" si="2"/>
        <v>26512900</v>
      </c>
      <c r="F20" s="689">
        <f>+'C) Costos Directos'!H804</f>
        <v>0</v>
      </c>
      <c r="G20" s="689">
        <f>+'C) Costos Directos'!H819+'C) Costos Directos'!H820+'C) Costos Directos'!H821+'C) Costos Directos'!H825+'C) Costos Directos'!H838+'C) Costos Directos'!H845+'C) Costos Directos'!H815+'C) Costos Directos'!H822+'C) Costos Directos'!H823+'C) Costos Directos'!H824+'C) Costos Directos'!H839</f>
        <v>4690534</v>
      </c>
      <c r="H20" s="689">
        <f>+'C) Costos Directos'!H860</f>
        <v>0</v>
      </c>
      <c r="I20" s="689">
        <f>'C) Costos Directos'!H817+'C) Costos Directos'!H866</f>
        <v>4095000</v>
      </c>
      <c r="J20" s="689">
        <f>+'C) Costos Directos'!H872-F20-G20-H20-I20</f>
        <v>2533650</v>
      </c>
      <c r="K20" s="689">
        <f t="shared" si="0"/>
        <v>11319184</v>
      </c>
      <c r="L20" s="689">
        <f>IFERROR(+'D) Costos Indirectos '!$AN$15*P20,0)</f>
        <v>2558095.4031506078</v>
      </c>
      <c r="M20" s="690">
        <f t="shared" si="3"/>
        <v>13877279.403150607</v>
      </c>
      <c r="N20" s="678">
        <f t="shared" si="1"/>
        <v>12635620.596849393</v>
      </c>
      <c r="O20" s="667">
        <f t="shared" si="4"/>
        <v>15193716</v>
      </c>
      <c r="P20" s="2611">
        <v>1.3394707001358546E-2</v>
      </c>
      <c r="Q20" s="1639"/>
    </row>
    <row r="21" spans="1:21" x14ac:dyDescent="0.35">
      <c r="A21" s="688" t="str">
        <f>+'B) Reajuste Tarifas y Ocupación'!A90</f>
        <v>Residencia Universitaria Las Salinas</v>
      </c>
      <c r="B21" s="664">
        <f>+I299</f>
        <v>11535300</v>
      </c>
      <c r="C21" s="664">
        <f>+H299</f>
        <v>1728900</v>
      </c>
      <c r="D21" s="665"/>
      <c r="E21" s="667">
        <f t="shared" si="2"/>
        <v>13264200</v>
      </c>
      <c r="F21" s="689">
        <f>+'C) Costos Directos'!H876</f>
        <v>0</v>
      </c>
      <c r="G21" s="689">
        <f>+'C) Costos Directos'!H891+'C) Costos Directos'!H892+'C) Costos Directos'!H893+'C) Costos Directos'!H910+'C) Costos Directos'!H917+'C) Costos Directos'!H897+'C) Costos Directos'!H887+'C) Costos Directos'!H894+'C) Costos Directos'!H895+'C) Costos Directos'!H896+'C) Costos Directos'!H911</f>
        <v>818833.05</v>
      </c>
      <c r="H21" s="689">
        <f>+'C) Costos Directos'!H932</f>
        <v>0</v>
      </c>
      <c r="I21" s="689">
        <f>'C) Costos Directos'!H889+'C) Costos Directos'!H938</f>
        <v>577500</v>
      </c>
      <c r="J21" s="689">
        <f>+'C) Costos Directos'!H944-F21-G21-H21-I21</f>
        <v>2963100</v>
      </c>
      <c r="K21" s="689">
        <f t="shared" si="0"/>
        <v>4359433.05</v>
      </c>
      <c r="L21" s="689">
        <f>IFERROR(+'D) Costos Indirectos '!$AN$15*P21,0)</f>
        <v>1757502.0983008649</v>
      </c>
      <c r="M21" s="690">
        <f t="shared" si="3"/>
        <v>6116935.1483008647</v>
      </c>
      <c r="N21" s="678">
        <f t="shared" si="1"/>
        <v>7147264.8516991353</v>
      </c>
      <c r="O21" s="667">
        <f t="shared" si="4"/>
        <v>8904766.9499999993</v>
      </c>
      <c r="P21" s="2611">
        <v>9.2026378812999025E-3</v>
      </c>
      <c r="Q21" s="1639"/>
    </row>
    <row r="22" spans="1:21" x14ac:dyDescent="0.35">
      <c r="A22" s="688" t="str">
        <f>+'B) Reajuste Tarifas y Ocupación'!A95</f>
        <v>Vista Mar</v>
      </c>
      <c r="B22" s="664">
        <f>I303</f>
        <v>127570600</v>
      </c>
      <c r="C22" s="664">
        <f>H303</f>
        <v>0</v>
      </c>
      <c r="D22" s="665"/>
      <c r="E22" s="667">
        <f>SUM(B22:D22)</f>
        <v>127570600</v>
      </c>
      <c r="F22" s="693">
        <f>'C) Costos Directos'!H948</f>
        <v>108390066.54000001</v>
      </c>
      <c r="G22" s="693">
        <f>+'C) Costos Directos'!H959+'C) Costos Directos'!H963+'C) Costos Directos'!H964+'C) Costos Directos'!H965+'C) Costos Directos'!H966+'C) Costos Directos'!H967+'C) Costos Directos'!H968+'C) Costos Directos'!H969+'C) Costos Directos'!H982+'C) Costos Directos'!H983+'C) Costos Directos'!H989</f>
        <v>33862772.710000001</v>
      </c>
      <c r="H22" s="693">
        <f>'C) Costos Directos'!H1004</f>
        <v>0</v>
      </c>
      <c r="I22" s="693">
        <f>'C) Costos Directos'!H961+'C) Costos Directos'!H1010</f>
        <v>4733245.7287499998</v>
      </c>
      <c r="J22" s="693">
        <f>'C) Costos Directos'!H1016-F22-G22-H22-I22</f>
        <v>29495198.796380028</v>
      </c>
      <c r="K22" s="693">
        <f>SUM(F22:J22)</f>
        <v>176481283.77513003</v>
      </c>
      <c r="L22" s="693">
        <f>IFERROR(+'D) Costos Indirectos '!$AN$15*P22,0)</f>
        <v>32466273.319117505</v>
      </c>
      <c r="M22" s="690">
        <f>+K22+L22</f>
        <v>208947557.09424755</v>
      </c>
      <c r="N22" s="678">
        <f>E22-M22</f>
        <v>-81376957.09424755</v>
      </c>
      <c r="O22" s="667">
        <f>E22-K22</f>
        <v>-48910683.775130033</v>
      </c>
      <c r="P22" s="2611">
        <v>0.17</v>
      </c>
      <c r="Q22" s="1639"/>
    </row>
    <row r="23" spans="1:21" x14ac:dyDescent="0.35">
      <c r="A23" s="688" t="str">
        <f>+'B) Reajuste Tarifas y Ocupación'!A96</f>
        <v>Cabaña Isla de Pascua</v>
      </c>
      <c r="B23" s="664">
        <f>I306</f>
        <v>8060700</v>
      </c>
      <c r="C23" s="758">
        <f>H306</f>
        <v>3363300</v>
      </c>
      <c r="D23" s="759"/>
      <c r="E23" s="667">
        <f>SUM(B23:D23)</f>
        <v>11424000</v>
      </c>
      <c r="F23" s="693">
        <f>'C) Costos Directos'!H1021</f>
        <v>0</v>
      </c>
      <c r="G23" s="693">
        <f>'C) Costos Directos'!H1031+'C) Costos Directos'!H1035+'C) Costos Directos'!H1036+'C) Costos Directos'!H1037+'C) Costos Directos'!H1038+'C) Costos Directos'!H1039+'C) Costos Directos'!H1040+'C) Costos Directos'!H1041+'C) Costos Directos'!H1054+'C) Costos Directos'!H1055+'C) Costos Directos'!H1061</f>
        <v>1579814</v>
      </c>
      <c r="H23" s="760">
        <f>'C) Costos Directos'!H1076</f>
        <v>0</v>
      </c>
      <c r="I23" s="693">
        <f>'C) Costos Directos'!H962+'C) Costos Directos'!H1011</f>
        <v>1476026.6564999998</v>
      </c>
      <c r="J23" s="693">
        <f>'C) Costos Directos'!H1088-F23-G23-H23-I23</f>
        <v>6518603.5935000004</v>
      </c>
      <c r="K23" s="693">
        <f>SUM(F23:J23)</f>
        <v>9574444.25</v>
      </c>
      <c r="L23" s="693">
        <f>IFERROR(+'D) Costos Indirectos '!$AN$15*P23,0)</f>
        <v>1909780.7834775001</v>
      </c>
      <c r="M23" s="690">
        <f>+K23+L23</f>
        <v>11484225.0334775</v>
      </c>
      <c r="N23" s="678">
        <f>E23-M23</f>
        <v>-60225.033477500081</v>
      </c>
      <c r="O23" s="667">
        <f>E23-K23</f>
        <v>1849555.75</v>
      </c>
      <c r="P23" s="2611">
        <v>0.01</v>
      </c>
      <c r="Q23" s="1639"/>
    </row>
    <row r="24" spans="1:21" ht="15" thickBot="1" x14ac:dyDescent="0.4">
      <c r="A24" s="495" t="s">
        <v>18</v>
      </c>
      <c r="B24" s="666">
        <f t="shared" ref="B24:O24" si="5">SUM(B9:B23)</f>
        <v>951467400</v>
      </c>
      <c r="C24" s="666">
        <f t="shared" si="5"/>
        <v>210493400</v>
      </c>
      <c r="D24" s="666">
        <f t="shared" si="5"/>
        <v>0</v>
      </c>
      <c r="E24" s="666">
        <f t="shared" si="5"/>
        <v>1161960800</v>
      </c>
      <c r="F24" s="666">
        <f t="shared" si="5"/>
        <v>564981902.53828323</v>
      </c>
      <c r="G24" s="666">
        <f t="shared" si="5"/>
        <v>322909678.62599999</v>
      </c>
      <c r="H24" s="666">
        <f t="shared" si="5"/>
        <v>0</v>
      </c>
      <c r="I24" s="666">
        <f t="shared" si="5"/>
        <v>50204029.385249995</v>
      </c>
      <c r="J24" s="666">
        <f t="shared" si="5"/>
        <v>183322350.58988002</v>
      </c>
      <c r="K24" s="666">
        <f t="shared" si="5"/>
        <v>1121417961.1394131</v>
      </c>
      <c r="L24" s="666">
        <f t="shared" si="5"/>
        <v>190283905.46316427</v>
      </c>
      <c r="M24" s="666">
        <f>SUM(M9:M23)</f>
        <v>1311701866.6025777</v>
      </c>
      <c r="N24" s="666">
        <f t="shared" si="5"/>
        <v>-149741066.60257745</v>
      </c>
      <c r="O24" s="666">
        <f t="shared" si="5"/>
        <v>40542838.860586792</v>
      </c>
      <c r="P24" s="2611">
        <f>SUM(P9:P23)</f>
        <v>0.9963651698111563</v>
      </c>
      <c r="Q24" s="306"/>
    </row>
    <row r="25" spans="1:21" ht="15" thickBot="1" x14ac:dyDescent="0.4">
      <c r="A25" s="10"/>
      <c r="B25" s="10"/>
      <c r="C25" s="11"/>
      <c r="D25" s="11"/>
      <c r="E25" s="11"/>
      <c r="F25" s="11"/>
      <c r="G25" s="11"/>
      <c r="H25" s="11"/>
      <c r="I25" s="11"/>
      <c r="J25" s="11"/>
      <c r="K25" s="11"/>
      <c r="M25" s="680" t="s">
        <v>353</v>
      </c>
      <c r="N25" s="694">
        <f>N24/E24</f>
        <v>-0.12886929283894727</v>
      </c>
      <c r="O25" s="694">
        <f>O24/E24</f>
        <v>3.4891744076553009E-2</v>
      </c>
      <c r="P25" s="2611"/>
    </row>
    <row r="26" spans="1:21" x14ac:dyDescent="0.35">
      <c r="A26" s="10"/>
      <c r="B26" s="10"/>
      <c r="C26" s="10"/>
      <c r="D26" s="11"/>
      <c r="E26" s="11"/>
      <c r="F26" s="11"/>
      <c r="G26" s="11"/>
      <c r="H26" s="2"/>
      <c r="I26" s="2"/>
      <c r="J26" s="635"/>
      <c r="O26" s="2"/>
    </row>
    <row r="27" spans="1:21" x14ac:dyDescent="0.35">
      <c r="A27" s="10"/>
      <c r="B27" s="10"/>
      <c r="C27" s="10"/>
      <c r="D27" s="11"/>
      <c r="E27" s="11"/>
      <c r="F27" s="11"/>
      <c r="G27" s="11"/>
      <c r="H27" s="2"/>
      <c r="I27" s="2"/>
      <c r="J27" s="2"/>
      <c r="O27" s="2"/>
    </row>
    <row r="28" spans="1:21" x14ac:dyDescent="0.35">
      <c r="A28" s="10"/>
      <c r="B28" s="10"/>
      <c r="C28" s="10"/>
      <c r="D28" s="11"/>
      <c r="E28" s="11"/>
      <c r="F28" s="11"/>
      <c r="G28" s="11"/>
      <c r="H28" s="11"/>
      <c r="I28" s="11"/>
      <c r="J28" s="11"/>
      <c r="M28" s="676" t="s">
        <v>514</v>
      </c>
      <c r="N28" s="1638">
        <v>104000000</v>
      </c>
      <c r="O28" s="1638">
        <v>104000000</v>
      </c>
      <c r="T28" s="306"/>
      <c r="U28" s="303"/>
    </row>
    <row r="29" spans="1:21" ht="42.75" customHeight="1" x14ac:dyDescent="0.35">
      <c r="A29" s="10"/>
      <c r="B29" s="10"/>
      <c r="C29" s="10"/>
      <c r="D29" s="11"/>
      <c r="E29" s="11"/>
      <c r="F29" s="11"/>
      <c r="G29" s="11"/>
      <c r="H29" s="11"/>
      <c r="I29" s="11"/>
      <c r="J29" s="11"/>
      <c r="M29" s="676" t="s">
        <v>19</v>
      </c>
      <c r="N29" s="677">
        <f>N24+N28</f>
        <v>-45741066.602577448</v>
      </c>
      <c r="O29" s="677">
        <f>O24+O28</f>
        <v>144542838.86058679</v>
      </c>
      <c r="T29" s="306"/>
      <c r="U29" s="303"/>
    </row>
    <row r="30" spans="1:21" x14ac:dyDescent="0.35">
      <c r="A30" s="10"/>
      <c r="B30" s="10"/>
      <c r="C30" s="10"/>
      <c r="D30" s="11"/>
      <c r="E30" s="11"/>
      <c r="F30" s="11"/>
      <c r="G30" s="11"/>
      <c r="H30" s="11"/>
      <c r="I30" s="11"/>
      <c r="J30" s="11"/>
      <c r="K30" s="11"/>
      <c r="L30" s="11"/>
      <c r="M30" s="2"/>
      <c r="N30" s="2"/>
      <c r="T30" s="306"/>
    </row>
    <row r="31" spans="1:21" x14ac:dyDescent="0.35">
      <c r="A31" s="2735" t="s">
        <v>20</v>
      </c>
      <c r="B31" s="2735"/>
      <c r="C31" s="2735"/>
      <c r="D31" s="2735"/>
      <c r="E31" s="11"/>
      <c r="F31" s="11"/>
      <c r="G31" s="11"/>
      <c r="H31" s="11"/>
      <c r="I31" s="11"/>
      <c r="J31" s="11"/>
      <c r="K31" s="11"/>
      <c r="L31" s="11"/>
      <c r="M31" s="2"/>
      <c r="N31" s="2"/>
    </row>
    <row r="32" spans="1:21" ht="15" thickBot="1" x14ac:dyDescent="0.4">
      <c r="A32" s="2"/>
      <c r="B32" s="2"/>
      <c r="C32" s="2"/>
      <c r="D32" s="2"/>
      <c r="E32" s="2"/>
      <c r="F32" s="2"/>
      <c r="G32" s="2"/>
      <c r="H32" s="13"/>
      <c r="I32" s="13"/>
      <c r="J32" s="7"/>
      <c r="K32" s="7"/>
      <c r="L32" s="2"/>
      <c r="M32" s="14"/>
      <c r="N32" s="2"/>
    </row>
    <row r="33" spans="1:14" ht="15.5" x14ac:dyDescent="0.35">
      <c r="A33" s="2736" t="s">
        <v>21</v>
      </c>
      <c r="B33" s="2738" t="s">
        <v>22</v>
      </c>
      <c r="C33" s="2740" t="s">
        <v>23</v>
      </c>
      <c r="D33" s="2742" t="s">
        <v>520</v>
      </c>
      <c r="E33" s="2742"/>
      <c r="F33" s="2742"/>
      <c r="G33" s="2742"/>
      <c r="H33" s="2743" t="s">
        <v>24</v>
      </c>
      <c r="I33" s="2745" t="s">
        <v>4</v>
      </c>
      <c r="J33" s="2752" t="s">
        <v>25</v>
      </c>
      <c r="K33" s="15"/>
      <c r="L33" s="16"/>
      <c r="M33" s="12"/>
      <c r="N33" s="12"/>
    </row>
    <row r="34" spans="1:14" ht="15" thickBot="1" x14ac:dyDescent="0.4">
      <c r="A34" s="2737"/>
      <c r="B34" s="2739"/>
      <c r="C34" s="2741"/>
      <c r="D34" s="17" t="s">
        <v>26</v>
      </c>
      <c r="E34" s="17" t="s">
        <v>27</v>
      </c>
      <c r="F34" s="17" t="s">
        <v>28</v>
      </c>
      <c r="G34" s="17" t="s">
        <v>29</v>
      </c>
      <c r="H34" s="2744"/>
      <c r="I34" s="2744"/>
      <c r="J34" s="2753"/>
      <c r="K34" s="18"/>
      <c r="L34" s="12"/>
      <c r="M34" s="12"/>
      <c r="N34" s="12"/>
    </row>
    <row r="35" spans="1:14" x14ac:dyDescent="0.35">
      <c r="A35" s="2746" t="str">
        <f>+'B) Reajuste Tarifas y Ocupación'!A12</f>
        <v>C. H. Mare Nostrum</v>
      </c>
      <c r="B35" s="2749" t="s">
        <v>42</v>
      </c>
      <c r="C35" s="19" t="s">
        <v>521</v>
      </c>
      <c r="D35" s="20">
        <f>+'B) Reajuste Tarifas y Ocupación'!J12</f>
        <v>58000</v>
      </c>
      <c r="E35" s="20">
        <f>+'B) Reajuste Tarifas y Ocupación'!K12</f>
        <v>89200</v>
      </c>
      <c r="F35" s="20">
        <f>+'B) Reajuste Tarifas y Ocupación'!L12</f>
        <v>98100</v>
      </c>
      <c r="G35" s="20">
        <f>+'B) Reajuste Tarifas y Ocupación'!M12</f>
        <v>111100</v>
      </c>
      <c r="H35" s="2750"/>
      <c r="I35" s="2750"/>
      <c r="J35" s="2763"/>
      <c r="K35" s="21"/>
    </row>
    <row r="36" spans="1:14" x14ac:dyDescent="0.35">
      <c r="A36" s="2747"/>
      <c r="B36" s="2691"/>
      <c r="C36" s="331" t="s">
        <v>30</v>
      </c>
      <c r="D36" s="23">
        <f>+'B) Reajuste Tarifas y Ocupación'!U12</f>
        <v>0</v>
      </c>
      <c r="E36" s="23">
        <f>+'B) Reajuste Tarifas y Ocupación'!V12</f>
        <v>12</v>
      </c>
      <c r="F36" s="23">
        <f>+'B) Reajuste Tarifas y Ocupación'!W12</f>
        <v>0</v>
      </c>
      <c r="G36" s="23">
        <f>+'B) Reajuste Tarifas y Ocupación'!X12</f>
        <v>0</v>
      </c>
      <c r="H36" s="2751"/>
      <c r="I36" s="2751"/>
      <c r="J36" s="2764"/>
      <c r="K36" s="24"/>
    </row>
    <row r="37" spans="1:14" ht="15" thickBot="1" x14ac:dyDescent="0.4">
      <c r="A37" s="2747"/>
      <c r="B37" s="2692"/>
      <c r="C37" s="333" t="s">
        <v>31</v>
      </c>
      <c r="D37" s="330">
        <f>D36*D35</f>
        <v>0</v>
      </c>
      <c r="E37" s="26">
        <f>E36*E35</f>
        <v>1070400</v>
      </c>
      <c r="F37" s="26">
        <f>F36*F35</f>
        <v>0</v>
      </c>
      <c r="G37" s="26">
        <f>G36*G35</f>
        <v>0</v>
      </c>
      <c r="H37" s="27">
        <f>(E35-D35)*D36</f>
        <v>0</v>
      </c>
      <c r="I37" s="27">
        <f>SUM(D37:G37)</f>
        <v>1070400</v>
      </c>
      <c r="J37" s="28">
        <f>H37+I37</f>
        <v>1070400</v>
      </c>
      <c r="K37" s="29"/>
    </row>
    <row r="38" spans="1:14" x14ac:dyDescent="0.35">
      <c r="A38" s="2747"/>
      <c r="B38" s="2722" t="s">
        <v>43</v>
      </c>
      <c r="C38" s="19" t="s">
        <v>521</v>
      </c>
      <c r="D38" s="342">
        <f>+'B) Reajuste Tarifas y Ocupación'!J13</f>
        <v>40000</v>
      </c>
      <c r="E38" s="30">
        <f>+'B) Reajuste Tarifas y Ocupación'!K13</f>
        <v>61500</v>
      </c>
      <c r="F38" s="30">
        <f>+'B) Reajuste Tarifas y Ocupación'!L13</f>
        <v>67700</v>
      </c>
      <c r="G38" s="30">
        <f>+'B) Reajuste Tarifas y Ocupación'!M13</f>
        <v>76800</v>
      </c>
      <c r="H38" s="2712"/>
      <c r="I38" s="2712"/>
      <c r="J38" s="2713"/>
      <c r="K38" s="21"/>
    </row>
    <row r="39" spans="1:14" x14ac:dyDescent="0.35">
      <c r="A39" s="2747"/>
      <c r="B39" s="2723"/>
      <c r="C39" s="337" t="s">
        <v>30</v>
      </c>
      <c r="D39" s="336">
        <f>+'B) Reajuste Tarifas y Ocupación'!U13</f>
        <v>398</v>
      </c>
      <c r="E39" s="31">
        <f>+'B) Reajuste Tarifas y Ocupación'!V13</f>
        <v>432</v>
      </c>
      <c r="F39" s="31">
        <f>+'B) Reajuste Tarifas y Ocupación'!W13</f>
        <v>152</v>
      </c>
      <c r="G39" s="31">
        <f>+'B) Reajuste Tarifas y Ocupación'!X13</f>
        <v>0</v>
      </c>
      <c r="H39" s="2696"/>
      <c r="I39" s="2696"/>
      <c r="J39" s="2697"/>
      <c r="K39" s="24"/>
    </row>
    <row r="40" spans="1:14" ht="15" thickBot="1" x14ac:dyDescent="0.4">
      <c r="A40" s="2747"/>
      <c r="B40" s="2692"/>
      <c r="C40" s="333" t="s">
        <v>31</v>
      </c>
      <c r="D40" s="330">
        <f>D39*D38</f>
        <v>15920000</v>
      </c>
      <c r="E40" s="26">
        <f>E39*E38</f>
        <v>26568000</v>
      </c>
      <c r="F40" s="26">
        <f>F39*F38</f>
        <v>10290400</v>
      </c>
      <c r="G40" s="26">
        <f>G39*G38</f>
        <v>0</v>
      </c>
      <c r="H40" s="27">
        <f>(E38-D38)*D39</f>
        <v>8557000</v>
      </c>
      <c r="I40" s="27">
        <f>SUM(D40:G40)</f>
        <v>52778400</v>
      </c>
      <c r="J40" s="28">
        <f>H40+I40</f>
        <v>61335400</v>
      </c>
      <c r="K40" s="29"/>
    </row>
    <row r="41" spans="1:14" x14ac:dyDescent="0.35">
      <c r="A41" s="2747"/>
      <c r="B41" s="2722" t="s">
        <v>44</v>
      </c>
      <c r="C41" s="19" t="s">
        <v>521</v>
      </c>
      <c r="D41" s="335">
        <f>+'B) Reajuste Tarifas y Ocupación'!J14</f>
        <v>54100</v>
      </c>
      <c r="E41" s="32">
        <f>+'B) Reajuste Tarifas y Ocupación'!K14</f>
        <v>83100</v>
      </c>
      <c r="F41" s="32">
        <f>+'B) Reajuste Tarifas y Ocupación'!L14</f>
        <v>91500</v>
      </c>
      <c r="G41" s="32">
        <f>+'B) Reajuste Tarifas y Ocupación'!M14</f>
        <v>103600</v>
      </c>
      <c r="H41" s="2696"/>
      <c r="I41" s="2696"/>
      <c r="J41" s="2697"/>
      <c r="K41" s="21"/>
    </row>
    <row r="42" spans="1:14" x14ac:dyDescent="0.35">
      <c r="A42" s="2747"/>
      <c r="B42" s="2723"/>
      <c r="C42" s="337" t="s">
        <v>30</v>
      </c>
      <c r="D42" s="336">
        <f>+'B) Reajuste Tarifas y Ocupación'!U14</f>
        <v>87</v>
      </c>
      <c r="E42" s="31">
        <f>+'B) Reajuste Tarifas y Ocupación'!V14</f>
        <v>91</v>
      </c>
      <c r="F42" s="31">
        <f>+'B) Reajuste Tarifas y Ocupación'!W14</f>
        <v>12</v>
      </c>
      <c r="G42" s="31">
        <f>+'B) Reajuste Tarifas y Ocupación'!X14</f>
        <v>0</v>
      </c>
      <c r="H42" s="2696"/>
      <c r="I42" s="2696"/>
      <c r="J42" s="2697"/>
      <c r="K42" s="24"/>
    </row>
    <row r="43" spans="1:14" ht="15" thickBot="1" x14ac:dyDescent="0.4">
      <c r="A43" s="2747"/>
      <c r="B43" s="2692"/>
      <c r="C43" s="333" t="s">
        <v>31</v>
      </c>
      <c r="D43" s="330">
        <f>D42*D41</f>
        <v>4706700</v>
      </c>
      <c r="E43" s="26">
        <f>E42*E41</f>
        <v>7562100</v>
      </c>
      <c r="F43" s="26">
        <f>F42*F41</f>
        <v>1098000</v>
      </c>
      <c r="G43" s="26">
        <f>G42*G41</f>
        <v>0</v>
      </c>
      <c r="H43" s="27">
        <f>(E41-D41)*D42</f>
        <v>2523000</v>
      </c>
      <c r="I43" s="27">
        <f>SUM(D43:G43)</f>
        <v>13366800</v>
      </c>
      <c r="J43" s="28">
        <f>H43+I43</f>
        <v>15889800</v>
      </c>
      <c r="K43" s="29"/>
    </row>
    <row r="44" spans="1:14" x14ac:dyDescent="0.35">
      <c r="A44" s="2747"/>
      <c r="B44" s="2722" t="s">
        <v>45</v>
      </c>
      <c r="C44" s="19" t="s">
        <v>521</v>
      </c>
      <c r="D44" s="335">
        <f>+'B) Reajuste Tarifas y Ocupación'!J15</f>
        <v>48900</v>
      </c>
      <c r="E44" s="32">
        <f>+'B) Reajuste Tarifas y Ocupación'!K15</f>
        <v>75100</v>
      </c>
      <c r="F44" s="32">
        <f>+'B) Reajuste Tarifas y Ocupación'!L15</f>
        <v>82500</v>
      </c>
      <c r="G44" s="32">
        <f>+'B) Reajuste Tarifas y Ocupación'!M15</f>
        <v>93600</v>
      </c>
      <c r="H44" s="2696"/>
      <c r="I44" s="2696"/>
      <c r="J44" s="2697"/>
      <c r="K44" s="21"/>
    </row>
    <row r="45" spans="1:14" x14ac:dyDescent="0.35">
      <c r="A45" s="2747"/>
      <c r="B45" s="2723"/>
      <c r="C45" s="337" t="s">
        <v>30</v>
      </c>
      <c r="D45" s="336">
        <f>+'B) Reajuste Tarifas y Ocupación'!U15</f>
        <v>861</v>
      </c>
      <c r="E45" s="31">
        <f>+'B) Reajuste Tarifas y Ocupación'!V15</f>
        <v>414</v>
      </c>
      <c r="F45" s="31">
        <f>+'B) Reajuste Tarifas y Ocupación'!W15</f>
        <v>310</v>
      </c>
      <c r="G45" s="31">
        <f>+'B) Reajuste Tarifas y Ocupación'!X15</f>
        <v>0</v>
      </c>
      <c r="H45" s="2696"/>
      <c r="I45" s="2696"/>
      <c r="J45" s="2697"/>
      <c r="K45" s="24"/>
    </row>
    <row r="46" spans="1:14" ht="15" thickBot="1" x14ac:dyDescent="0.4">
      <c r="A46" s="2747"/>
      <c r="B46" s="2692"/>
      <c r="C46" s="333" t="s">
        <v>31</v>
      </c>
      <c r="D46" s="330">
        <f>D45*D44</f>
        <v>42102900</v>
      </c>
      <c r="E46" s="26">
        <f>E45*E44</f>
        <v>31091400</v>
      </c>
      <c r="F46" s="26">
        <f>F45*F44</f>
        <v>25575000</v>
      </c>
      <c r="G46" s="26">
        <f>G45*G44</f>
        <v>0</v>
      </c>
      <c r="H46" s="27">
        <f>(E44-D44)*D45</f>
        <v>22558200</v>
      </c>
      <c r="I46" s="27">
        <f>SUM(D46:G46)</f>
        <v>98769300</v>
      </c>
      <c r="J46" s="28">
        <f>H46+I46</f>
        <v>121327500</v>
      </c>
      <c r="K46" s="29"/>
    </row>
    <row r="47" spans="1:14" x14ac:dyDescent="0.35">
      <c r="A47" s="2747"/>
      <c r="B47" s="2760" t="s">
        <v>351</v>
      </c>
      <c r="C47" s="19" t="s">
        <v>521</v>
      </c>
      <c r="D47" s="335">
        <f>+'B) Reajuste Tarifas y Ocupación'!J16</f>
        <v>19200</v>
      </c>
      <c r="E47" s="32">
        <f>+'B) Reajuste Tarifas y Ocupación'!K16</f>
        <v>29500</v>
      </c>
      <c r="F47" s="32"/>
      <c r="G47" s="32"/>
      <c r="H47" s="2696"/>
      <c r="I47" s="2696"/>
      <c r="J47" s="2697"/>
      <c r="K47" s="29"/>
    </row>
    <row r="48" spans="1:14" x14ac:dyDescent="0.35">
      <c r="A48" s="2747"/>
      <c r="B48" s="2761"/>
      <c r="C48" s="337" t="s">
        <v>30</v>
      </c>
      <c r="D48" s="336">
        <f>'B) Reajuste Tarifas y Ocupación'!U16</f>
        <v>40</v>
      </c>
      <c r="E48" s="31">
        <f>'B) Reajuste Tarifas y Ocupación'!V16</f>
        <v>19</v>
      </c>
      <c r="F48" s="31">
        <f>+'B) Reajuste Tarifas y Ocupación'!W18</f>
        <v>0</v>
      </c>
      <c r="G48" s="31">
        <f>+'B) Reajuste Tarifas y Ocupación'!X18</f>
        <v>0</v>
      </c>
      <c r="H48" s="2696"/>
      <c r="I48" s="2696"/>
      <c r="J48" s="2697"/>
      <c r="K48" s="29"/>
    </row>
    <row r="49" spans="1:11" x14ac:dyDescent="0.35">
      <c r="A49" s="2747"/>
      <c r="B49" s="2762"/>
      <c r="C49" s="333" t="s">
        <v>31</v>
      </c>
      <c r="D49" s="330">
        <f>D48*D47</f>
        <v>768000</v>
      </c>
      <c r="E49" s="26">
        <f>E48*E47</f>
        <v>560500</v>
      </c>
      <c r="F49" s="26">
        <f>F48*F47</f>
        <v>0</v>
      </c>
      <c r="G49" s="26">
        <f>G48*G47</f>
        <v>0</v>
      </c>
      <c r="H49" s="27">
        <f>(E47-D47)*D48</f>
        <v>412000</v>
      </c>
      <c r="I49" s="27">
        <f>SUM(D49:G49)</f>
        <v>1328500</v>
      </c>
      <c r="J49" s="28">
        <f>H49+I49</f>
        <v>1740500</v>
      </c>
      <c r="K49" s="29"/>
    </row>
    <row r="50" spans="1:11" x14ac:dyDescent="0.35">
      <c r="A50" s="2747"/>
      <c r="B50" s="2755" t="s">
        <v>46</v>
      </c>
      <c r="C50" s="2758"/>
      <c r="D50" s="2727"/>
      <c r="E50" s="2759"/>
      <c r="F50" s="2759"/>
      <c r="G50" s="2759"/>
      <c r="H50" s="2696"/>
      <c r="I50" s="2696"/>
      <c r="J50" s="2754"/>
      <c r="K50" s="21"/>
    </row>
    <row r="51" spans="1:11" x14ac:dyDescent="0.35">
      <c r="A51" s="2747"/>
      <c r="B51" s="2756"/>
      <c r="C51" s="2758"/>
      <c r="D51" s="2731"/>
      <c r="E51" s="2728"/>
      <c r="F51" s="2728"/>
      <c r="G51" s="2728"/>
      <c r="H51" s="2696"/>
      <c r="I51" s="2696"/>
      <c r="J51" s="2754"/>
      <c r="K51" s="24"/>
    </row>
    <row r="52" spans="1:11" ht="15" thickBot="1" x14ac:dyDescent="0.4">
      <c r="A52" s="2747"/>
      <c r="B52" s="2757"/>
      <c r="C52" s="338"/>
      <c r="D52" s="334"/>
      <c r="E52" s="33"/>
      <c r="F52" s="33"/>
      <c r="G52" s="33"/>
      <c r="H52" s="34"/>
      <c r="I52" s="34"/>
      <c r="J52" s="35"/>
      <c r="K52" s="29"/>
    </row>
    <row r="53" spans="1:11" x14ac:dyDescent="0.35">
      <c r="A53" s="2747"/>
      <c r="B53" s="2724" t="s">
        <v>42</v>
      </c>
      <c r="C53" s="19" t="s">
        <v>521</v>
      </c>
      <c r="D53" s="2727"/>
      <c r="E53" s="36">
        <f>+'B) Reajuste Tarifas y Ocupación'!K18</f>
        <v>26800</v>
      </c>
      <c r="F53" s="36">
        <f>+'B) Reajuste Tarifas y Ocupación'!L18</f>
        <v>29500</v>
      </c>
      <c r="G53" s="36">
        <f>+'B) Reajuste Tarifas y Ocupación'!M18</f>
        <v>33400</v>
      </c>
      <c r="H53" s="2696"/>
      <c r="I53" s="2696"/>
      <c r="J53" s="2697"/>
      <c r="K53" s="21"/>
    </row>
    <row r="54" spans="1:11" x14ac:dyDescent="0.35">
      <c r="A54" s="2747"/>
      <c r="B54" s="2729"/>
      <c r="C54" s="337" t="s">
        <v>30</v>
      </c>
      <c r="D54" s="2731"/>
      <c r="E54" s="23">
        <f>+'B) Reajuste Tarifas y Ocupación'!V18</f>
        <v>0</v>
      </c>
      <c r="F54" s="23">
        <f>+'B) Reajuste Tarifas y Ocupación'!W18</f>
        <v>0</v>
      </c>
      <c r="G54" s="23">
        <f>+'B) Reajuste Tarifas y Ocupación'!X18</f>
        <v>0</v>
      </c>
      <c r="H54" s="2696"/>
      <c r="I54" s="2696"/>
      <c r="J54" s="2697"/>
      <c r="K54" s="24"/>
    </row>
    <row r="55" spans="1:11" ht="15" thickBot="1" x14ac:dyDescent="0.4">
      <c r="A55" s="2747"/>
      <c r="B55" s="2730"/>
      <c r="C55" s="333" t="s">
        <v>31</v>
      </c>
      <c r="D55" s="334"/>
      <c r="E55" s="26">
        <f>E54*E53</f>
        <v>0</v>
      </c>
      <c r="F55" s="26">
        <f>F54*F53</f>
        <v>0</v>
      </c>
      <c r="G55" s="26">
        <f>G54*G53</f>
        <v>0</v>
      </c>
      <c r="H55" s="27">
        <f>(E53-D53)*D54</f>
        <v>0</v>
      </c>
      <c r="I55" s="27">
        <f>SUM(D55:G55)</f>
        <v>0</v>
      </c>
      <c r="J55" s="28">
        <f>H55+I55</f>
        <v>0</v>
      </c>
      <c r="K55" s="29"/>
    </row>
    <row r="56" spans="1:11" x14ac:dyDescent="0.35">
      <c r="A56" s="2747"/>
      <c r="B56" s="2724" t="s">
        <v>43</v>
      </c>
      <c r="C56" s="19" t="s">
        <v>521</v>
      </c>
      <c r="D56" s="2727"/>
      <c r="E56" s="32">
        <f>+'B) Reajuste Tarifas y Ocupación'!K19</f>
        <v>18500</v>
      </c>
      <c r="F56" s="32">
        <f>+'B) Reajuste Tarifas y Ocupación'!L19</f>
        <v>20400</v>
      </c>
      <c r="G56" s="32">
        <f>+'B) Reajuste Tarifas y Ocupación'!M19</f>
        <v>23100</v>
      </c>
      <c r="H56" s="2696"/>
      <c r="I56" s="2696"/>
      <c r="J56" s="2697"/>
      <c r="K56" s="21"/>
    </row>
    <row r="57" spans="1:11" x14ac:dyDescent="0.35">
      <c r="A57" s="2747"/>
      <c r="B57" s="2729"/>
      <c r="C57" s="337" t="s">
        <v>30</v>
      </c>
      <c r="D57" s="2731"/>
      <c r="E57" s="31">
        <f>+'B) Reajuste Tarifas y Ocupación'!V19</f>
        <v>0</v>
      </c>
      <c r="F57" s="31">
        <f>+'B) Reajuste Tarifas y Ocupación'!W19</f>
        <v>0</v>
      </c>
      <c r="G57" s="31">
        <f>+'B) Reajuste Tarifas y Ocupación'!X19</f>
        <v>0</v>
      </c>
      <c r="H57" s="2696"/>
      <c r="I57" s="2696"/>
      <c r="J57" s="2697"/>
      <c r="K57" s="24"/>
    </row>
    <row r="58" spans="1:11" ht="15" thickBot="1" x14ac:dyDescent="0.4">
      <c r="A58" s="2747"/>
      <c r="B58" s="2730"/>
      <c r="C58" s="333" t="s">
        <v>31</v>
      </c>
      <c r="D58" s="334"/>
      <c r="E58" s="26">
        <f>E57*E56</f>
        <v>0</v>
      </c>
      <c r="F58" s="26">
        <f>F57*F56</f>
        <v>0</v>
      </c>
      <c r="G58" s="26">
        <f>G57*G56</f>
        <v>0</v>
      </c>
      <c r="H58" s="27">
        <f>(E56-D56)*D57</f>
        <v>0</v>
      </c>
      <c r="I58" s="27">
        <f>SUM(D58:G58)</f>
        <v>0</v>
      </c>
      <c r="J58" s="28">
        <f>H58+I58</f>
        <v>0</v>
      </c>
      <c r="K58" s="29"/>
    </row>
    <row r="59" spans="1:11" x14ac:dyDescent="0.35">
      <c r="A59" s="2747"/>
      <c r="B59" s="2724" t="s">
        <v>44</v>
      </c>
      <c r="C59" s="19" t="s">
        <v>521</v>
      </c>
      <c r="D59" s="2727"/>
      <c r="E59" s="32">
        <f>+'B) Reajuste Tarifas y Ocupación'!K20</f>
        <v>25000</v>
      </c>
      <c r="F59" s="32">
        <f>+'B) Reajuste Tarifas y Ocupación'!L20</f>
        <v>27500</v>
      </c>
      <c r="G59" s="32">
        <f>+'B) Reajuste Tarifas y Ocupación'!M20</f>
        <v>31100</v>
      </c>
      <c r="H59" s="2696"/>
      <c r="I59" s="2696"/>
      <c r="J59" s="2697"/>
      <c r="K59" s="21"/>
    </row>
    <row r="60" spans="1:11" x14ac:dyDescent="0.35">
      <c r="A60" s="2747"/>
      <c r="B60" s="2729"/>
      <c r="C60" s="337" t="s">
        <v>30</v>
      </c>
      <c r="D60" s="2731"/>
      <c r="E60" s="31">
        <f>+'B) Reajuste Tarifas y Ocupación'!V20</f>
        <v>0</v>
      </c>
      <c r="F60" s="31">
        <f>+'B) Reajuste Tarifas y Ocupación'!W20</f>
        <v>0</v>
      </c>
      <c r="G60" s="31">
        <f>+'B) Reajuste Tarifas y Ocupación'!X20</f>
        <v>0</v>
      </c>
      <c r="H60" s="2696"/>
      <c r="I60" s="2696"/>
      <c r="J60" s="2697"/>
      <c r="K60" s="24"/>
    </row>
    <row r="61" spans="1:11" ht="15" thickBot="1" x14ac:dyDescent="0.4">
      <c r="A61" s="2747"/>
      <c r="B61" s="2730"/>
      <c r="C61" s="333" t="s">
        <v>31</v>
      </c>
      <c r="D61" s="334"/>
      <c r="E61" s="26">
        <f>E60*E59</f>
        <v>0</v>
      </c>
      <c r="F61" s="26">
        <f>F60*F59</f>
        <v>0</v>
      </c>
      <c r="G61" s="26">
        <f>G60*G59</f>
        <v>0</v>
      </c>
      <c r="H61" s="27">
        <f>(E59-D59)*D60</f>
        <v>0</v>
      </c>
      <c r="I61" s="27">
        <f>SUM(D61:G61)</f>
        <v>0</v>
      </c>
      <c r="J61" s="28">
        <f>H61+I61</f>
        <v>0</v>
      </c>
      <c r="K61" s="29"/>
    </row>
    <row r="62" spans="1:11" x14ac:dyDescent="0.35">
      <c r="A62" s="2747"/>
      <c r="B62" s="2724" t="s">
        <v>45</v>
      </c>
      <c r="C62" s="19" t="s">
        <v>521</v>
      </c>
      <c r="D62" s="2727"/>
      <c r="E62" s="32">
        <f>+'B) Reajuste Tarifas y Ocupación'!K21</f>
        <v>22600</v>
      </c>
      <c r="F62" s="32">
        <f>+'B) Reajuste Tarifas y Ocupación'!L21</f>
        <v>24800</v>
      </c>
      <c r="G62" s="32">
        <f>+'B) Reajuste Tarifas y Ocupación'!M21</f>
        <v>28100</v>
      </c>
      <c r="H62" s="2696"/>
      <c r="I62" s="2696"/>
      <c r="J62" s="2697"/>
      <c r="K62" s="21"/>
    </row>
    <row r="63" spans="1:11" x14ac:dyDescent="0.35">
      <c r="A63" s="2747"/>
      <c r="B63" s="2725"/>
      <c r="C63" s="345" t="s">
        <v>30</v>
      </c>
      <c r="D63" s="2728"/>
      <c r="E63" s="31">
        <f>+'B) Reajuste Tarifas y Ocupación'!V21</f>
        <v>0</v>
      </c>
      <c r="F63" s="31">
        <f>+'B) Reajuste Tarifas y Ocupación'!W21</f>
        <v>0</v>
      </c>
      <c r="G63" s="31">
        <f>+'B) Reajuste Tarifas y Ocupación'!X21</f>
        <v>0</v>
      </c>
      <c r="H63" s="2696"/>
      <c r="I63" s="2696"/>
      <c r="J63" s="2697"/>
      <c r="K63" s="24"/>
    </row>
    <row r="64" spans="1:11" x14ac:dyDescent="0.35">
      <c r="A64" s="2747"/>
      <c r="B64" s="2726"/>
      <c r="C64" s="25" t="s">
        <v>31</v>
      </c>
      <c r="D64" s="33"/>
      <c r="E64" s="26">
        <f>E63*E62</f>
        <v>0</v>
      </c>
      <c r="F64" s="26">
        <f>F63*F62</f>
        <v>0</v>
      </c>
      <c r="G64" s="26">
        <f>G63*G62</f>
        <v>0</v>
      </c>
      <c r="H64" s="27">
        <f>(E62-D62)*D63</f>
        <v>0</v>
      </c>
      <c r="I64" s="27">
        <f>SUM(D64:G64)</f>
        <v>0</v>
      </c>
      <c r="J64" s="28">
        <f>H64+I64</f>
        <v>0</v>
      </c>
      <c r="K64" s="29"/>
    </row>
    <row r="65" spans="1:11" ht="15" thickBot="1" x14ac:dyDescent="0.4">
      <c r="A65" s="2748"/>
      <c r="B65" s="2703" t="s">
        <v>32</v>
      </c>
      <c r="C65" s="2704"/>
      <c r="D65" s="37">
        <f>+D37+D40+D43+D46+D55+D58+D61+D64+D49</f>
        <v>63497600</v>
      </c>
      <c r="E65" s="37">
        <f t="shared" ref="E65:J65" si="6">+E37+E40+E43+E46+E55+E58+E61+E64+E49</f>
        <v>66852400</v>
      </c>
      <c r="F65" s="37">
        <f t="shared" si="6"/>
        <v>36963400</v>
      </c>
      <c r="G65" s="37">
        <f t="shared" si="6"/>
        <v>0</v>
      </c>
      <c r="H65" s="37">
        <f t="shared" si="6"/>
        <v>34050200</v>
      </c>
      <c r="I65" s="37">
        <f t="shared" si="6"/>
        <v>167313400</v>
      </c>
      <c r="J65" s="37">
        <f t="shared" si="6"/>
        <v>201363600</v>
      </c>
      <c r="K65" s="38"/>
    </row>
    <row r="66" spans="1:11" x14ac:dyDescent="0.35">
      <c r="A66" s="2746" t="str">
        <f>+'B) Reajuste Tarifas y Ocupación'!A22</f>
        <v>Cabañas Punta Osas</v>
      </c>
      <c r="B66" s="2749" t="s">
        <v>48</v>
      </c>
      <c r="C66" s="19" t="s">
        <v>521</v>
      </c>
      <c r="D66" s="39">
        <f>+'B) Reajuste Tarifas y Ocupación'!J22</f>
        <v>58900</v>
      </c>
      <c r="E66" s="39">
        <f>+'B) Reajuste Tarifas y Ocupación'!K22</f>
        <v>90500</v>
      </c>
      <c r="F66" s="39">
        <f>+'B) Reajuste Tarifas y Ocupación'!L22</f>
        <v>99500</v>
      </c>
      <c r="G66" s="39">
        <f>+'B) Reajuste Tarifas y Ocupación'!M22</f>
        <v>112800</v>
      </c>
      <c r="H66" s="2750"/>
      <c r="I66" s="2750"/>
      <c r="J66" s="2763"/>
    </row>
    <row r="67" spans="1:11" x14ac:dyDescent="0.35">
      <c r="A67" s="2747"/>
      <c r="B67" s="2691"/>
      <c r="C67" s="331" t="s">
        <v>30</v>
      </c>
      <c r="D67" s="23">
        <f>+'B) Reajuste Tarifas y Ocupación'!U22</f>
        <v>1048</v>
      </c>
      <c r="E67" s="23">
        <f>+'B) Reajuste Tarifas y Ocupación'!V22</f>
        <v>399</v>
      </c>
      <c r="F67" s="23">
        <f>+'B) Reajuste Tarifas y Ocupación'!W22</f>
        <v>234</v>
      </c>
      <c r="G67" s="23">
        <f>+'B) Reajuste Tarifas y Ocupación'!X22</f>
        <v>1</v>
      </c>
      <c r="H67" s="2751"/>
      <c r="I67" s="2751"/>
      <c r="J67" s="2764"/>
    </row>
    <row r="68" spans="1:11" ht="15" thickBot="1" x14ac:dyDescent="0.4">
      <c r="A68" s="2747"/>
      <c r="B68" s="2692"/>
      <c r="C68" s="333" t="s">
        <v>31</v>
      </c>
      <c r="D68" s="330">
        <f>D67*D66</f>
        <v>61727200</v>
      </c>
      <c r="E68" s="26">
        <f>E67*E66</f>
        <v>36109500</v>
      </c>
      <c r="F68" s="26">
        <f>F67*F66</f>
        <v>23283000</v>
      </c>
      <c r="G68" s="26">
        <f>G67*G66</f>
        <v>112800</v>
      </c>
      <c r="H68" s="27">
        <f>(E66-D66)*D67</f>
        <v>33116800</v>
      </c>
      <c r="I68" s="27">
        <f>SUM(D68:G68)</f>
        <v>121232500</v>
      </c>
      <c r="J68" s="28">
        <f>H68+I68</f>
        <v>154349300</v>
      </c>
    </row>
    <row r="69" spans="1:11" x14ac:dyDescent="0.35">
      <c r="A69" s="2747"/>
      <c r="B69" s="2722" t="s">
        <v>49</v>
      </c>
      <c r="C69" s="19" t="s">
        <v>521</v>
      </c>
      <c r="D69" s="342">
        <f>+'B) Reajuste Tarifas y Ocupación'!J23</f>
        <v>71700</v>
      </c>
      <c r="E69" s="30">
        <f>+'B) Reajuste Tarifas y Ocupación'!K23</f>
        <v>110200</v>
      </c>
      <c r="F69" s="30">
        <f>+'B) Reajuste Tarifas y Ocupación'!L23</f>
        <v>121200</v>
      </c>
      <c r="G69" s="30">
        <f>+'B) Reajuste Tarifas y Ocupación'!M23</f>
        <v>137300</v>
      </c>
      <c r="H69" s="2712"/>
      <c r="I69" s="2712"/>
      <c r="J69" s="2713"/>
    </row>
    <row r="70" spans="1:11" x14ac:dyDescent="0.35">
      <c r="A70" s="2747"/>
      <c r="B70" s="2723"/>
      <c r="C70" s="337" t="s">
        <v>30</v>
      </c>
      <c r="D70" s="340">
        <f>+'B) Reajuste Tarifas y Ocupación'!U23</f>
        <v>159</v>
      </c>
      <c r="E70" s="23">
        <f>+'B) Reajuste Tarifas y Ocupación'!V23</f>
        <v>45</v>
      </c>
      <c r="F70" s="23">
        <f>+'B) Reajuste Tarifas y Ocupación'!W23</f>
        <v>39</v>
      </c>
      <c r="G70" s="23">
        <f>+'B) Reajuste Tarifas y Ocupación'!X23</f>
        <v>0</v>
      </c>
      <c r="H70" s="2696"/>
      <c r="I70" s="2696"/>
      <c r="J70" s="2697"/>
    </row>
    <row r="71" spans="1:11" ht="15" thickBot="1" x14ac:dyDescent="0.4">
      <c r="A71" s="2747"/>
      <c r="B71" s="2692"/>
      <c r="C71" s="333" t="s">
        <v>31</v>
      </c>
      <c r="D71" s="330">
        <f>D70*D69</f>
        <v>11400300</v>
      </c>
      <c r="E71" s="26">
        <f>E70*E69</f>
        <v>4959000</v>
      </c>
      <c r="F71" s="26">
        <f>F70*F69</f>
        <v>4726800</v>
      </c>
      <c r="G71" s="26">
        <f>G70*G69</f>
        <v>0</v>
      </c>
      <c r="H71" s="27">
        <f>(E69-D69)*D70</f>
        <v>6121500</v>
      </c>
      <c r="I71" s="27">
        <f>SUM(D71:G71)</f>
        <v>21086100</v>
      </c>
      <c r="J71" s="28">
        <f>H71+I71</f>
        <v>27207600</v>
      </c>
    </row>
    <row r="72" spans="1:11" x14ac:dyDescent="0.35">
      <c r="A72" s="2747"/>
      <c r="B72" s="2722" t="s">
        <v>50</v>
      </c>
      <c r="C72" s="19" t="s">
        <v>521</v>
      </c>
      <c r="D72" s="342">
        <f>+'B) Reajuste Tarifas y Ocupación'!J24</f>
        <v>7500</v>
      </c>
      <c r="E72" s="30">
        <f>+'B) Reajuste Tarifas y Ocupación'!K24</f>
        <v>11500</v>
      </c>
      <c r="F72" s="30">
        <f>+'B) Reajuste Tarifas y Ocupación'!L24</f>
        <v>12700</v>
      </c>
      <c r="G72" s="30">
        <f>+'B) Reajuste Tarifas y Ocupación'!M24</f>
        <v>14400</v>
      </c>
      <c r="H72" s="2696"/>
      <c r="I72" s="2696"/>
      <c r="J72" s="2697"/>
    </row>
    <row r="73" spans="1:11" x14ac:dyDescent="0.35">
      <c r="A73" s="2747"/>
      <c r="B73" s="2723"/>
      <c r="C73" s="337" t="s">
        <v>30</v>
      </c>
      <c r="D73" s="340">
        <f>+'B) Reajuste Tarifas y Ocupación'!U24</f>
        <v>11</v>
      </c>
      <c r="E73" s="23">
        <f>+'B) Reajuste Tarifas y Ocupación'!V24</f>
        <v>6</v>
      </c>
      <c r="F73" s="23">
        <f>+'B) Reajuste Tarifas y Ocupación'!W24</f>
        <v>4</v>
      </c>
      <c r="G73" s="23">
        <f>+'B) Reajuste Tarifas y Ocupación'!X24</f>
        <v>0</v>
      </c>
      <c r="H73" s="2696"/>
      <c r="I73" s="2696"/>
      <c r="J73" s="2697"/>
    </row>
    <row r="74" spans="1:11" x14ac:dyDescent="0.35">
      <c r="A74" s="2747"/>
      <c r="B74" s="2692"/>
      <c r="C74" s="333" t="s">
        <v>31</v>
      </c>
      <c r="D74" s="330">
        <f>D73*D72</f>
        <v>82500</v>
      </c>
      <c r="E74" s="26">
        <f>E73*E72</f>
        <v>69000</v>
      </c>
      <c r="F74" s="26">
        <f>F73*F72</f>
        <v>50800</v>
      </c>
      <c r="G74" s="26">
        <f>G73*G72</f>
        <v>0</v>
      </c>
      <c r="H74" s="27">
        <f>(E72-D72)*D73</f>
        <v>44000</v>
      </c>
      <c r="I74" s="27">
        <f>SUM(D74:G74)</f>
        <v>202300</v>
      </c>
      <c r="J74" s="28">
        <f>H74+I74</f>
        <v>246300</v>
      </c>
    </row>
    <row r="75" spans="1:11" x14ac:dyDescent="0.35">
      <c r="A75" s="2747"/>
      <c r="B75" s="2755" t="s">
        <v>46</v>
      </c>
      <c r="C75" s="2765"/>
      <c r="D75" s="2710"/>
      <c r="E75" s="2771"/>
      <c r="F75" s="2771"/>
      <c r="G75" s="2771"/>
      <c r="H75" s="2767"/>
      <c r="I75" s="2767"/>
      <c r="J75" s="2769"/>
    </row>
    <row r="76" spans="1:11" x14ac:dyDescent="0.35">
      <c r="A76" s="2747"/>
      <c r="B76" s="2756"/>
      <c r="C76" s="2765"/>
      <c r="D76" s="2766"/>
      <c r="E76" s="2694"/>
      <c r="F76" s="2694"/>
      <c r="G76" s="2694"/>
      <c r="H76" s="2768"/>
      <c r="I76" s="2768"/>
      <c r="J76" s="2770"/>
    </row>
    <row r="77" spans="1:11" ht="15" thickBot="1" x14ac:dyDescent="0.4">
      <c r="A77" s="2747"/>
      <c r="B77" s="2757"/>
      <c r="C77" s="338"/>
      <c r="D77" s="334"/>
      <c r="E77" s="33"/>
      <c r="F77" s="33"/>
      <c r="G77" s="33"/>
      <c r="H77" s="34"/>
      <c r="I77" s="34"/>
      <c r="J77" s="35"/>
    </row>
    <row r="78" spans="1:11" x14ac:dyDescent="0.35">
      <c r="A78" s="2747"/>
      <c r="B78" s="2724" t="s">
        <v>51</v>
      </c>
      <c r="C78" s="19" t="s">
        <v>521</v>
      </c>
      <c r="D78" s="2710"/>
      <c r="E78" s="30">
        <f>+'B) Reajuste Tarifas y Ocupación'!K26</f>
        <v>27200</v>
      </c>
      <c r="F78" s="30">
        <f>+'B) Reajuste Tarifas y Ocupación'!L26</f>
        <v>29900</v>
      </c>
      <c r="G78" s="30">
        <f>+'B) Reajuste Tarifas y Ocupación'!M26</f>
        <v>33900</v>
      </c>
      <c r="H78" s="2696"/>
      <c r="I78" s="2696"/>
      <c r="J78" s="2697"/>
    </row>
    <row r="79" spans="1:11" x14ac:dyDescent="0.35">
      <c r="A79" s="2747"/>
      <c r="B79" s="2729"/>
      <c r="C79" s="337" t="s">
        <v>30</v>
      </c>
      <c r="D79" s="2766"/>
      <c r="E79" s="23">
        <f>+'B) Reajuste Tarifas y Ocupación'!V26</f>
        <v>4</v>
      </c>
      <c r="F79" s="23">
        <f>+'B) Reajuste Tarifas y Ocupación'!W26</f>
        <v>4</v>
      </c>
      <c r="G79" s="23">
        <f>+'B) Reajuste Tarifas y Ocupación'!X26</f>
        <v>0</v>
      </c>
      <c r="H79" s="2696"/>
      <c r="I79" s="2696"/>
      <c r="J79" s="2697"/>
    </row>
    <row r="80" spans="1:11" ht="15" thickBot="1" x14ac:dyDescent="0.4">
      <c r="A80" s="2747"/>
      <c r="B80" s="2730"/>
      <c r="C80" s="333" t="s">
        <v>31</v>
      </c>
      <c r="D80" s="334"/>
      <c r="E80" s="26">
        <f>E79*E78</f>
        <v>108800</v>
      </c>
      <c r="F80" s="26">
        <f>F79*F78</f>
        <v>119600</v>
      </c>
      <c r="G80" s="26">
        <f>G79*G78</f>
        <v>0</v>
      </c>
      <c r="H80" s="27">
        <f>(E78-D78)*D79</f>
        <v>0</v>
      </c>
      <c r="I80" s="27">
        <f>SUM(D80:G80)</f>
        <v>228400</v>
      </c>
      <c r="J80" s="28">
        <f>H80+I80</f>
        <v>228400</v>
      </c>
    </row>
    <row r="81" spans="1:10" x14ac:dyDescent="0.35">
      <c r="A81" s="2747"/>
      <c r="B81" s="2724" t="s">
        <v>52</v>
      </c>
      <c r="C81" s="19" t="s">
        <v>521</v>
      </c>
      <c r="D81" s="2710"/>
      <c r="E81" s="30">
        <f>+'B) Reajuste Tarifas y Ocupación'!K27</f>
        <v>33100</v>
      </c>
      <c r="F81" s="30">
        <f>+'B) Reajuste Tarifas y Ocupación'!L27</f>
        <v>36400</v>
      </c>
      <c r="G81" s="30">
        <f>+'B) Reajuste Tarifas y Ocupación'!M27</f>
        <v>41200</v>
      </c>
      <c r="H81" s="2696"/>
      <c r="I81" s="2696"/>
      <c r="J81" s="2697"/>
    </row>
    <row r="82" spans="1:10" x14ac:dyDescent="0.35">
      <c r="A82" s="2747"/>
      <c r="B82" s="2729"/>
      <c r="C82" s="337" t="s">
        <v>30</v>
      </c>
      <c r="D82" s="2766"/>
      <c r="E82" s="23">
        <f>+'B) Reajuste Tarifas y Ocupación'!V27</f>
        <v>2</v>
      </c>
      <c r="F82" s="23">
        <f>+'B) Reajuste Tarifas y Ocupación'!W27</f>
        <v>2</v>
      </c>
      <c r="G82" s="23">
        <f>+'B) Reajuste Tarifas y Ocupación'!X27</f>
        <v>0</v>
      </c>
      <c r="H82" s="2696"/>
      <c r="I82" s="2696"/>
      <c r="J82" s="2697"/>
    </row>
    <row r="83" spans="1:10" x14ac:dyDescent="0.35">
      <c r="A83" s="2747"/>
      <c r="B83" s="2726"/>
      <c r="C83" s="344" t="s">
        <v>31</v>
      </c>
      <c r="D83" s="33"/>
      <c r="E83" s="26">
        <f>E82*E81</f>
        <v>66200</v>
      </c>
      <c r="F83" s="26">
        <f>F82*F81</f>
        <v>72800</v>
      </c>
      <c r="G83" s="26">
        <f>G82*G81</f>
        <v>0</v>
      </c>
      <c r="H83" s="27">
        <f>(E81-D81)*D82</f>
        <v>0</v>
      </c>
      <c r="I83" s="27">
        <f>SUM(D83:G83)</f>
        <v>139000</v>
      </c>
      <c r="J83" s="28">
        <f>H83+I83</f>
        <v>139000</v>
      </c>
    </row>
    <row r="84" spans="1:10" ht="15" thickBot="1" x14ac:dyDescent="0.4">
      <c r="A84" s="2748"/>
      <c r="B84" s="2703" t="s">
        <v>32</v>
      </c>
      <c r="C84" s="2704"/>
      <c r="D84" s="37">
        <f>+D68+D71+D74+D77+D80+D83</f>
        <v>73210000</v>
      </c>
      <c r="E84" s="37">
        <f t="shared" ref="E84:J84" si="7">+E68+E71+E74+E77+E80+E83</f>
        <v>41312500</v>
      </c>
      <c r="F84" s="37">
        <f t="shared" si="7"/>
        <v>28253000</v>
      </c>
      <c r="G84" s="37">
        <f t="shared" si="7"/>
        <v>112800</v>
      </c>
      <c r="H84" s="37">
        <f t="shared" si="7"/>
        <v>39282300</v>
      </c>
      <c r="I84" s="37">
        <f t="shared" si="7"/>
        <v>142888300</v>
      </c>
      <c r="J84" s="37">
        <f t="shared" si="7"/>
        <v>182170600</v>
      </c>
    </row>
    <row r="85" spans="1:10" x14ac:dyDescent="0.35">
      <c r="A85" s="2746" t="str">
        <f>+'B) Reajuste Tarifas y Ocupación'!A28</f>
        <v>C.R. Los Maitenes</v>
      </c>
      <c r="B85" s="2749" t="s">
        <v>54</v>
      </c>
      <c r="C85" s="19" t="s">
        <v>521</v>
      </c>
      <c r="D85" s="39">
        <f>+'B) Reajuste Tarifas y Ocupación'!J28</f>
        <v>25500</v>
      </c>
      <c r="E85" s="39">
        <f>+'B) Reajuste Tarifas y Ocupación'!K28</f>
        <v>39100</v>
      </c>
      <c r="F85" s="39">
        <f>+'B) Reajuste Tarifas y Ocupación'!L28</f>
        <v>43100</v>
      </c>
      <c r="G85" s="39">
        <f>+'B) Reajuste Tarifas y Ocupación'!M28</f>
        <v>48900</v>
      </c>
      <c r="H85" s="2750"/>
      <c r="I85" s="2750"/>
      <c r="J85" s="2763"/>
    </row>
    <row r="86" spans="1:10" x14ac:dyDescent="0.35">
      <c r="A86" s="2747"/>
      <c r="B86" s="2691"/>
      <c r="C86" s="331" t="s">
        <v>30</v>
      </c>
      <c r="D86" s="23">
        <f>+'B) Reajuste Tarifas y Ocupación'!U28</f>
        <v>342</v>
      </c>
      <c r="E86" s="23">
        <f>+'B) Reajuste Tarifas y Ocupación'!V28</f>
        <v>89</v>
      </c>
      <c r="F86" s="23">
        <f>+'B) Reajuste Tarifas y Ocupación'!W28</f>
        <v>100</v>
      </c>
      <c r="G86" s="23">
        <f>+'B) Reajuste Tarifas y Ocupación'!X28</f>
        <v>0</v>
      </c>
      <c r="H86" s="2751"/>
      <c r="I86" s="2751"/>
      <c r="J86" s="2764"/>
    </row>
    <row r="87" spans="1:10" ht="15" thickBot="1" x14ac:dyDescent="0.4">
      <c r="A87" s="2747"/>
      <c r="B87" s="2692"/>
      <c r="C87" s="333" t="s">
        <v>31</v>
      </c>
      <c r="D87" s="330">
        <f>D86*D85</f>
        <v>8721000</v>
      </c>
      <c r="E87" s="26">
        <f>E86*E85</f>
        <v>3479900</v>
      </c>
      <c r="F87" s="26">
        <f>F86*F85</f>
        <v>4310000</v>
      </c>
      <c r="G87" s="26">
        <f>G86*G85</f>
        <v>0</v>
      </c>
      <c r="H87" s="27">
        <f>(E85-D85)*D86</f>
        <v>4651200</v>
      </c>
      <c r="I87" s="27">
        <f>SUM(D87:G87)</f>
        <v>16510900</v>
      </c>
      <c r="J87" s="28">
        <f>H87+I87</f>
        <v>21162100</v>
      </c>
    </row>
    <row r="88" spans="1:10" x14ac:dyDescent="0.35">
      <c r="A88" s="2747"/>
      <c r="B88" s="2722" t="s">
        <v>55</v>
      </c>
      <c r="C88" s="19" t="s">
        <v>521</v>
      </c>
      <c r="D88" s="342">
        <f>+'B) Reajuste Tarifas y Ocupación'!J29</f>
        <v>5200</v>
      </c>
      <c r="E88" s="30">
        <f>+'B) Reajuste Tarifas y Ocupación'!K29</f>
        <v>7900</v>
      </c>
      <c r="F88" s="30">
        <f>+'B) Reajuste Tarifas y Ocupación'!L29</f>
        <v>8700</v>
      </c>
      <c r="G88" s="30">
        <f>+'B) Reajuste Tarifas y Ocupación'!M29</f>
        <v>9800</v>
      </c>
      <c r="H88" s="2712"/>
      <c r="I88" s="2712"/>
      <c r="J88" s="2713"/>
    </row>
    <row r="89" spans="1:10" x14ac:dyDescent="0.35">
      <c r="A89" s="2747"/>
      <c r="B89" s="2723"/>
      <c r="C89" s="337" t="s">
        <v>30</v>
      </c>
      <c r="D89" s="336">
        <f>+'B) Reajuste Tarifas y Ocupación'!U29</f>
        <v>0</v>
      </c>
      <c r="E89" s="31">
        <f>+'B) Reajuste Tarifas y Ocupación'!V29</f>
        <v>0</v>
      </c>
      <c r="F89" s="31">
        <f>+'B) Reajuste Tarifas y Ocupación'!W29</f>
        <v>0</v>
      </c>
      <c r="G89" s="31">
        <f>+'B) Reajuste Tarifas y Ocupación'!X29</f>
        <v>0</v>
      </c>
      <c r="H89" s="2696"/>
      <c r="I89" s="2696"/>
      <c r="J89" s="2697"/>
    </row>
    <row r="90" spans="1:10" ht="15" thickBot="1" x14ac:dyDescent="0.4">
      <c r="A90" s="2747"/>
      <c r="B90" s="2692"/>
      <c r="C90" s="333" t="s">
        <v>31</v>
      </c>
      <c r="D90" s="330">
        <f>D89*D88</f>
        <v>0</v>
      </c>
      <c r="E90" s="26">
        <f>E89*E88</f>
        <v>0</v>
      </c>
      <c r="F90" s="26">
        <f>F89*F88</f>
        <v>0</v>
      </c>
      <c r="G90" s="26">
        <f>G89*G88</f>
        <v>0</v>
      </c>
      <c r="H90" s="27">
        <f>(E88-D88)*D89</f>
        <v>0</v>
      </c>
      <c r="I90" s="27">
        <f>SUM(D90:G90)</f>
        <v>0</v>
      </c>
      <c r="J90" s="28">
        <f>H90+I90</f>
        <v>0</v>
      </c>
    </row>
    <row r="91" spans="1:10" x14ac:dyDescent="0.35">
      <c r="A91" s="2747"/>
      <c r="B91" s="2772" t="s">
        <v>338</v>
      </c>
      <c r="C91" s="19" t="s">
        <v>521</v>
      </c>
      <c r="D91" s="342">
        <f>+'B) Reajuste Tarifas y Ocupación'!J31</f>
        <v>30200</v>
      </c>
      <c r="E91" s="30">
        <f>+'B) Reajuste Tarifas y Ocupación'!K31</f>
        <v>46400</v>
      </c>
      <c r="F91" s="30">
        <f>+'B) Reajuste Tarifas y Ocupación'!L31</f>
        <v>51000</v>
      </c>
      <c r="G91" s="30">
        <f>+'B) Reajuste Tarifas y Ocupación'!M31</f>
        <v>57800</v>
      </c>
      <c r="H91" s="2712"/>
      <c r="I91" s="2712"/>
      <c r="J91" s="2713"/>
    </row>
    <row r="92" spans="1:10" x14ac:dyDescent="0.35">
      <c r="A92" s="2747"/>
      <c r="B92" s="2761"/>
      <c r="C92" s="337" t="s">
        <v>30</v>
      </c>
      <c r="D92" s="336">
        <f>+'B) Reajuste Tarifas y Ocupación'!U31</f>
        <v>232</v>
      </c>
      <c r="E92" s="31">
        <f>+'B) Reajuste Tarifas y Ocupación'!V31</f>
        <v>36</v>
      </c>
      <c r="F92" s="31">
        <f>+'B) Reajuste Tarifas y Ocupación'!W31</f>
        <v>28</v>
      </c>
      <c r="G92" s="31">
        <f>+'B) Reajuste Tarifas y Ocupación'!X31</f>
        <v>0</v>
      </c>
      <c r="H92" s="2696"/>
      <c r="I92" s="2696"/>
      <c r="J92" s="2697"/>
    </row>
    <row r="93" spans="1:10" ht="15" thickBot="1" x14ac:dyDescent="0.4">
      <c r="A93" s="2747"/>
      <c r="B93" s="2762"/>
      <c r="C93" s="333" t="s">
        <v>31</v>
      </c>
      <c r="D93" s="330">
        <f>D92*D91</f>
        <v>7006400</v>
      </c>
      <c r="E93" s="26">
        <f>E92*E91</f>
        <v>1670400</v>
      </c>
      <c r="F93" s="26">
        <f>F92*F91</f>
        <v>1428000</v>
      </c>
      <c r="G93" s="26">
        <f>G92*G91</f>
        <v>0</v>
      </c>
      <c r="H93" s="27">
        <f>(E91-D91)*D92</f>
        <v>3758400</v>
      </c>
      <c r="I93" s="27">
        <f>SUM(D93:G93)</f>
        <v>10104800</v>
      </c>
      <c r="J93" s="28">
        <f>H93+I93</f>
        <v>13863200</v>
      </c>
    </row>
    <row r="94" spans="1:10" x14ac:dyDescent="0.35">
      <c r="A94" s="2747"/>
      <c r="B94" s="2722" t="s">
        <v>56</v>
      </c>
      <c r="C94" s="19" t="s">
        <v>521</v>
      </c>
      <c r="D94" s="335">
        <f>+'B) Reajuste Tarifas y Ocupación'!J30</f>
        <v>15300</v>
      </c>
      <c r="E94" s="32">
        <f>+'B) Reajuste Tarifas y Ocupación'!K30</f>
        <v>23500</v>
      </c>
      <c r="F94" s="32">
        <f>+'B) Reajuste Tarifas y Ocupación'!L30</f>
        <v>25900</v>
      </c>
      <c r="G94" s="32">
        <f>+'B) Reajuste Tarifas y Ocupación'!M30</f>
        <v>29200</v>
      </c>
      <c r="H94" s="2696"/>
      <c r="I94" s="2696"/>
      <c r="J94" s="2697"/>
    </row>
    <row r="95" spans="1:10" x14ac:dyDescent="0.35">
      <c r="A95" s="2747"/>
      <c r="B95" s="2723"/>
      <c r="C95" s="337" t="s">
        <v>30</v>
      </c>
      <c r="D95" s="336">
        <f>+'B) Reajuste Tarifas y Ocupación'!U30</f>
        <v>554</v>
      </c>
      <c r="E95" s="31">
        <f>+'B) Reajuste Tarifas y Ocupación'!V30</f>
        <v>102</v>
      </c>
      <c r="F95" s="31">
        <f>+'B) Reajuste Tarifas y Ocupación'!W30</f>
        <v>70</v>
      </c>
      <c r="G95" s="31">
        <f>+'B) Reajuste Tarifas y Ocupación'!X30</f>
        <v>0</v>
      </c>
      <c r="H95" s="2696"/>
      <c r="I95" s="2696"/>
      <c r="J95" s="2697"/>
    </row>
    <row r="96" spans="1:10" ht="15" thickBot="1" x14ac:dyDescent="0.4">
      <c r="A96" s="2747"/>
      <c r="B96" s="2692"/>
      <c r="C96" s="333" t="s">
        <v>31</v>
      </c>
      <c r="D96" s="330">
        <f>D95*D94</f>
        <v>8476200</v>
      </c>
      <c r="E96" s="26">
        <f>E95*E94</f>
        <v>2397000</v>
      </c>
      <c r="F96" s="26">
        <f>F95*F94</f>
        <v>1813000</v>
      </c>
      <c r="G96" s="26">
        <f>G95*G94</f>
        <v>0</v>
      </c>
      <c r="H96" s="27">
        <f>(E94-D94)*D95</f>
        <v>4542800</v>
      </c>
      <c r="I96" s="27">
        <f>SUM(D96:G96)</f>
        <v>12686200</v>
      </c>
      <c r="J96" s="28">
        <f>H96+I96</f>
        <v>17229000</v>
      </c>
    </row>
    <row r="97" spans="1:10" x14ac:dyDescent="0.35">
      <c r="A97" s="2747"/>
      <c r="B97" s="2722" t="s">
        <v>57</v>
      </c>
      <c r="C97" s="19" t="s">
        <v>521</v>
      </c>
      <c r="D97" s="335">
        <f>+'B) Reajuste Tarifas y Ocupación'!J31</f>
        <v>30200</v>
      </c>
      <c r="E97" s="32">
        <f>+'B) Reajuste Tarifas y Ocupación'!K31</f>
        <v>46400</v>
      </c>
      <c r="F97" s="32">
        <f>+'B) Reajuste Tarifas y Ocupación'!L31</f>
        <v>51000</v>
      </c>
      <c r="G97" s="32">
        <f>+'B) Reajuste Tarifas y Ocupación'!M31</f>
        <v>57800</v>
      </c>
      <c r="H97" s="2696"/>
      <c r="I97" s="2696"/>
      <c r="J97" s="2697"/>
    </row>
    <row r="98" spans="1:10" x14ac:dyDescent="0.35">
      <c r="A98" s="2747"/>
      <c r="B98" s="2723"/>
      <c r="C98" s="337" t="s">
        <v>30</v>
      </c>
      <c r="D98" s="336">
        <f>+'B) Reajuste Tarifas y Ocupación'!U31</f>
        <v>232</v>
      </c>
      <c r="E98" s="31">
        <f>+'B) Reajuste Tarifas y Ocupación'!V31</f>
        <v>36</v>
      </c>
      <c r="F98" s="31">
        <f>+'B) Reajuste Tarifas y Ocupación'!W31</f>
        <v>28</v>
      </c>
      <c r="G98" s="31">
        <f>+'B) Reajuste Tarifas y Ocupación'!X31</f>
        <v>0</v>
      </c>
      <c r="H98" s="2696"/>
      <c r="I98" s="2696"/>
      <c r="J98" s="2697"/>
    </row>
    <row r="99" spans="1:10" ht="15" thickBot="1" x14ac:dyDescent="0.4">
      <c r="A99" s="2747"/>
      <c r="B99" s="2692"/>
      <c r="C99" s="333" t="s">
        <v>31</v>
      </c>
      <c r="D99" s="330">
        <f>D98*D97</f>
        <v>7006400</v>
      </c>
      <c r="E99" s="26">
        <f>E98*E97</f>
        <v>1670400</v>
      </c>
      <c r="F99" s="26">
        <f>F98*F97</f>
        <v>1428000</v>
      </c>
      <c r="G99" s="26">
        <f>G98*G97</f>
        <v>0</v>
      </c>
      <c r="H99" s="27">
        <f>(E97-D97)*D98</f>
        <v>3758400</v>
      </c>
      <c r="I99" s="27">
        <f>SUM(D99:G99)</f>
        <v>10104800</v>
      </c>
      <c r="J99" s="28">
        <f>H99+I99</f>
        <v>13863200</v>
      </c>
    </row>
    <row r="100" spans="1:10" x14ac:dyDescent="0.35">
      <c r="A100" s="2747"/>
      <c r="B100" s="2722" t="s">
        <v>58</v>
      </c>
      <c r="C100" s="19" t="s">
        <v>521</v>
      </c>
      <c r="D100" s="2710"/>
      <c r="E100" s="32">
        <f>+'B) Reajuste Tarifas y Ocupación'!K32</f>
        <v>57600</v>
      </c>
      <c r="F100" s="32">
        <f>+'B) Reajuste Tarifas y Ocupación'!L32</f>
        <v>63400</v>
      </c>
      <c r="G100" s="32">
        <f>+'B) Reajuste Tarifas y Ocupación'!M32</f>
        <v>71700</v>
      </c>
      <c r="H100" s="2696"/>
      <c r="I100" s="2696"/>
      <c r="J100" s="2697"/>
    </row>
    <row r="101" spans="1:10" x14ac:dyDescent="0.35">
      <c r="A101" s="2747"/>
      <c r="B101" s="2723"/>
      <c r="C101" s="337" t="s">
        <v>30</v>
      </c>
      <c r="D101" s="2766"/>
      <c r="E101" s="31">
        <f>+'B) Reajuste Tarifas y Ocupación'!V32</f>
        <v>66</v>
      </c>
      <c r="F101" s="31">
        <f>+'B) Reajuste Tarifas y Ocupación'!W32</f>
        <v>5</v>
      </c>
      <c r="G101" s="31">
        <f>+'B) Reajuste Tarifas y Ocupación'!X32</f>
        <v>0</v>
      </c>
      <c r="H101" s="2696"/>
      <c r="I101" s="2696"/>
      <c r="J101" s="2697"/>
    </row>
    <row r="102" spans="1:10" ht="15" thickBot="1" x14ac:dyDescent="0.4">
      <c r="A102" s="2747"/>
      <c r="B102" s="2692"/>
      <c r="C102" s="333" t="s">
        <v>31</v>
      </c>
      <c r="D102" s="334"/>
      <c r="E102" s="26">
        <f>E101*E100</f>
        <v>3801600</v>
      </c>
      <c r="F102" s="26">
        <f>F101*F100</f>
        <v>317000</v>
      </c>
      <c r="G102" s="26">
        <f>G101*G100</f>
        <v>0</v>
      </c>
      <c r="H102" s="27">
        <f>(E100-D100)*D101</f>
        <v>0</v>
      </c>
      <c r="I102" s="27">
        <f>SUM(D102:G102)</f>
        <v>4118600</v>
      </c>
      <c r="J102" s="28">
        <f>H102+I102</f>
        <v>4118600</v>
      </c>
    </row>
    <row r="103" spans="1:10" x14ac:dyDescent="0.35">
      <c r="A103" s="2747"/>
      <c r="B103" s="2722" t="s">
        <v>59</v>
      </c>
      <c r="C103" s="19" t="s">
        <v>521</v>
      </c>
      <c r="D103" s="2710"/>
      <c r="E103" s="32">
        <f>+'B) Reajuste Tarifas y Ocupación'!K33</f>
        <v>114600</v>
      </c>
      <c r="F103" s="32">
        <f>+'B) Reajuste Tarifas y Ocupación'!L33</f>
        <v>126000</v>
      </c>
      <c r="G103" s="32">
        <f>+'B) Reajuste Tarifas y Ocupación'!M33</f>
        <v>142800</v>
      </c>
      <c r="H103" s="2696"/>
      <c r="I103" s="2696"/>
      <c r="J103" s="2697"/>
    </row>
    <row r="104" spans="1:10" x14ac:dyDescent="0.35">
      <c r="A104" s="2747"/>
      <c r="B104" s="2723"/>
      <c r="C104" s="337" t="s">
        <v>30</v>
      </c>
      <c r="D104" s="2766"/>
      <c r="E104" s="31">
        <f>+'B) Reajuste Tarifas y Ocupación'!V33</f>
        <v>0</v>
      </c>
      <c r="F104" s="31">
        <f>+'B) Reajuste Tarifas y Ocupación'!W33</f>
        <v>0</v>
      </c>
      <c r="G104" s="31">
        <f>+'B) Reajuste Tarifas y Ocupación'!X33</f>
        <v>0</v>
      </c>
      <c r="H104" s="2696"/>
      <c r="I104" s="2696"/>
      <c r="J104" s="2697"/>
    </row>
    <row r="105" spans="1:10" ht="15" thickBot="1" x14ac:dyDescent="0.4">
      <c r="A105" s="2747"/>
      <c r="B105" s="2692"/>
      <c r="C105" s="333" t="s">
        <v>31</v>
      </c>
      <c r="D105" s="334"/>
      <c r="E105" s="26">
        <f>E104*E103</f>
        <v>0</v>
      </c>
      <c r="F105" s="26">
        <f>F104*F103</f>
        <v>0</v>
      </c>
      <c r="G105" s="26">
        <f>G104*G103</f>
        <v>0</v>
      </c>
      <c r="H105" s="27">
        <f>(E103-D103)*D104</f>
        <v>0</v>
      </c>
      <c r="I105" s="27">
        <f>SUM(D105:G105)</f>
        <v>0</v>
      </c>
      <c r="J105" s="28">
        <f>H105+I105</f>
        <v>0</v>
      </c>
    </row>
    <row r="106" spans="1:10" x14ac:dyDescent="0.35">
      <c r="A106" s="2747"/>
      <c r="B106" s="2722" t="s">
        <v>60</v>
      </c>
      <c r="C106" s="19" t="s">
        <v>521</v>
      </c>
      <c r="D106" s="2710"/>
      <c r="E106" s="32">
        <f>+'B) Reajuste Tarifas y Ocupación'!K34</f>
        <v>215600</v>
      </c>
      <c r="F106" s="32">
        <f>+'B) Reajuste Tarifas y Ocupación'!L34</f>
        <v>237200</v>
      </c>
      <c r="G106" s="32">
        <f>+'B) Reajuste Tarifas y Ocupación'!M34</f>
        <v>268700</v>
      </c>
      <c r="H106" s="2696"/>
      <c r="I106" s="2696"/>
      <c r="J106" s="2697"/>
    </row>
    <row r="107" spans="1:10" x14ac:dyDescent="0.35">
      <c r="A107" s="2747"/>
      <c r="B107" s="2723"/>
      <c r="C107" s="337" t="s">
        <v>30</v>
      </c>
      <c r="D107" s="2766"/>
      <c r="E107" s="31">
        <f>+'B) Reajuste Tarifas y Ocupación'!V34</f>
        <v>12</v>
      </c>
      <c r="F107" s="31">
        <f>+'B) Reajuste Tarifas y Ocupación'!W34</f>
        <v>0</v>
      </c>
      <c r="G107" s="31">
        <f>+'B) Reajuste Tarifas y Ocupación'!X34</f>
        <v>0</v>
      </c>
      <c r="H107" s="2696"/>
      <c r="I107" s="2696"/>
      <c r="J107" s="2697"/>
    </row>
    <row r="108" spans="1:10" ht="15" thickBot="1" x14ac:dyDescent="0.4">
      <c r="A108" s="2747"/>
      <c r="B108" s="2692"/>
      <c r="C108" s="333" t="s">
        <v>31</v>
      </c>
      <c r="D108" s="334"/>
      <c r="E108" s="26">
        <f>E107*E106</f>
        <v>2587200</v>
      </c>
      <c r="F108" s="26">
        <f>F107*F106</f>
        <v>0</v>
      </c>
      <c r="G108" s="26">
        <f>G107*G106</f>
        <v>0</v>
      </c>
      <c r="H108" s="27">
        <f>(E106-D106)*D107</f>
        <v>0</v>
      </c>
      <c r="I108" s="27">
        <f>SUM(D108:G108)</f>
        <v>2587200</v>
      </c>
      <c r="J108" s="28">
        <f>H108+I108</f>
        <v>2587200</v>
      </c>
    </row>
    <row r="109" spans="1:10" x14ac:dyDescent="0.35">
      <c r="A109" s="2747"/>
      <c r="B109" s="2722" t="s">
        <v>61</v>
      </c>
      <c r="C109" s="19" t="s">
        <v>521</v>
      </c>
      <c r="D109" s="335">
        <f>+'B) Reajuste Tarifas y Ocupación'!J35</f>
        <v>0</v>
      </c>
      <c r="E109" s="32">
        <f>+'B) Reajuste Tarifas y Ocupación'!K35</f>
        <v>4600</v>
      </c>
      <c r="F109" s="32">
        <f>+'B) Reajuste Tarifas y Ocupación'!L35</f>
        <v>5100</v>
      </c>
      <c r="G109" s="32">
        <f>+'B) Reajuste Tarifas y Ocupación'!M35</f>
        <v>5700</v>
      </c>
      <c r="H109" s="2696"/>
      <c r="I109" s="2696"/>
      <c r="J109" s="2697"/>
    </row>
    <row r="110" spans="1:10" x14ac:dyDescent="0.35">
      <c r="A110" s="2747"/>
      <c r="B110" s="2723"/>
      <c r="C110" s="337" t="s">
        <v>30</v>
      </c>
      <c r="D110" s="336">
        <f>+'B) Reajuste Tarifas y Ocupación'!U35</f>
        <v>0</v>
      </c>
      <c r="E110" s="31">
        <f>+'B) Reajuste Tarifas y Ocupación'!V35</f>
        <v>0</v>
      </c>
      <c r="F110" s="31">
        <f>+'B) Reajuste Tarifas y Ocupación'!W35</f>
        <v>0</v>
      </c>
      <c r="G110" s="31">
        <f>+'B) Reajuste Tarifas y Ocupación'!X35</f>
        <v>0</v>
      </c>
      <c r="H110" s="2696"/>
      <c r="I110" s="2696"/>
      <c r="J110" s="2697"/>
    </row>
    <row r="111" spans="1:10" ht="15" thickBot="1" x14ac:dyDescent="0.4">
      <c r="A111" s="2747"/>
      <c r="B111" s="2692"/>
      <c r="C111" s="333" t="s">
        <v>31</v>
      </c>
      <c r="D111" s="330">
        <f>D110*D109</f>
        <v>0</v>
      </c>
      <c r="E111" s="26">
        <f>E110*E109</f>
        <v>0</v>
      </c>
      <c r="F111" s="26">
        <f>F110*F109</f>
        <v>0</v>
      </c>
      <c r="G111" s="26">
        <f>G110*G109</f>
        <v>0</v>
      </c>
      <c r="H111" s="27">
        <f>(E109-D109)*D110</f>
        <v>0</v>
      </c>
      <c r="I111" s="27">
        <f>SUM(D111:G111)</f>
        <v>0</v>
      </c>
      <c r="J111" s="28">
        <f>H111+I111</f>
        <v>0</v>
      </c>
    </row>
    <row r="112" spans="1:10" x14ac:dyDescent="0.35">
      <c r="A112" s="2747"/>
      <c r="B112" s="2722" t="s">
        <v>45</v>
      </c>
      <c r="C112" s="19" t="s">
        <v>521</v>
      </c>
      <c r="D112" s="335">
        <f>+'B) Reajuste Tarifas y Ocupación'!J36</f>
        <v>31300</v>
      </c>
      <c r="E112" s="32">
        <f>+'B) Reajuste Tarifas y Ocupación'!K36</f>
        <v>48100</v>
      </c>
      <c r="F112" s="32">
        <f>+'B) Reajuste Tarifas y Ocupación'!L36</f>
        <v>52900</v>
      </c>
      <c r="G112" s="32">
        <f>+'B) Reajuste Tarifas y Ocupación'!M36</f>
        <v>60000</v>
      </c>
      <c r="H112" s="2696"/>
      <c r="I112" s="2696"/>
      <c r="J112" s="2697"/>
    </row>
    <row r="113" spans="1:10" x14ac:dyDescent="0.35">
      <c r="A113" s="2747"/>
      <c r="B113" s="2723"/>
      <c r="C113" s="337" t="s">
        <v>30</v>
      </c>
      <c r="D113" s="336">
        <f>+'B) Reajuste Tarifas y Ocupación'!U36</f>
        <v>242</v>
      </c>
      <c r="E113" s="31">
        <f>+'B) Reajuste Tarifas y Ocupación'!V36</f>
        <v>25</v>
      </c>
      <c r="F113" s="31">
        <f>+'B) Reajuste Tarifas y Ocupación'!W36</f>
        <v>49</v>
      </c>
      <c r="G113" s="31">
        <f>+'B) Reajuste Tarifas y Ocupación'!X36</f>
        <v>0</v>
      </c>
      <c r="H113" s="2696"/>
      <c r="I113" s="2696"/>
      <c r="J113" s="2697"/>
    </row>
    <row r="114" spans="1:10" ht="15" thickBot="1" x14ac:dyDescent="0.4">
      <c r="A114" s="2747"/>
      <c r="B114" s="2692"/>
      <c r="C114" s="333" t="s">
        <v>31</v>
      </c>
      <c r="D114" s="330">
        <f>D113*D112</f>
        <v>7574600</v>
      </c>
      <c r="E114" s="26">
        <f>E113*E112</f>
        <v>1202500</v>
      </c>
      <c r="F114" s="26">
        <f>F113*F112</f>
        <v>2592100</v>
      </c>
      <c r="G114" s="26">
        <f>G113*G112</f>
        <v>0</v>
      </c>
      <c r="H114" s="27">
        <f>(E112-D112)*D113</f>
        <v>4065600</v>
      </c>
      <c r="I114" s="27">
        <f>SUM(D114:G114)</f>
        <v>11369200</v>
      </c>
      <c r="J114" s="28">
        <f>H114+I114</f>
        <v>15434800</v>
      </c>
    </row>
    <row r="115" spans="1:10" x14ac:dyDescent="0.35">
      <c r="A115" s="2747"/>
      <c r="B115" s="2722" t="s">
        <v>62</v>
      </c>
      <c r="C115" s="19" t="s">
        <v>521</v>
      </c>
      <c r="D115" s="335">
        <f>+'B) Reajuste Tarifas y Ocupación'!J37</f>
        <v>32800</v>
      </c>
      <c r="E115" s="32">
        <f>+'B) Reajuste Tarifas y Ocupación'!K37</f>
        <v>50400</v>
      </c>
      <c r="F115" s="32">
        <f>+'B) Reajuste Tarifas y Ocupación'!L37</f>
        <v>55500</v>
      </c>
      <c r="G115" s="32">
        <f>+'B) Reajuste Tarifas y Ocupación'!M37</f>
        <v>62900</v>
      </c>
      <c r="H115" s="2696"/>
      <c r="I115" s="2696"/>
      <c r="J115" s="2697"/>
    </row>
    <row r="116" spans="1:10" x14ac:dyDescent="0.35">
      <c r="A116" s="2747"/>
      <c r="B116" s="2723"/>
      <c r="C116" s="337" t="s">
        <v>30</v>
      </c>
      <c r="D116" s="336">
        <f>+'B) Reajuste Tarifas y Ocupación'!U37</f>
        <v>257</v>
      </c>
      <c r="E116" s="31">
        <f>+'B) Reajuste Tarifas y Ocupación'!V37</f>
        <v>25</v>
      </c>
      <c r="F116" s="31">
        <f>+'B) Reajuste Tarifas y Ocupación'!W37</f>
        <v>60</v>
      </c>
      <c r="G116" s="31">
        <f>+'B) Reajuste Tarifas y Ocupación'!X37</f>
        <v>0</v>
      </c>
      <c r="H116" s="2696"/>
      <c r="I116" s="2696"/>
      <c r="J116" s="2697"/>
    </row>
    <row r="117" spans="1:10" x14ac:dyDescent="0.35">
      <c r="A117" s="2747"/>
      <c r="B117" s="2692"/>
      <c r="C117" s="333" t="s">
        <v>31</v>
      </c>
      <c r="D117" s="330">
        <f>D116*D115</f>
        <v>8429600</v>
      </c>
      <c r="E117" s="26">
        <f>E116*E115</f>
        <v>1260000</v>
      </c>
      <c r="F117" s="26">
        <f>F116*F115</f>
        <v>3330000</v>
      </c>
      <c r="G117" s="26">
        <f>G116*G115</f>
        <v>0</v>
      </c>
      <c r="H117" s="27">
        <f>(E115-D115)*D116</f>
        <v>4523200</v>
      </c>
      <c r="I117" s="27">
        <f>SUM(D117:G117)</f>
        <v>13019600</v>
      </c>
      <c r="J117" s="28">
        <f>H117+I117</f>
        <v>17542800</v>
      </c>
    </row>
    <row r="118" spans="1:10" x14ac:dyDescent="0.35">
      <c r="A118" s="2747"/>
      <c r="B118" s="2773" t="s">
        <v>46</v>
      </c>
      <c r="C118" s="2765"/>
      <c r="D118" s="2710"/>
      <c r="E118" s="2771"/>
      <c r="F118" s="2771"/>
      <c r="G118" s="2771"/>
      <c r="H118" s="2767"/>
      <c r="I118" s="2767"/>
      <c r="J118" s="2769"/>
    </row>
    <row r="119" spans="1:10" x14ac:dyDescent="0.35">
      <c r="A119" s="2747"/>
      <c r="B119" s="2774"/>
      <c r="C119" s="2765"/>
      <c r="D119" s="2766"/>
      <c r="E119" s="2694"/>
      <c r="F119" s="2694"/>
      <c r="G119" s="2694"/>
      <c r="H119" s="2768"/>
      <c r="I119" s="2768"/>
      <c r="J119" s="2770"/>
    </row>
    <row r="120" spans="1:10" ht="15" thickBot="1" x14ac:dyDescent="0.4">
      <c r="A120" s="2747"/>
      <c r="B120" s="2775"/>
      <c r="C120" s="338"/>
      <c r="D120" s="334"/>
      <c r="E120" s="33"/>
      <c r="F120" s="33"/>
      <c r="G120" s="33"/>
      <c r="H120" s="34"/>
      <c r="I120" s="34"/>
      <c r="J120" s="35"/>
    </row>
    <row r="121" spans="1:10" x14ac:dyDescent="0.35">
      <c r="A121" s="2747"/>
      <c r="B121" s="2724" t="s">
        <v>45</v>
      </c>
      <c r="C121" s="19" t="s">
        <v>521</v>
      </c>
      <c r="D121" s="2710"/>
      <c r="E121" s="32">
        <f>+'B) Reajuste Tarifas y Ocupación'!K39</f>
        <v>14500</v>
      </c>
      <c r="F121" s="32">
        <f>+'B) Reajuste Tarifas y Ocupación'!L39</f>
        <v>15900</v>
      </c>
      <c r="G121" s="32">
        <f>+'B) Reajuste Tarifas y Ocupación'!M39</f>
        <v>18000</v>
      </c>
      <c r="H121" s="2696"/>
      <c r="I121" s="2696"/>
      <c r="J121" s="2697"/>
    </row>
    <row r="122" spans="1:10" x14ac:dyDescent="0.35">
      <c r="A122" s="2747"/>
      <c r="B122" s="2729"/>
      <c r="C122" s="337" t="s">
        <v>30</v>
      </c>
      <c r="D122" s="2766"/>
      <c r="E122" s="31">
        <f>+'B) Reajuste Tarifas y Ocupación'!V39</f>
        <v>0</v>
      </c>
      <c r="F122" s="31">
        <f>+'B) Reajuste Tarifas y Ocupación'!W39</f>
        <v>0</v>
      </c>
      <c r="G122" s="31">
        <f>+'B) Reajuste Tarifas y Ocupación'!X39</f>
        <v>0</v>
      </c>
      <c r="H122" s="2696"/>
      <c r="I122" s="2696"/>
      <c r="J122" s="2697"/>
    </row>
    <row r="123" spans="1:10" ht="15" thickBot="1" x14ac:dyDescent="0.4">
      <c r="A123" s="2747"/>
      <c r="B123" s="2730"/>
      <c r="C123" s="333" t="s">
        <v>31</v>
      </c>
      <c r="D123" s="334"/>
      <c r="E123" s="26">
        <f>E122*E121</f>
        <v>0</v>
      </c>
      <c r="F123" s="26">
        <f>F122*F121</f>
        <v>0</v>
      </c>
      <c r="G123" s="26">
        <f>G122*G121</f>
        <v>0</v>
      </c>
      <c r="H123" s="27">
        <f>(E121-D121)*D122</f>
        <v>0</v>
      </c>
      <c r="I123" s="27">
        <f>SUM(D123:G123)</f>
        <v>0</v>
      </c>
      <c r="J123" s="28">
        <f>H123+I123</f>
        <v>0</v>
      </c>
    </row>
    <row r="124" spans="1:10" x14ac:dyDescent="0.35">
      <c r="A124" s="2747"/>
      <c r="B124" s="2724" t="s">
        <v>62</v>
      </c>
      <c r="C124" s="19" t="s">
        <v>521</v>
      </c>
      <c r="D124" s="2710"/>
      <c r="E124" s="32">
        <f>+'B) Reajuste Tarifas y Ocupación'!K40</f>
        <v>15200</v>
      </c>
      <c r="F124" s="32">
        <f>+'B) Reajuste Tarifas y Ocupación'!L40</f>
        <v>16700</v>
      </c>
      <c r="G124" s="32">
        <f>+'B) Reajuste Tarifas y Ocupación'!M40</f>
        <v>18900</v>
      </c>
      <c r="H124" s="2696"/>
      <c r="I124" s="2696"/>
      <c r="J124" s="2697"/>
    </row>
    <row r="125" spans="1:10" x14ac:dyDescent="0.35">
      <c r="A125" s="2747"/>
      <c r="B125" s="2729"/>
      <c r="C125" s="337" t="s">
        <v>30</v>
      </c>
      <c r="D125" s="2766"/>
      <c r="E125" s="31">
        <f>+'B) Reajuste Tarifas y Ocupación'!V40</f>
        <v>0</v>
      </c>
      <c r="F125" s="31">
        <f>+'B) Reajuste Tarifas y Ocupación'!W40</f>
        <v>0</v>
      </c>
      <c r="G125" s="31">
        <f>+'B) Reajuste Tarifas y Ocupación'!X40</f>
        <v>0</v>
      </c>
      <c r="H125" s="2696"/>
      <c r="I125" s="2696"/>
      <c r="J125" s="2697"/>
    </row>
    <row r="126" spans="1:10" ht="15" thickBot="1" x14ac:dyDescent="0.4">
      <c r="A126" s="2747"/>
      <c r="B126" s="2730"/>
      <c r="C126" s="333" t="s">
        <v>31</v>
      </c>
      <c r="D126" s="334"/>
      <c r="E126" s="26">
        <f>E125*E124</f>
        <v>0</v>
      </c>
      <c r="F126" s="26">
        <f>F125*F124</f>
        <v>0</v>
      </c>
      <c r="G126" s="26">
        <f>G125*G124</f>
        <v>0</v>
      </c>
      <c r="H126" s="27">
        <f>(E124-D124)*D125</f>
        <v>0</v>
      </c>
      <c r="I126" s="27">
        <f>SUM(D126:G126)</f>
        <v>0</v>
      </c>
      <c r="J126" s="28">
        <f>H126+I126</f>
        <v>0</v>
      </c>
    </row>
    <row r="127" spans="1:10" x14ac:dyDescent="0.35">
      <c r="A127" s="2747"/>
      <c r="B127" s="2722" t="s">
        <v>63</v>
      </c>
      <c r="C127" s="19" t="s">
        <v>521</v>
      </c>
      <c r="D127" s="2710"/>
      <c r="E127" s="32">
        <f>+'B) Reajuste Tarifas y Ocupación'!K41</f>
        <v>271400</v>
      </c>
      <c r="F127" s="32">
        <f>+'B) Reajuste Tarifas y Ocupación'!L41</f>
        <v>327600</v>
      </c>
      <c r="G127" s="32">
        <f>+'B) Reajuste Tarifas y Ocupación'!M41</f>
        <v>381700</v>
      </c>
      <c r="H127" s="2696"/>
      <c r="I127" s="2696"/>
      <c r="J127" s="2697"/>
    </row>
    <row r="128" spans="1:10" x14ac:dyDescent="0.35">
      <c r="A128" s="2747"/>
      <c r="B128" s="2723"/>
      <c r="C128" s="337" t="s">
        <v>30</v>
      </c>
      <c r="D128" s="2766"/>
      <c r="E128" s="31">
        <f>+'B) Reajuste Tarifas y Ocupación'!V41</f>
        <v>2</v>
      </c>
      <c r="F128" s="31">
        <f>+'B) Reajuste Tarifas y Ocupación'!W41</f>
        <v>1</v>
      </c>
      <c r="G128" s="31">
        <f>+'B) Reajuste Tarifas y Ocupación'!X41</f>
        <v>0</v>
      </c>
      <c r="H128" s="2696"/>
      <c r="I128" s="2696"/>
      <c r="J128" s="2697"/>
    </row>
    <row r="129" spans="1:10" ht="15" thickBot="1" x14ac:dyDescent="0.4">
      <c r="A129" s="2747"/>
      <c r="B129" s="2692"/>
      <c r="C129" s="333" t="s">
        <v>31</v>
      </c>
      <c r="D129" s="334"/>
      <c r="E129" s="26">
        <f>E128*E127</f>
        <v>542800</v>
      </c>
      <c r="F129" s="26">
        <f>F128*F127</f>
        <v>327600</v>
      </c>
      <c r="G129" s="26">
        <f>G128*G127</f>
        <v>0</v>
      </c>
      <c r="H129" s="27">
        <f>(E127-D127)*D128</f>
        <v>0</v>
      </c>
      <c r="I129" s="27">
        <f>SUM(D129:G129)</f>
        <v>870400</v>
      </c>
      <c r="J129" s="28">
        <f>H129+I129</f>
        <v>870400</v>
      </c>
    </row>
    <row r="130" spans="1:10" x14ac:dyDescent="0.35">
      <c r="A130" s="2747"/>
      <c r="B130" s="2722" t="s">
        <v>64</v>
      </c>
      <c r="C130" s="19" t="s">
        <v>521</v>
      </c>
      <c r="D130" s="2710"/>
      <c r="E130" s="32">
        <f>+'B) Reajuste Tarifas y Ocupación'!K42</f>
        <v>4900</v>
      </c>
      <c r="F130" s="32">
        <f>+'B) Reajuste Tarifas y Ocupación'!L42</f>
        <v>5800</v>
      </c>
      <c r="G130" s="32">
        <f>+'B) Reajuste Tarifas y Ocupación'!M42</f>
        <v>7200</v>
      </c>
      <c r="H130" s="2696"/>
      <c r="I130" s="2696"/>
      <c r="J130" s="2697"/>
    </row>
    <row r="131" spans="1:10" x14ac:dyDescent="0.35">
      <c r="A131" s="2747"/>
      <c r="B131" s="2723"/>
      <c r="C131" s="337" t="s">
        <v>30</v>
      </c>
      <c r="D131" s="2766"/>
      <c r="E131" s="31">
        <f>+'B) Reajuste Tarifas y Ocupación'!V42</f>
        <v>0</v>
      </c>
      <c r="F131" s="31">
        <f>+'B) Reajuste Tarifas y Ocupación'!W42</f>
        <v>0</v>
      </c>
      <c r="G131" s="31">
        <f>+'B) Reajuste Tarifas y Ocupación'!X42</f>
        <v>0</v>
      </c>
      <c r="H131" s="2696"/>
      <c r="I131" s="2696"/>
      <c r="J131" s="2697"/>
    </row>
    <row r="132" spans="1:10" ht="15" thickBot="1" x14ac:dyDescent="0.4">
      <c r="A132" s="2747"/>
      <c r="B132" s="2692"/>
      <c r="C132" s="333" t="s">
        <v>31</v>
      </c>
      <c r="D132" s="334"/>
      <c r="E132" s="26">
        <f>E131*E130</f>
        <v>0</v>
      </c>
      <c r="F132" s="26">
        <f>F131*F130</f>
        <v>0</v>
      </c>
      <c r="G132" s="26">
        <f>G131*G130</f>
        <v>0</v>
      </c>
      <c r="H132" s="27">
        <f>(E130-D130)*D131</f>
        <v>0</v>
      </c>
      <c r="I132" s="27">
        <f>SUM(D132:G132)</f>
        <v>0</v>
      </c>
      <c r="J132" s="28">
        <f>H132+I132</f>
        <v>0</v>
      </c>
    </row>
    <row r="133" spans="1:10" x14ac:dyDescent="0.35">
      <c r="A133" s="2747"/>
      <c r="B133" s="2722" t="s">
        <v>65</v>
      </c>
      <c r="C133" s="19" t="s">
        <v>521</v>
      </c>
      <c r="D133" s="2710"/>
      <c r="E133" s="32">
        <f>+'B) Reajuste Tarifas y Ocupación'!K43</f>
        <v>122400</v>
      </c>
      <c r="F133" s="32">
        <f>+'B) Reajuste Tarifas y Ocupación'!L43</f>
        <v>147900</v>
      </c>
      <c r="G133" s="32">
        <f>+'B) Reajuste Tarifas y Ocupación'!M43</f>
        <v>158800</v>
      </c>
      <c r="H133" s="2696"/>
      <c r="I133" s="2696"/>
      <c r="J133" s="2697"/>
    </row>
    <row r="134" spans="1:10" x14ac:dyDescent="0.35">
      <c r="A134" s="2747"/>
      <c r="B134" s="2723"/>
      <c r="C134" s="337" t="s">
        <v>30</v>
      </c>
      <c r="D134" s="2766"/>
      <c r="E134" s="31">
        <f>+'B) Reajuste Tarifas y Ocupación'!V43</f>
        <v>4</v>
      </c>
      <c r="F134" s="31">
        <f>+'B) Reajuste Tarifas y Ocupación'!W43</f>
        <v>1</v>
      </c>
      <c r="G134" s="31">
        <f>+'B) Reajuste Tarifas y Ocupación'!X43</f>
        <v>0</v>
      </c>
      <c r="H134" s="2696"/>
      <c r="I134" s="2696"/>
      <c r="J134" s="2697"/>
    </row>
    <row r="135" spans="1:10" ht="15" thickBot="1" x14ac:dyDescent="0.4">
      <c r="A135" s="2747"/>
      <c r="B135" s="2692"/>
      <c r="C135" s="333" t="s">
        <v>31</v>
      </c>
      <c r="D135" s="334"/>
      <c r="E135" s="26">
        <f>E134*E133</f>
        <v>489600</v>
      </c>
      <c r="F135" s="26">
        <f>F134*F133</f>
        <v>147900</v>
      </c>
      <c r="G135" s="26">
        <f>G134*G133</f>
        <v>0</v>
      </c>
      <c r="H135" s="27">
        <f>(E133-D133)*D134</f>
        <v>0</v>
      </c>
      <c r="I135" s="27">
        <f>SUM(D135:G135)</f>
        <v>637500</v>
      </c>
      <c r="J135" s="28">
        <f>H135+I135</f>
        <v>637500</v>
      </c>
    </row>
    <row r="136" spans="1:10" x14ac:dyDescent="0.35">
      <c r="A136" s="2747"/>
      <c r="B136" s="2722" t="s">
        <v>66</v>
      </c>
      <c r="C136" s="19" t="s">
        <v>521</v>
      </c>
      <c r="D136" s="2710"/>
      <c r="E136" s="32">
        <f>+'B) Reajuste Tarifas y Ocupación'!K44</f>
        <v>3100</v>
      </c>
      <c r="F136" s="32">
        <f>+'B) Reajuste Tarifas y Ocupación'!L44</f>
        <v>4100</v>
      </c>
      <c r="G136" s="32">
        <f>+'B) Reajuste Tarifas y Ocupación'!M44</f>
        <v>10000</v>
      </c>
      <c r="H136" s="2696"/>
      <c r="I136" s="2696"/>
      <c r="J136" s="2697"/>
    </row>
    <row r="137" spans="1:10" x14ac:dyDescent="0.35">
      <c r="A137" s="2747"/>
      <c r="B137" s="2691"/>
      <c r="C137" s="345" t="s">
        <v>30</v>
      </c>
      <c r="D137" s="2694"/>
      <c r="E137" s="31">
        <f>+'B) Reajuste Tarifas y Ocupación'!V44</f>
        <v>0</v>
      </c>
      <c r="F137" s="31">
        <f>+'B) Reajuste Tarifas y Ocupación'!W44</f>
        <v>0</v>
      </c>
      <c r="G137" s="31">
        <f>+'B) Reajuste Tarifas y Ocupación'!X44</f>
        <v>0</v>
      </c>
      <c r="H137" s="2696"/>
      <c r="I137" s="2696"/>
      <c r="J137" s="2697"/>
    </row>
    <row r="138" spans="1:10" x14ac:dyDescent="0.35">
      <c r="A138" s="2747"/>
      <c r="B138" s="2691"/>
      <c r="C138" s="40" t="s">
        <v>31</v>
      </c>
      <c r="D138" s="41"/>
      <c r="E138" s="42">
        <f>E137*E136</f>
        <v>0</v>
      </c>
      <c r="F138" s="42">
        <f>F137*F136</f>
        <v>0</v>
      </c>
      <c r="G138" s="42">
        <f>G137*G136</f>
        <v>0</v>
      </c>
      <c r="H138" s="43">
        <f>(E136-D136)*D137</f>
        <v>0</v>
      </c>
      <c r="I138" s="43">
        <f>SUM(D138:G138)</f>
        <v>0</v>
      </c>
      <c r="J138" s="44">
        <f>H138+I138</f>
        <v>0</v>
      </c>
    </row>
    <row r="139" spans="1:10" ht="15" thickBot="1" x14ac:dyDescent="0.4">
      <c r="A139" s="2748"/>
      <c r="B139" s="2776" t="s">
        <v>32</v>
      </c>
      <c r="C139" s="2777"/>
      <c r="D139" s="45">
        <f>+D87+D90+D96+D99+D102+D105+D108+D111+D114+D117+D120+D123+D126+D129+D132+D135+D138+D93</f>
        <v>47214200</v>
      </c>
      <c r="E139" s="45">
        <f t="shared" ref="E139:J139" si="8">+E87+E90+E96+E99+E102+E105+E108+E111+E114+E117+E120+E123+E126+E129+E132+E135+E138+E93</f>
        <v>19101400</v>
      </c>
      <c r="F139" s="45">
        <f t="shared" si="8"/>
        <v>15693600</v>
      </c>
      <c r="G139" s="45">
        <f t="shared" si="8"/>
        <v>0</v>
      </c>
      <c r="H139" s="45">
        <f t="shared" si="8"/>
        <v>25299600</v>
      </c>
      <c r="I139" s="45">
        <f t="shared" si="8"/>
        <v>82009200</v>
      </c>
      <c r="J139" s="45">
        <f t="shared" si="8"/>
        <v>107308800</v>
      </c>
    </row>
    <row r="140" spans="1:10" x14ac:dyDescent="0.35">
      <c r="A140" s="2747" t="str">
        <f>+'B) Reajuste Tarifas y Ocupación'!A45</f>
        <v>Piscina C.R. Los Maitenes (Alto)</v>
      </c>
      <c r="B140" s="2691" t="s">
        <v>68</v>
      </c>
      <c r="C140" s="19" t="s">
        <v>521</v>
      </c>
      <c r="D140" s="2702"/>
      <c r="E140" s="30">
        <f>+'B) Reajuste Tarifas y Ocupación'!K45</f>
        <v>8800</v>
      </c>
      <c r="F140" s="30">
        <f>+'B) Reajuste Tarifas y Ocupación'!L45</f>
        <v>9800</v>
      </c>
      <c r="G140" s="30">
        <f>+'B) Reajuste Tarifas y Ocupación'!M45</f>
        <v>11000</v>
      </c>
      <c r="H140" s="2712"/>
      <c r="I140" s="2712"/>
      <c r="J140" s="2713"/>
    </row>
    <row r="141" spans="1:10" x14ac:dyDescent="0.35">
      <c r="A141" s="2747"/>
      <c r="B141" s="2723"/>
      <c r="C141" s="337" t="s">
        <v>30</v>
      </c>
      <c r="D141" s="2766"/>
      <c r="E141" s="31">
        <f>+'B) Reajuste Tarifas y Ocupación'!V45</f>
        <v>0</v>
      </c>
      <c r="F141" s="31">
        <f>+'B) Reajuste Tarifas y Ocupación'!W45</f>
        <v>0</v>
      </c>
      <c r="G141" s="31">
        <f>+'B) Reajuste Tarifas y Ocupación'!X45</f>
        <v>0</v>
      </c>
      <c r="H141" s="2696"/>
      <c r="I141" s="2696"/>
      <c r="J141" s="2697"/>
    </row>
    <row r="142" spans="1:10" ht="15" thickBot="1" x14ac:dyDescent="0.4">
      <c r="A142" s="2747"/>
      <c r="B142" s="2692"/>
      <c r="C142" s="333" t="s">
        <v>31</v>
      </c>
      <c r="D142" s="343"/>
      <c r="E142" s="26">
        <f>E141*E140</f>
        <v>0</v>
      </c>
      <c r="F142" s="26">
        <f>F141*F140</f>
        <v>0</v>
      </c>
      <c r="G142" s="26">
        <f>G141*G140</f>
        <v>0</v>
      </c>
      <c r="H142" s="27">
        <f>(E140-D140)*D141</f>
        <v>0</v>
      </c>
      <c r="I142" s="27">
        <f>SUM(D142:G142)</f>
        <v>0</v>
      </c>
      <c r="J142" s="28">
        <f>H142+I142</f>
        <v>0</v>
      </c>
    </row>
    <row r="143" spans="1:10" x14ac:dyDescent="0.35">
      <c r="A143" s="2747"/>
      <c r="B143" s="2700" t="s">
        <v>69</v>
      </c>
      <c r="C143" s="19" t="s">
        <v>521</v>
      </c>
      <c r="D143" s="2702"/>
      <c r="E143" s="32">
        <f>+'B) Reajuste Tarifas y Ocupación'!K46</f>
        <v>4600</v>
      </c>
      <c r="F143" s="32">
        <f>+'B) Reajuste Tarifas y Ocupación'!L46</f>
        <v>5100</v>
      </c>
      <c r="G143" s="32">
        <f>+'B) Reajuste Tarifas y Ocupación'!M46</f>
        <v>5700</v>
      </c>
      <c r="H143" s="2696"/>
      <c r="I143" s="2696"/>
      <c r="J143" s="2697"/>
    </row>
    <row r="144" spans="1:10" x14ac:dyDescent="0.35">
      <c r="A144" s="2747"/>
      <c r="B144" s="2691"/>
      <c r="C144" s="22" t="s">
        <v>30</v>
      </c>
      <c r="D144" s="2789"/>
      <c r="E144" s="31">
        <f>+'B) Reajuste Tarifas y Ocupación'!V46</f>
        <v>0</v>
      </c>
      <c r="F144" s="31">
        <f>+'B) Reajuste Tarifas y Ocupación'!W46</f>
        <v>0</v>
      </c>
      <c r="G144" s="31">
        <f>+'B) Reajuste Tarifas y Ocupación'!X46</f>
        <v>0</v>
      </c>
      <c r="H144" s="2696"/>
      <c r="I144" s="2696"/>
      <c r="J144" s="2697"/>
    </row>
    <row r="145" spans="1:10" x14ac:dyDescent="0.35">
      <c r="A145" s="2747"/>
      <c r="B145" s="2701"/>
      <c r="C145" s="47" t="s">
        <v>31</v>
      </c>
      <c r="D145" s="48"/>
      <c r="E145" s="49">
        <f>E144*E143</f>
        <v>0</v>
      </c>
      <c r="F145" s="26">
        <f>F144*F143</f>
        <v>0</v>
      </c>
      <c r="G145" s="26">
        <f>G144*G143</f>
        <v>0</v>
      </c>
      <c r="H145" s="27">
        <f>(E143-D143)*D144</f>
        <v>0</v>
      </c>
      <c r="I145" s="27">
        <f>SUM(D145:G145)</f>
        <v>0</v>
      </c>
      <c r="J145" s="28">
        <f>H145+I145</f>
        <v>0</v>
      </c>
    </row>
    <row r="146" spans="1:10" ht="15" thickBot="1" x14ac:dyDescent="0.4">
      <c r="A146" s="2748"/>
      <c r="B146" s="2703" t="s">
        <v>32</v>
      </c>
      <c r="C146" s="2704"/>
      <c r="D146" s="37">
        <f>+D142+D145</f>
        <v>0</v>
      </c>
      <c r="E146" s="37">
        <f t="shared" ref="E146:J146" si="9">+E142+E145</f>
        <v>0</v>
      </c>
      <c r="F146" s="37">
        <f t="shared" si="9"/>
        <v>0</v>
      </c>
      <c r="G146" s="37">
        <f t="shared" si="9"/>
        <v>0</v>
      </c>
      <c r="H146" s="37">
        <f t="shared" si="9"/>
        <v>0</v>
      </c>
      <c r="I146" s="37">
        <f t="shared" si="9"/>
        <v>0</v>
      </c>
      <c r="J146" s="37">
        <f t="shared" si="9"/>
        <v>0</v>
      </c>
    </row>
    <row r="147" spans="1:10" x14ac:dyDescent="0.35">
      <c r="A147" s="2746" t="str">
        <f>+'B) Reajuste Tarifas y Ocupación'!A47</f>
        <v>Piscina C.R. Los Maitenes (Bajo)</v>
      </c>
      <c r="B147" s="2749" t="s">
        <v>68</v>
      </c>
      <c r="C147" s="19" t="s">
        <v>521</v>
      </c>
      <c r="D147" s="2781"/>
      <c r="E147" s="669">
        <f>+'B) Reajuste Tarifas y Ocupación'!K47</f>
        <v>8800</v>
      </c>
      <c r="F147" s="669">
        <f>+'B) Reajuste Tarifas y Ocupación'!L47</f>
        <v>9800</v>
      </c>
      <c r="G147" s="669">
        <f>+'B) Reajuste Tarifas y Ocupación'!M47</f>
        <v>11000</v>
      </c>
      <c r="H147" s="2782"/>
      <c r="I147" s="2782"/>
      <c r="J147" s="2784"/>
    </row>
    <row r="148" spans="1:10" x14ac:dyDescent="0.35">
      <c r="A148" s="2747"/>
      <c r="B148" s="2723"/>
      <c r="C148" s="547" t="s">
        <v>30</v>
      </c>
      <c r="D148" s="2766"/>
      <c r="E148" s="670">
        <f>+'B) Reajuste Tarifas y Ocupación'!V47</f>
        <v>0</v>
      </c>
      <c r="F148" s="670">
        <f>+'B) Reajuste Tarifas y Ocupación'!W47</f>
        <v>0</v>
      </c>
      <c r="G148" s="670">
        <f>+'B) Reajuste Tarifas y Ocupación'!X47</f>
        <v>0</v>
      </c>
      <c r="H148" s="2783"/>
      <c r="I148" s="2783"/>
      <c r="J148" s="2785"/>
    </row>
    <row r="149" spans="1:10" ht="15" thickBot="1" x14ac:dyDescent="0.4">
      <c r="A149" s="2747"/>
      <c r="B149" s="2780"/>
      <c r="C149" s="649" t="s">
        <v>31</v>
      </c>
      <c r="D149" s="671"/>
      <c r="E149" s="672">
        <f>E148*E147</f>
        <v>0</v>
      </c>
      <c r="F149" s="672">
        <f>F148*F147</f>
        <v>0</v>
      </c>
      <c r="G149" s="672">
        <f>G148*G147</f>
        <v>0</v>
      </c>
      <c r="H149" s="673">
        <f>(E147-D147)*D148</f>
        <v>0</v>
      </c>
      <c r="I149" s="673">
        <f>SUM(D149:G149)</f>
        <v>0</v>
      </c>
      <c r="J149" s="674">
        <f>H149+I149</f>
        <v>0</v>
      </c>
    </row>
    <row r="150" spans="1:10" x14ac:dyDescent="0.35">
      <c r="A150" s="2747"/>
      <c r="B150" s="2786" t="s">
        <v>69</v>
      </c>
      <c r="C150" s="19" t="s">
        <v>521</v>
      </c>
      <c r="D150" s="2788"/>
      <c r="E150" s="675">
        <f>+'B) Reajuste Tarifas y Ocupación'!K48</f>
        <v>4600</v>
      </c>
      <c r="F150" s="675">
        <f>+'B) Reajuste Tarifas y Ocupación'!L48</f>
        <v>5100</v>
      </c>
      <c r="G150" s="675">
        <f>+'B) Reajuste Tarifas y Ocupación'!M48</f>
        <v>5700</v>
      </c>
      <c r="H150" s="2783"/>
      <c r="I150" s="2783"/>
      <c r="J150" s="2785"/>
    </row>
    <row r="151" spans="1:10" x14ac:dyDescent="0.35">
      <c r="A151" s="2747"/>
      <c r="B151" s="2723"/>
      <c r="C151" s="547" t="s">
        <v>30</v>
      </c>
      <c r="D151" s="2721"/>
      <c r="E151" s="670">
        <f>+'B) Reajuste Tarifas y Ocupación'!V48</f>
        <v>0</v>
      </c>
      <c r="F151" s="670">
        <f>+'B) Reajuste Tarifas y Ocupación'!W48</f>
        <v>0</v>
      </c>
      <c r="G151" s="670">
        <f>+'B) Reajuste Tarifas y Ocupación'!X48</f>
        <v>0</v>
      </c>
      <c r="H151" s="2783"/>
      <c r="I151" s="2783"/>
      <c r="J151" s="2785"/>
    </row>
    <row r="152" spans="1:10" x14ac:dyDescent="0.35">
      <c r="A152" s="2747"/>
      <c r="B152" s="2787"/>
      <c r="C152" s="344" t="s">
        <v>31</v>
      </c>
      <c r="D152" s="663"/>
      <c r="E152" s="672">
        <f>E151*E150</f>
        <v>0</v>
      </c>
      <c r="F152" s="672">
        <f>F151*F150</f>
        <v>0</v>
      </c>
      <c r="G152" s="672">
        <f>G151*G150</f>
        <v>0</v>
      </c>
      <c r="H152" s="673">
        <f>(E150-D150)*D151</f>
        <v>0</v>
      </c>
      <c r="I152" s="673">
        <f>SUM(D152:G152)</f>
        <v>0</v>
      </c>
      <c r="J152" s="674">
        <f>H152+I152</f>
        <v>0</v>
      </c>
    </row>
    <row r="153" spans="1:10" ht="15" thickBot="1" x14ac:dyDescent="0.4">
      <c r="A153" s="2748"/>
      <c r="B153" s="2790" t="s">
        <v>32</v>
      </c>
      <c r="C153" s="2791"/>
      <c r="D153" s="37">
        <f>+D149+D152</f>
        <v>0</v>
      </c>
      <c r="E153" s="37">
        <f t="shared" ref="E153:J153" si="10">+E149+E152</f>
        <v>0</v>
      </c>
      <c r="F153" s="37">
        <f t="shared" si="10"/>
        <v>0</v>
      </c>
      <c r="G153" s="37">
        <f t="shared" si="10"/>
        <v>0</v>
      </c>
      <c r="H153" s="37">
        <f t="shared" si="10"/>
        <v>0</v>
      </c>
      <c r="I153" s="37">
        <f t="shared" si="10"/>
        <v>0</v>
      </c>
      <c r="J153" s="61">
        <f t="shared" si="10"/>
        <v>0</v>
      </c>
    </row>
    <row r="154" spans="1:10" x14ac:dyDescent="0.35">
      <c r="A154" s="2747" t="str">
        <f>+'B) Reajuste Tarifas y Ocupación'!A49</f>
        <v>C. R. Las Salinas</v>
      </c>
      <c r="B154" s="2690" t="str">
        <f>'B) Reajuste Tarifas y Ocupación'!B49</f>
        <v>Quincho (8p)</v>
      </c>
      <c r="C154" s="19" t="s">
        <v>521</v>
      </c>
      <c r="D154" s="668">
        <f>+'B) Reajuste Tarifas y Ocupación'!J49</f>
        <v>15700</v>
      </c>
      <c r="E154" s="668">
        <f>+'B) Reajuste Tarifas y Ocupación'!K49</f>
        <v>24100</v>
      </c>
      <c r="F154" s="668">
        <f>+'B) Reajuste Tarifas y Ocupación'!L49</f>
        <v>26500</v>
      </c>
      <c r="G154" s="668">
        <f>+'B) Reajuste Tarifas y Ocupación'!M49</f>
        <v>30000</v>
      </c>
      <c r="H154" s="2778"/>
      <c r="I154" s="2778"/>
      <c r="J154" s="2779"/>
    </row>
    <row r="155" spans="1:10" x14ac:dyDescent="0.35">
      <c r="A155" s="2747"/>
      <c r="B155" s="2691"/>
      <c r="C155" s="660" t="s">
        <v>30</v>
      </c>
      <c r="D155" s="551">
        <f>+'B) Reajuste Tarifas y Ocupación'!U49</f>
        <v>665</v>
      </c>
      <c r="E155" s="551">
        <f>+'B) Reajuste Tarifas y Ocupación'!V49</f>
        <v>76</v>
      </c>
      <c r="F155" s="551">
        <f>+'B) Reajuste Tarifas y Ocupación'!W49</f>
        <v>6</v>
      </c>
      <c r="G155" s="551">
        <f>+'B) Reajuste Tarifas y Ocupación'!X49</f>
        <v>0</v>
      </c>
      <c r="H155" s="2717"/>
      <c r="I155" s="2717"/>
      <c r="J155" s="2718"/>
    </row>
    <row r="156" spans="1:10" ht="15" thickBot="1" x14ac:dyDescent="0.4">
      <c r="A156" s="2747"/>
      <c r="B156" s="2692"/>
      <c r="C156" s="661" t="s">
        <v>31</v>
      </c>
      <c r="D156" s="656">
        <f>D155*D154</f>
        <v>10440500</v>
      </c>
      <c r="E156" s="656">
        <f>E155*E154</f>
        <v>1831600</v>
      </c>
      <c r="F156" s="656">
        <f>F155*F154</f>
        <v>159000</v>
      </c>
      <c r="G156" s="656">
        <f>G155*G154</f>
        <v>0</v>
      </c>
      <c r="H156" s="657">
        <f>(E154-D154)*D155</f>
        <v>5586000</v>
      </c>
      <c r="I156" s="657">
        <f>SUM(D156:G156)</f>
        <v>12431100</v>
      </c>
      <c r="J156" s="657">
        <f>H156+I156</f>
        <v>18017100</v>
      </c>
    </row>
    <row r="157" spans="1:10" x14ac:dyDescent="0.35">
      <c r="A157" s="2747"/>
      <c r="B157" s="2723" t="str">
        <f>'B) Reajuste Tarifas y Ocupación'!B50</f>
        <v>Quincho (P/Adicional)</v>
      </c>
      <c r="C157" s="19" t="s">
        <v>521</v>
      </c>
      <c r="D157" s="2716"/>
      <c r="E157" s="550">
        <f>+'B) Reajuste Tarifas y Ocupación'!K50</f>
        <v>4000</v>
      </c>
      <c r="F157" s="550">
        <f>+'B) Reajuste Tarifas y Ocupación'!L50</f>
        <v>4400</v>
      </c>
      <c r="G157" s="550">
        <f>+'B) Reajuste Tarifas y Ocupación'!M50</f>
        <v>5100</v>
      </c>
      <c r="H157" s="2717"/>
      <c r="I157" s="2717"/>
      <c r="J157" s="2718"/>
    </row>
    <row r="158" spans="1:10" x14ac:dyDescent="0.35">
      <c r="A158" s="2747"/>
      <c r="B158" s="2723"/>
      <c r="C158" s="659" t="s">
        <v>30</v>
      </c>
      <c r="D158" s="2716"/>
      <c r="E158" s="551">
        <f>+'B) Reajuste Tarifas y Ocupación'!V50</f>
        <v>0</v>
      </c>
      <c r="F158" s="551">
        <f>+'B) Reajuste Tarifas y Ocupación'!W50</f>
        <v>0</v>
      </c>
      <c r="G158" s="551">
        <f>+'B) Reajuste Tarifas y Ocupación'!X50</f>
        <v>0</v>
      </c>
      <c r="H158" s="2717"/>
      <c r="I158" s="2717"/>
      <c r="J158" s="2718"/>
    </row>
    <row r="159" spans="1:10" ht="15" thickBot="1" x14ac:dyDescent="0.4">
      <c r="A159" s="2747"/>
      <c r="B159" s="2692"/>
      <c r="C159" s="661" t="s">
        <v>31</v>
      </c>
      <c r="D159" s="663"/>
      <c r="E159" s="656">
        <f>E158*E157</f>
        <v>0</v>
      </c>
      <c r="F159" s="656">
        <f>F158*F157</f>
        <v>0</v>
      </c>
      <c r="G159" s="656">
        <f>G158*G157</f>
        <v>0</v>
      </c>
      <c r="H159" s="657">
        <f>(E157-D157)*D158</f>
        <v>0</v>
      </c>
      <c r="I159" s="657">
        <f>SUM(D159:G159)</f>
        <v>0</v>
      </c>
      <c r="J159" s="657">
        <f>H159+I159</f>
        <v>0</v>
      </c>
    </row>
    <row r="160" spans="1:10" x14ac:dyDescent="0.35">
      <c r="A160" s="2747"/>
      <c r="B160" s="2792" t="str">
        <f>'B) Reajuste Tarifas y Ocupación'!B51</f>
        <v>Quincho (Fechas especiales)</v>
      </c>
      <c r="C160" s="19" t="s">
        <v>521</v>
      </c>
      <c r="D160" s="2716"/>
      <c r="E160" s="550">
        <f>+'B) Reajuste Tarifas y Ocupación'!K51</f>
        <v>65900</v>
      </c>
      <c r="F160" s="550">
        <f>+'B) Reajuste Tarifas y Ocupación'!L51</f>
        <v>72500</v>
      </c>
      <c r="G160" s="550">
        <f>+'B) Reajuste Tarifas y Ocupación'!M51</f>
        <v>82200</v>
      </c>
      <c r="H160" s="2717"/>
      <c r="I160" s="2717"/>
      <c r="J160" s="2718"/>
    </row>
    <row r="161" spans="1:10" x14ac:dyDescent="0.35">
      <c r="A161" s="2747"/>
      <c r="B161" s="2792"/>
      <c r="C161" s="659" t="s">
        <v>30</v>
      </c>
      <c r="D161" s="2716"/>
      <c r="E161" s="551">
        <f>+'B) Reajuste Tarifas y Ocupación'!V51</f>
        <v>0</v>
      </c>
      <c r="F161" s="551">
        <f>+'B) Reajuste Tarifas y Ocupación'!W51</f>
        <v>0</v>
      </c>
      <c r="G161" s="551">
        <f>+'B) Reajuste Tarifas y Ocupación'!X51</f>
        <v>0</v>
      </c>
      <c r="H161" s="2717"/>
      <c r="I161" s="2717"/>
      <c r="J161" s="2718"/>
    </row>
    <row r="162" spans="1:10" ht="15" thickBot="1" x14ac:dyDescent="0.4">
      <c r="A162" s="2747"/>
      <c r="B162" s="2793"/>
      <c r="C162" s="661" t="s">
        <v>31</v>
      </c>
      <c r="D162" s="663"/>
      <c r="E162" s="656">
        <f>E161*E160</f>
        <v>0</v>
      </c>
      <c r="F162" s="656">
        <f t="shared" ref="F162:G162" si="11">F161*F160</f>
        <v>0</v>
      </c>
      <c r="G162" s="656">
        <f t="shared" si="11"/>
        <v>0</v>
      </c>
      <c r="H162" s="657">
        <f>(E160-D160)*D161</f>
        <v>0</v>
      </c>
      <c r="I162" s="657">
        <f>SUM(D162:G162)</f>
        <v>0</v>
      </c>
      <c r="J162" s="657">
        <f>H162+I162</f>
        <v>0</v>
      </c>
    </row>
    <row r="163" spans="1:10" x14ac:dyDescent="0.35">
      <c r="A163" s="2747"/>
      <c r="B163" s="2707" t="str">
        <f>+'B) Reajuste Tarifas y Ocupación'!B52</f>
        <v>Salón N° 1 Valor Reparticiones (0-120 personas)</v>
      </c>
      <c r="C163" s="19" t="s">
        <v>521</v>
      </c>
      <c r="D163" s="2716"/>
      <c r="E163" s="550">
        <f>+'B) Reajuste Tarifas y Ocupación'!K52</f>
        <v>438900</v>
      </c>
      <c r="F163" s="2716"/>
      <c r="G163" s="2716"/>
      <c r="H163" s="2717"/>
      <c r="I163" s="2717"/>
      <c r="J163" s="2718"/>
    </row>
    <row r="164" spans="1:10" x14ac:dyDescent="0.35">
      <c r="A164" s="2747"/>
      <c r="B164" s="2707"/>
      <c r="C164" s="659" t="s">
        <v>30</v>
      </c>
      <c r="D164" s="2716"/>
      <c r="E164" s="551">
        <f>+'B) Reajuste Tarifas y Ocupación'!V52</f>
        <v>36</v>
      </c>
      <c r="F164" s="2716"/>
      <c r="G164" s="2716"/>
      <c r="H164" s="2717"/>
      <c r="I164" s="2717"/>
      <c r="J164" s="2718"/>
    </row>
    <row r="165" spans="1:10" ht="15" thickBot="1" x14ac:dyDescent="0.4">
      <c r="A165" s="2747"/>
      <c r="B165" s="2708"/>
      <c r="C165" s="661" t="s">
        <v>31</v>
      </c>
      <c r="D165" s="663"/>
      <c r="E165" s="656">
        <f>E164*E163</f>
        <v>15800400</v>
      </c>
      <c r="F165" s="663"/>
      <c r="G165" s="663"/>
      <c r="H165" s="657">
        <f>(E163-D163)*D164</f>
        <v>0</v>
      </c>
      <c r="I165" s="657">
        <f>SUM(D165:G165)</f>
        <v>15800400</v>
      </c>
      <c r="J165" s="657">
        <f>H165+I165</f>
        <v>15800400</v>
      </c>
    </row>
    <row r="166" spans="1:10" ht="15" customHeight="1" x14ac:dyDescent="0.35">
      <c r="A166" s="2747"/>
      <c r="B166" s="2707" t="str">
        <f>+'B) Reajuste Tarifas y Ocupación'!B53</f>
        <v>Salón N° 1 Valor Reparticiones (121-200 personas)</v>
      </c>
      <c r="C166" s="19" t="s">
        <v>521</v>
      </c>
      <c r="D166" s="2716"/>
      <c r="E166" s="550">
        <f>+'B) Reajuste Tarifas y Ocupación'!K53</f>
        <v>658400</v>
      </c>
      <c r="F166" s="2716"/>
      <c r="G166" s="2716"/>
      <c r="H166" s="2717"/>
      <c r="I166" s="2717"/>
      <c r="J166" s="2718"/>
    </row>
    <row r="167" spans="1:10" x14ac:dyDescent="0.35">
      <c r="A167" s="2747"/>
      <c r="B167" s="2707"/>
      <c r="C167" s="659" t="s">
        <v>30</v>
      </c>
      <c r="D167" s="2716"/>
      <c r="E167" s="551">
        <f>+'B) Reajuste Tarifas y Ocupación'!V53</f>
        <v>6</v>
      </c>
      <c r="F167" s="2716"/>
      <c r="G167" s="2716"/>
      <c r="H167" s="2717"/>
      <c r="I167" s="2717"/>
      <c r="J167" s="2718"/>
    </row>
    <row r="168" spans="1:10" ht="15" thickBot="1" x14ac:dyDescent="0.4">
      <c r="A168" s="2747"/>
      <c r="B168" s="2708"/>
      <c r="C168" s="661" t="s">
        <v>31</v>
      </c>
      <c r="D168" s="663"/>
      <c r="E168" s="656">
        <f>E167*E166</f>
        <v>3950400</v>
      </c>
      <c r="F168" s="663"/>
      <c r="G168" s="663"/>
      <c r="H168" s="657">
        <f>(E166-D166)*D167</f>
        <v>0</v>
      </c>
      <c r="I168" s="657">
        <f>SUM(D168:G168)</f>
        <v>3950400</v>
      </c>
      <c r="J168" s="657">
        <f>H168+I168</f>
        <v>3950400</v>
      </c>
    </row>
    <row r="169" spans="1:10" x14ac:dyDescent="0.35">
      <c r="A169" s="2747"/>
      <c r="B169" s="2707" t="str">
        <f>+'B) Reajuste Tarifas y Ocupación'!B54</f>
        <v>Salón N° 1 Eventos (0 -200 personas)</v>
      </c>
      <c r="C169" s="19" t="s">
        <v>521</v>
      </c>
      <c r="D169" s="2721"/>
      <c r="E169" s="662">
        <f>+'B) Reajuste Tarifas y Ocupación'!K54</f>
        <v>1316700</v>
      </c>
      <c r="F169" s="662">
        <f>+'B) Reajuste Tarifas y Ocupación'!L54</f>
        <v>1448400</v>
      </c>
      <c r="G169" s="662">
        <f>+'B) Reajuste Tarifas y Ocupación'!M54</f>
        <v>1641500</v>
      </c>
      <c r="H169" s="2719"/>
      <c r="I169" s="2719"/>
      <c r="J169" s="2720"/>
    </row>
    <row r="170" spans="1:10" x14ac:dyDescent="0.35">
      <c r="A170" s="2747"/>
      <c r="B170" s="2707"/>
      <c r="C170" s="337" t="s">
        <v>30</v>
      </c>
      <c r="D170" s="2711"/>
      <c r="E170" s="31">
        <f>+'B) Reajuste Tarifas y Ocupación'!V54</f>
        <v>30</v>
      </c>
      <c r="F170" s="31">
        <f>+'B) Reajuste Tarifas y Ocupación'!W54</f>
        <v>0</v>
      </c>
      <c r="G170" s="31">
        <f>+'B) Reajuste Tarifas y Ocupación'!X54</f>
        <v>0</v>
      </c>
      <c r="H170" s="2696"/>
      <c r="I170" s="2696"/>
      <c r="J170" s="2697"/>
    </row>
    <row r="171" spans="1:10" ht="15" thickBot="1" x14ac:dyDescent="0.4">
      <c r="A171" s="2747"/>
      <c r="B171" s="2708"/>
      <c r="C171" s="333" t="s">
        <v>31</v>
      </c>
      <c r="D171" s="341"/>
      <c r="E171" s="26">
        <f>E170*E169</f>
        <v>39501000</v>
      </c>
      <c r="F171" s="26">
        <f>F170*F169</f>
        <v>0</v>
      </c>
      <c r="G171" s="26">
        <f>G170*G169</f>
        <v>0</v>
      </c>
      <c r="H171" s="27">
        <f>(E169-D169)*D170</f>
        <v>0</v>
      </c>
      <c r="I171" s="27">
        <f>SUM(D171:G171)</f>
        <v>39501000</v>
      </c>
      <c r="J171" s="28">
        <f>H171+I171</f>
        <v>39501000</v>
      </c>
    </row>
    <row r="172" spans="1:10" x14ac:dyDescent="0.35">
      <c r="A172" s="2747"/>
      <c r="B172" s="2707" t="str">
        <f>+'B) Reajuste Tarifas y Ocupación'!B55</f>
        <v>Salón N° 1 Fechas especiales (0 -200 personas)</v>
      </c>
      <c r="C172" s="19" t="s">
        <v>521</v>
      </c>
      <c r="D172" s="2710"/>
      <c r="E172" s="30">
        <f>+'B) Reajuste Tarifas y Ocupación'!K55</f>
        <v>2633400</v>
      </c>
      <c r="F172" s="2710"/>
      <c r="G172" s="2710"/>
      <c r="H172" s="2712"/>
      <c r="I172" s="2712"/>
      <c r="J172" s="2713"/>
    </row>
    <row r="173" spans="1:10" x14ac:dyDescent="0.35">
      <c r="A173" s="2747"/>
      <c r="B173" s="2707"/>
      <c r="C173" s="337" t="s">
        <v>30</v>
      </c>
      <c r="D173" s="2711"/>
      <c r="E173" s="31">
        <f>+'B) Reajuste Tarifas y Ocupación'!V55</f>
        <v>0</v>
      </c>
      <c r="F173" s="2711"/>
      <c r="G173" s="2711"/>
      <c r="H173" s="2696"/>
      <c r="I173" s="2696"/>
      <c r="J173" s="2697"/>
    </row>
    <row r="174" spans="1:10" ht="15" thickBot="1" x14ac:dyDescent="0.4">
      <c r="A174" s="2747"/>
      <c r="B174" s="2708"/>
      <c r="C174" s="333" t="s">
        <v>31</v>
      </c>
      <c r="D174" s="341"/>
      <c r="E174" s="26">
        <f>E173*E172</f>
        <v>0</v>
      </c>
      <c r="F174" s="341"/>
      <c r="G174" s="341"/>
      <c r="H174" s="27">
        <f>(E172-D172)*D173</f>
        <v>0</v>
      </c>
      <c r="I174" s="27">
        <f>SUM(D174:G174)</f>
        <v>0</v>
      </c>
      <c r="J174" s="28">
        <f>H174+I174</f>
        <v>0</v>
      </c>
    </row>
    <row r="175" spans="1:10" x14ac:dyDescent="0.35">
      <c r="A175" s="2747"/>
      <c r="B175" s="2707" t="str">
        <f>+'B) Reajuste Tarifas y Ocupación'!B56</f>
        <v>Terraza AM+PM</v>
      </c>
      <c r="C175" s="19" t="s">
        <v>521</v>
      </c>
      <c r="D175" s="2710"/>
      <c r="E175" s="30">
        <f>+'B) Reajuste Tarifas y Ocupación'!K56</f>
        <v>164600</v>
      </c>
      <c r="F175" s="30">
        <f>+'B) Reajuste Tarifas y Ocupación'!L56</f>
        <v>181100</v>
      </c>
      <c r="G175" s="30">
        <f>+'B) Reajuste Tarifas y Ocupación'!M56</f>
        <v>205300</v>
      </c>
      <c r="H175" s="2712"/>
      <c r="I175" s="2712"/>
      <c r="J175" s="2713"/>
    </row>
    <row r="176" spans="1:10" x14ac:dyDescent="0.35">
      <c r="A176" s="2747"/>
      <c r="B176" s="2707"/>
      <c r="C176" s="337" t="s">
        <v>30</v>
      </c>
      <c r="D176" s="2711"/>
      <c r="E176" s="31">
        <f>+'B) Reajuste Tarifas y Ocupación'!V56</f>
        <v>0</v>
      </c>
      <c r="F176" s="31">
        <f>+'B) Reajuste Tarifas y Ocupación'!W56</f>
        <v>0</v>
      </c>
      <c r="G176" s="31">
        <f>+'B) Reajuste Tarifas y Ocupación'!X56</f>
        <v>0</v>
      </c>
      <c r="H176" s="2696"/>
      <c r="I176" s="2696"/>
      <c r="J176" s="2697"/>
    </row>
    <row r="177" spans="1:10" ht="15" thickBot="1" x14ac:dyDescent="0.4">
      <c r="A177" s="2747"/>
      <c r="B177" s="2708"/>
      <c r="C177" s="333" t="s">
        <v>31</v>
      </c>
      <c r="D177" s="341"/>
      <c r="E177" s="26">
        <f>E176*E175</f>
        <v>0</v>
      </c>
      <c r="F177" s="658">
        <f>F176*F175</f>
        <v>0</v>
      </c>
      <c r="G177" s="26">
        <f>G176*G175</f>
        <v>0</v>
      </c>
      <c r="H177" s="27">
        <f>(E175-D175)*D176</f>
        <v>0</v>
      </c>
      <c r="I177" s="27">
        <f>SUM(D177:G177)</f>
        <v>0</v>
      </c>
      <c r="J177" s="28">
        <f>H177+I177</f>
        <v>0</v>
      </c>
    </row>
    <row r="178" spans="1:10" x14ac:dyDescent="0.35">
      <c r="A178" s="2747"/>
      <c r="B178" s="2796" t="str">
        <f>'B) Reajuste Tarifas y Ocupación'!B57</f>
        <v>Salón N° 2 Eventos AM</v>
      </c>
      <c r="C178" s="19" t="s">
        <v>521</v>
      </c>
      <c r="D178" s="2710"/>
      <c r="E178" s="32">
        <f>+'B) Reajuste Tarifas y Ocupación'!K57</f>
        <v>164600</v>
      </c>
      <c r="F178" s="32">
        <f>+'B) Reajuste Tarifas y Ocupación'!L57</f>
        <v>181100</v>
      </c>
      <c r="G178" s="32">
        <f>+'B) Reajuste Tarifas y Ocupación'!M57</f>
        <v>205300</v>
      </c>
      <c r="H178" s="2696"/>
      <c r="I178" s="2696"/>
      <c r="J178" s="2697"/>
    </row>
    <row r="179" spans="1:10" x14ac:dyDescent="0.35">
      <c r="A179" s="2747"/>
      <c r="B179" s="2796"/>
      <c r="C179" s="337" t="s">
        <v>30</v>
      </c>
      <c r="D179" s="2711"/>
      <c r="E179" s="31">
        <f>+'B) Reajuste Tarifas y Ocupación'!V57</f>
        <v>0</v>
      </c>
      <c r="F179" s="31">
        <f>+'B) Reajuste Tarifas y Ocupación'!W57</f>
        <v>0</v>
      </c>
      <c r="G179" s="31">
        <f>+'B) Reajuste Tarifas y Ocupación'!X57</f>
        <v>0</v>
      </c>
      <c r="H179" s="2696"/>
      <c r="I179" s="2696"/>
      <c r="J179" s="2697"/>
    </row>
    <row r="180" spans="1:10" ht="15" thickBot="1" x14ac:dyDescent="0.4">
      <c r="A180" s="2747"/>
      <c r="B180" s="2796"/>
      <c r="C180" s="333" t="s">
        <v>31</v>
      </c>
      <c r="D180" s="341"/>
      <c r="E180" s="52">
        <f>E179*E178</f>
        <v>0</v>
      </c>
      <c r="F180" s="52">
        <f>F179*F178</f>
        <v>0</v>
      </c>
      <c r="G180" s="52">
        <f>G179*G178</f>
        <v>0</v>
      </c>
      <c r="H180" s="53">
        <f>(E178-D178)*D179</f>
        <v>0</v>
      </c>
      <c r="I180" s="53">
        <f>SUM(D180:G180)</f>
        <v>0</v>
      </c>
      <c r="J180" s="44">
        <f>H180+I180</f>
        <v>0</v>
      </c>
    </row>
    <row r="181" spans="1:10" x14ac:dyDescent="0.35">
      <c r="A181" s="2747"/>
      <c r="B181" s="2709" t="str">
        <f>'B) Reajuste Tarifas y Ocupación'!B58</f>
        <v>Salón N° 2 Eventos PM</v>
      </c>
      <c r="C181" s="19" t="s">
        <v>521</v>
      </c>
      <c r="D181" s="2710"/>
      <c r="E181" s="55">
        <f>+'B) Reajuste Tarifas y Ocupación'!K58</f>
        <v>219500</v>
      </c>
      <c r="F181" s="55">
        <f>+'B) Reajuste Tarifas y Ocupación'!L58</f>
        <v>241400</v>
      </c>
      <c r="G181" s="55">
        <f>+'B) Reajuste Tarifas y Ocupación'!M58</f>
        <v>273600</v>
      </c>
      <c r="H181" s="2696"/>
      <c r="I181" s="2714"/>
      <c r="J181" s="2715"/>
    </row>
    <row r="182" spans="1:10" x14ac:dyDescent="0.35">
      <c r="A182" s="2747"/>
      <c r="B182" s="2709"/>
      <c r="C182" s="337" t="s">
        <v>30</v>
      </c>
      <c r="D182" s="2711"/>
      <c r="E182" s="56">
        <f>+'B) Reajuste Tarifas y Ocupación'!V58</f>
        <v>62</v>
      </c>
      <c r="F182" s="56">
        <f>+'B) Reajuste Tarifas y Ocupación'!W58</f>
        <v>0</v>
      </c>
      <c r="G182" s="56">
        <f>+'B) Reajuste Tarifas y Ocupación'!X58</f>
        <v>0</v>
      </c>
      <c r="H182" s="2696"/>
      <c r="I182" s="2714"/>
      <c r="J182" s="2715"/>
    </row>
    <row r="183" spans="1:10" ht="15" thickBot="1" x14ac:dyDescent="0.4">
      <c r="A183" s="2747"/>
      <c r="B183" s="2709"/>
      <c r="C183" s="333" t="s">
        <v>31</v>
      </c>
      <c r="D183" s="341"/>
      <c r="E183" s="58">
        <f>E182*E181</f>
        <v>13609000</v>
      </c>
      <c r="F183" s="58">
        <f>F182*F181</f>
        <v>0</v>
      </c>
      <c r="G183" s="58">
        <f>G182*G181</f>
        <v>0</v>
      </c>
      <c r="H183" s="59">
        <f>(E181-D181)*D182</f>
        <v>0</v>
      </c>
      <c r="I183" s="59">
        <f>SUM(D183:G183)</f>
        <v>13609000</v>
      </c>
      <c r="J183" s="60">
        <f>H183+I183</f>
        <v>13609000</v>
      </c>
    </row>
    <row r="184" spans="1:10" x14ac:dyDescent="0.35">
      <c r="A184" s="2747"/>
      <c r="B184" s="2709" t="str">
        <f>'B) Reajuste Tarifas y Ocupación'!B59</f>
        <v>Salón N° 2 Fechas Especiales</v>
      </c>
      <c r="C184" s="19" t="s">
        <v>521</v>
      </c>
      <c r="D184" s="2710"/>
      <c r="E184" s="55">
        <f>+'B) Reajuste Tarifas y Ocupación'!K59</f>
        <v>0</v>
      </c>
      <c r="F184" s="2716"/>
      <c r="G184" s="2710"/>
      <c r="H184" s="2696"/>
      <c r="I184" s="2714"/>
      <c r="J184" s="2715"/>
    </row>
    <row r="185" spans="1:10" x14ac:dyDescent="0.35">
      <c r="A185" s="2747"/>
      <c r="B185" s="2709"/>
      <c r="C185" s="337" t="s">
        <v>30</v>
      </c>
      <c r="D185" s="2711"/>
      <c r="E185" s="56">
        <f>+'B) Reajuste Tarifas y Ocupación'!V59</f>
        <v>1</v>
      </c>
      <c r="F185" s="2716"/>
      <c r="G185" s="2711"/>
      <c r="H185" s="2696"/>
      <c r="I185" s="2714"/>
      <c r="J185" s="2715"/>
    </row>
    <row r="186" spans="1:10" ht="15" thickBot="1" x14ac:dyDescent="0.4">
      <c r="A186" s="2747"/>
      <c r="B186" s="2709"/>
      <c r="C186" s="333" t="s">
        <v>31</v>
      </c>
      <c r="D186" s="341"/>
      <c r="E186" s="58">
        <f>E185*E184</f>
        <v>0</v>
      </c>
      <c r="F186" s="341"/>
      <c r="G186" s="341"/>
      <c r="H186" s="59">
        <f>(E184-D184)*D185</f>
        <v>0</v>
      </c>
      <c r="I186" s="59">
        <f>SUM(D186:G186)</f>
        <v>0</v>
      </c>
      <c r="J186" s="60">
        <f>H186+I186</f>
        <v>0</v>
      </c>
    </row>
    <row r="187" spans="1:10" x14ac:dyDescent="0.35">
      <c r="A187" s="2747"/>
      <c r="B187" s="2797" t="str">
        <f>'B) Reajuste Tarifas y Ocupación'!B60</f>
        <v>Cancha Fútbol (L a V, diurno)</v>
      </c>
      <c r="C187" s="19" t="s">
        <v>521</v>
      </c>
      <c r="D187" s="2710"/>
      <c r="E187" s="55">
        <f>+'B) Reajuste Tarifas y Ocupación'!K60</f>
        <v>16900</v>
      </c>
      <c r="F187" s="55">
        <f>+'B) Reajuste Tarifas y Ocupación'!L60</f>
        <v>18500</v>
      </c>
      <c r="G187" s="55">
        <f>+'B) Reajuste Tarifas y Ocupación'!M60</f>
        <v>21100</v>
      </c>
      <c r="H187" s="2714"/>
      <c r="I187" s="2714"/>
      <c r="J187" s="2715"/>
    </row>
    <row r="188" spans="1:10" x14ac:dyDescent="0.35">
      <c r="A188" s="2747"/>
      <c r="B188" s="2798"/>
      <c r="C188" s="337" t="s">
        <v>30</v>
      </c>
      <c r="D188" s="2711"/>
      <c r="E188" s="56">
        <f>+'B) Reajuste Tarifas y Ocupación'!V60</f>
        <v>14</v>
      </c>
      <c r="F188" s="56">
        <f>+'B) Reajuste Tarifas y Ocupación'!W60</f>
        <v>0</v>
      </c>
      <c r="G188" s="56">
        <f>+'B) Reajuste Tarifas y Ocupación'!X60</f>
        <v>0</v>
      </c>
      <c r="H188" s="2714"/>
      <c r="I188" s="2714"/>
      <c r="J188" s="2715"/>
    </row>
    <row r="189" spans="1:10" ht="15" thickBot="1" x14ac:dyDescent="0.4">
      <c r="A189" s="2747"/>
      <c r="B189" s="2799"/>
      <c r="C189" s="333" t="s">
        <v>31</v>
      </c>
      <c r="D189" s="341"/>
      <c r="E189" s="58">
        <f>E188*E187</f>
        <v>236600</v>
      </c>
      <c r="F189" s="58">
        <f>F188*F187</f>
        <v>0</v>
      </c>
      <c r="G189" s="58">
        <f>G188*G187</f>
        <v>0</v>
      </c>
      <c r="H189" s="59">
        <f>(E187-D187)*D188</f>
        <v>0</v>
      </c>
      <c r="I189" s="59">
        <f>SUM(D189:G189)</f>
        <v>236600</v>
      </c>
      <c r="J189" s="60">
        <f>H189+I189</f>
        <v>236600</v>
      </c>
    </row>
    <row r="190" spans="1:10" x14ac:dyDescent="0.35">
      <c r="A190" s="2747"/>
      <c r="B190" s="2797" t="str">
        <f>'B) Reajuste Tarifas y Ocupación'!B61</f>
        <v>Cancha Fútbol (L a V, nocturno)</v>
      </c>
      <c r="C190" s="19" t="s">
        <v>521</v>
      </c>
      <c r="D190" s="2710"/>
      <c r="E190" s="55">
        <f>+'B) Reajuste Tarifas y Ocupación'!K64</f>
        <v>4300</v>
      </c>
      <c r="F190" s="55">
        <f>+'B) Reajuste Tarifas y Ocupación'!L64</f>
        <v>4900</v>
      </c>
      <c r="G190" s="55">
        <f>+'B) Reajuste Tarifas y Ocupación'!M64</f>
        <v>5500</v>
      </c>
      <c r="H190" s="2714"/>
      <c r="I190" s="2714"/>
      <c r="J190" s="2715"/>
    </row>
    <row r="191" spans="1:10" x14ac:dyDescent="0.35">
      <c r="A191" s="2747"/>
      <c r="B191" s="2798"/>
      <c r="C191" s="337" t="s">
        <v>30</v>
      </c>
      <c r="D191" s="2711"/>
      <c r="E191" s="56">
        <f>+'B) Reajuste Tarifas y Ocupación'!V61</f>
        <v>20</v>
      </c>
      <c r="F191" s="56">
        <f>+'B) Reajuste Tarifas y Ocupación'!W61</f>
        <v>0</v>
      </c>
      <c r="G191" s="56">
        <f>+'B) Reajuste Tarifas y Ocupación'!X61</f>
        <v>0</v>
      </c>
      <c r="H191" s="2714"/>
      <c r="I191" s="2714"/>
      <c r="J191" s="2715"/>
    </row>
    <row r="192" spans="1:10" ht="15" thickBot="1" x14ac:dyDescent="0.4">
      <c r="A192" s="2747"/>
      <c r="B192" s="2799"/>
      <c r="C192" s="333" t="s">
        <v>31</v>
      </c>
      <c r="D192" s="341"/>
      <c r="E192" s="58">
        <f>E191*E190</f>
        <v>86000</v>
      </c>
      <c r="F192" s="58">
        <f>F191*F190</f>
        <v>0</v>
      </c>
      <c r="G192" s="58">
        <f>G191*G190</f>
        <v>0</v>
      </c>
      <c r="H192" s="59">
        <f>(E190-D190)*D191</f>
        <v>0</v>
      </c>
      <c r="I192" s="59">
        <f>SUM(D192:G192)</f>
        <v>86000</v>
      </c>
      <c r="J192" s="60">
        <f>H192+I192</f>
        <v>86000</v>
      </c>
    </row>
    <row r="193" spans="1:10" x14ac:dyDescent="0.35">
      <c r="A193" s="2747"/>
      <c r="B193" s="2800" t="str">
        <f>'B) Reajuste Tarifas y Ocupación'!B62</f>
        <v>Cancha Fútbol (Fin de semana y festivos)</v>
      </c>
      <c r="C193" s="19" t="s">
        <v>521</v>
      </c>
      <c r="D193" s="2710"/>
      <c r="E193" s="55">
        <f>+'B) Reajuste Tarifas y Ocupación'!K67</f>
        <v>15300</v>
      </c>
      <c r="F193" s="55">
        <f>+'B) Reajuste Tarifas y Ocupación'!L67</f>
        <v>16900</v>
      </c>
      <c r="G193" s="55">
        <f>+'B) Reajuste Tarifas y Ocupación'!M67</f>
        <v>19100</v>
      </c>
      <c r="H193" s="2714"/>
      <c r="I193" s="2714"/>
      <c r="J193" s="2715"/>
    </row>
    <row r="194" spans="1:10" x14ac:dyDescent="0.35">
      <c r="A194" s="2747"/>
      <c r="B194" s="2801"/>
      <c r="C194" s="337" t="s">
        <v>30</v>
      </c>
      <c r="D194" s="2711"/>
      <c r="E194" s="56">
        <f>+'B) Reajuste Tarifas y Ocupación'!V62</f>
        <v>55</v>
      </c>
      <c r="F194" s="56">
        <f>+'B) Reajuste Tarifas y Ocupación'!W62</f>
        <v>0</v>
      </c>
      <c r="G194" s="56">
        <f>+'B) Reajuste Tarifas y Ocupación'!X62</f>
        <v>0</v>
      </c>
      <c r="H194" s="2714"/>
      <c r="I194" s="2714"/>
      <c r="J194" s="2715"/>
    </row>
    <row r="195" spans="1:10" x14ac:dyDescent="0.35">
      <c r="A195" s="2747"/>
      <c r="B195" s="2802"/>
      <c r="C195" s="57" t="s">
        <v>31</v>
      </c>
      <c r="D195" s="48"/>
      <c r="E195" s="58">
        <f>E194*E193</f>
        <v>841500</v>
      </c>
      <c r="F195" s="58">
        <f>F194*F193</f>
        <v>0</v>
      </c>
      <c r="G195" s="58">
        <f>G194*G193</f>
        <v>0</v>
      </c>
      <c r="H195" s="59">
        <f>(E193-D193)*D194</f>
        <v>0</v>
      </c>
      <c r="I195" s="59">
        <f>SUM(D195:G195)</f>
        <v>841500</v>
      </c>
      <c r="J195" s="60">
        <f>H195+I195</f>
        <v>841500</v>
      </c>
    </row>
    <row r="196" spans="1:10" ht="15" thickBot="1" x14ac:dyDescent="0.4">
      <c r="A196" s="2748"/>
      <c r="B196" s="2794" t="s">
        <v>32</v>
      </c>
      <c r="C196" s="2795"/>
      <c r="D196" s="37">
        <f>+D156+D159+D162+D165+D168+D171+D174+D177+D180+D183+D186+D189+D192</f>
        <v>10440500</v>
      </c>
      <c r="E196" s="37">
        <f t="shared" ref="E196:I196" si="12">+E156+E159+E162+E165+E168+E171+E174+E177+E180+E183+E186+E189+E192</f>
        <v>75015000</v>
      </c>
      <c r="F196" s="37">
        <f t="shared" si="12"/>
        <v>159000</v>
      </c>
      <c r="G196" s="37">
        <f t="shared" si="12"/>
        <v>0</v>
      </c>
      <c r="H196" s="37">
        <f t="shared" si="12"/>
        <v>5586000</v>
      </c>
      <c r="I196" s="37">
        <f t="shared" si="12"/>
        <v>85614500</v>
      </c>
      <c r="J196" s="37">
        <f>+J156+J159+J162+J165+J168+J171+J174+J177+J180+J183+J186+J189+J192</f>
        <v>91200500</v>
      </c>
    </row>
    <row r="197" spans="1:10" x14ac:dyDescent="0.35">
      <c r="A197" s="2746" t="str">
        <f>+'B) Reajuste Tarifas y Ocupación'!A63</f>
        <v>Piscina C.R. Las Salinas</v>
      </c>
      <c r="B197" s="2749" t="s">
        <v>68</v>
      </c>
      <c r="C197" s="19" t="s">
        <v>521</v>
      </c>
      <c r="D197" s="2702"/>
      <c r="E197" s="39">
        <f>+'B) Reajuste Tarifas y Ocupación'!K63</f>
        <v>8500</v>
      </c>
      <c r="F197" s="39">
        <f>+'B) Reajuste Tarifas y Ocupación'!L63</f>
        <v>9400</v>
      </c>
      <c r="G197" s="39">
        <f>+'B) Reajuste Tarifas y Ocupación'!M63</f>
        <v>10600</v>
      </c>
      <c r="H197" s="2750"/>
      <c r="I197" s="2750"/>
      <c r="J197" s="2763"/>
    </row>
    <row r="198" spans="1:10" x14ac:dyDescent="0.35">
      <c r="A198" s="2747"/>
      <c r="B198" s="2723"/>
      <c r="C198" s="337" t="s">
        <v>30</v>
      </c>
      <c r="D198" s="2711"/>
      <c r="E198" s="31">
        <f>+'B) Reajuste Tarifas y Ocupación'!V63</f>
        <v>0</v>
      </c>
      <c r="F198" s="31">
        <f>+'B) Reajuste Tarifas y Ocupación'!W63</f>
        <v>0</v>
      </c>
      <c r="G198" s="31">
        <f>+'B) Reajuste Tarifas y Ocupación'!X63</f>
        <v>0</v>
      </c>
      <c r="H198" s="2696"/>
      <c r="I198" s="2696"/>
      <c r="J198" s="2697"/>
    </row>
    <row r="199" spans="1:10" ht="15" thickBot="1" x14ac:dyDescent="0.4">
      <c r="A199" s="2747"/>
      <c r="B199" s="2723"/>
      <c r="C199" s="333" t="s">
        <v>31</v>
      </c>
      <c r="D199" s="341"/>
      <c r="E199" s="52">
        <f>E198*E197</f>
        <v>0</v>
      </c>
      <c r="F199" s="52">
        <f>F198*F197</f>
        <v>0</v>
      </c>
      <c r="G199" s="52">
        <f>G198*G197</f>
        <v>0</v>
      </c>
      <c r="H199" s="53">
        <f>(E197-D197)*D198</f>
        <v>0</v>
      </c>
      <c r="I199" s="53">
        <f>SUM(D199:G199)</f>
        <v>0</v>
      </c>
      <c r="J199" s="44">
        <f>H199+I199</f>
        <v>0</v>
      </c>
    </row>
    <row r="200" spans="1:10" x14ac:dyDescent="0.35">
      <c r="A200" s="2747"/>
      <c r="B200" s="2814" t="s">
        <v>69</v>
      </c>
      <c r="C200" s="19" t="s">
        <v>521</v>
      </c>
      <c r="D200" s="2710"/>
      <c r="E200" s="55">
        <f>+'B) Reajuste Tarifas y Ocupación'!K64</f>
        <v>4300</v>
      </c>
      <c r="F200" s="55">
        <f>+'B) Reajuste Tarifas y Ocupación'!L64</f>
        <v>4900</v>
      </c>
      <c r="G200" s="55">
        <f>+'B) Reajuste Tarifas y Ocupación'!M64</f>
        <v>5500</v>
      </c>
      <c r="H200" s="2714"/>
      <c r="I200" s="2714"/>
      <c r="J200" s="2715"/>
    </row>
    <row r="201" spans="1:10" x14ac:dyDescent="0.35">
      <c r="A201" s="2747"/>
      <c r="B201" s="2814"/>
      <c r="C201" s="337" t="s">
        <v>30</v>
      </c>
      <c r="D201" s="2711"/>
      <c r="E201" s="56">
        <f>+'B) Reajuste Tarifas y Ocupación'!V64</f>
        <v>0</v>
      </c>
      <c r="F201" s="56">
        <f>+'B) Reajuste Tarifas y Ocupación'!W64</f>
        <v>0</v>
      </c>
      <c r="G201" s="56">
        <f>+'B) Reajuste Tarifas y Ocupación'!X64</f>
        <v>0</v>
      </c>
      <c r="H201" s="2714"/>
      <c r="I201" s="2714"/>
      <c r="J201" s="2715"/>
    </row>
    <row r="202" spans="1:10" x14ac:dyDescent="0.35">
      <c r="A202" s="2747"/>
      <c r="B202" s="2815"/>
      <c r="C202" s="57" t="s">
        <v>31</v>
      </c>
      <c r="D202" s="48"/>
      <c r="E202" s="58">
        <f>E201*E200</f>
        <v>0</v>
      </c>
      <c r="F202" s="58">
        <f>F201*F200</f>
        <v>0</v>
      </c>
      <c r="G202" s="58">
        <f>G201*G200</f>
        <v>0</v>
      </c>
      <c r="H202" s="59">
        <f>(E200-D200)*D201</f>
        <v>0</v>
      </c>
      <c r="I202" s="59">
        <f>SUM(D202:G202)</f>
        <v>0</v>
      </c>
      <c r="J202" s="60">
        <f>H202+I202</f>
        <v>0</v>
      </c>
    </row>
    <row r="203" spans="1:10" ht="15" thickBot="1" x14ac:dyDescent="0.4">
      <c r="A203" s="2748"/>
      <c r="B203" s="2803" t="s">
        <v>32</v>
      </c>
      <c r="C203" s="2804"/>
      <c r="D203" s="1796">
        <f>+D199+D202</f>
        <v>0</v>
      </c>
      <c r="E203" s="1796">
        <f t="shared" ref="E203:J203" si="13">+E199+E202</f>
        <v>0</v>
      </c>
      <c r="F203" s="1796">
        <f t="shared" si="13"/>
        <v>0</v>
      </c>
      <c r="G203" s="1796">
        <f t="shared" si="13"/>
        <v>0</v>
      </c>
      <c r="H203" s="1796">
        <f t="shared" si="13"/>
        <v>0</v>
      </c>
      <c r="I203" s="1796">
        <f t="shared" si="13"/>
        <v>0</v>
      </c>
      <c r="J203" s="1796">
        <f t="shared" si="13"/>
        <v>0</v>
      </c>
    </row>
    <row r="204" spans="1:10" x14ac:dyDescent="0.35">
      <c r="A204" s="2805" t="str">
        <f>+'B) Reajuste Tarifas y Ocupación'!A65</f>
        <v>C. R. Ralunco</v>
      </c>
      <c r="B204" s="2808" t="s">
        <v>77</v>
      </c>
      <c r="C204" s="19" t="s">
        <v>521</v>
      </c>
      <c r="D204" s="1806">
        <f>+'B) Reajuste Tarifas y Ocupación'!J65</f>
        <v>26200</v>
      </c>
      <c r="E204" s="1806">
        <f>+'B) Reajuste Tarifas y Ocupación'!K65</f>
        <v>40200</v>
      </c>
      <c r="F204" s="1806">
        <f>+'B) Reajuste Tarifas y Ocupación'!L65</f>
        <v>44100</v>
      </c>
      <c r="G204" s="1806">
        <f>+'B) Reajuste Tarifas y Ocupación'!M65</f>
        <v>50000</v>
      </c>
      <c r="H204" s="2810"/>
      <c r="I204" s="2810"/>
      <c r="J204" s="2812"/>
    </row>
    <row r="205" spans="1:10" x14ac:dyDescent="0.35">
      <c r="A205" s="2806"/>
      <c r="B205" s="2809"/>
      <c r="C205" s="1797" t="s">
        <v>30</v>
      </c>
      <c r="D205" s="1799">
        <f>+'B) Reajuste Tarifas y Ocupación'!U65</f>
        <v>251</v>
      </c>
      <c r="E205" s="1799">
        <f>+'B) Reajuste Tarifas y Ocupación'!V65</f>
        <v>44</v>
      </c>
      <c r="F205" s="1799">
        <f>+'B) Reajuste Tarifas y Ocupación'!W65</f>
        <v>215</v>
      </c>
      <c r="G205" s="1799">
        <f>+'B) Reajuste Tarifas y Ocupación'!X65</f>
        <v>71</v>
      </c>
      <c r="H205" s="2811"/>
      <c r="I205" s="2811"/>
      <c r="J205" s="2813"/>
    </row>
    <row r="206" spans="1:10" ht="15" thickBot="1" x14ac:dyDescent="0.4">
      <c r="A206" s="2806"/>
      <c r="B206" s="2809"/>
      <c r="C206" s="1800" t="s">
        <v>31</v>
      </c>
      <c r="D206" s="1801">
        <f>D205*D204</f>
        <v>6576200</v>
      </c>
      <c r="E206" s="1801">
        <f>E205*E204</f>
        <v>1768800</v>
      </c>
      <c r="F206" s="1801">
        <f>F205*F204</f>
        <v>9481500</v>
      </c>
      <c r="G206" s="1801">
        <f>G205*G204</f>
        <v>3550000</v>
      </c>
      <c r="H206" s="1802">
        <f>(E204-D204)*D205</f>
        <v>3514000</v>
      </c>
      <c r="I206" s="1802">
        <f>SUM(D206:G206)</f>
        <v>21376500</v>
      </c>
      <c r="J206" s="1807">
        <f>H206+I206</f>
        <v>24890500</v>
      </c>
    </row>
    <row r="207" spans="1:10" x14ac:dyDescent="0.35">
      <c r="A207" s="2806"/>
      <c r="B207" s="2809" t="s">
        <v>78</v>
      </c>
      <c r="C207" s="19" t="s">
        <v>521</v>
      </c>
      <c r="D207" s="1798">
        <f>+'B) Reajuste Tarifas y Ocupación'!J66</f>
        <v>29600</v>
      </c>
      <c r="E207" s="1798">
        <f>+'B) Reajuste Tarifas y Ocupación'!K66</f>
        <v>45400</v>
      </c>
      <c r="F207" s="1798">
        <f>+'B) Reajuste Tarifas y Ocupación'!L66</f>
        <v>50000</v>
      </c>
      <c r="G207" s="1798">
        <f>+'B) Reajuste Tarifas y Ocupación'!M66</f>
        <v>56600</v>
      </c>
      <c r="H207" s="2811"/>
      <c r="I207" s="2811"/>
      <c r="J207" s="2813"/>
    </row>
    <row r="208" spans="1:10" x14ac:dyDescent="0.35">
      <c r="A208" s="2806"/>
      <c r="B208" s="2809"/>
      <c r="C208" s="1797" t="s">
        <v>30</v>
      </c>
      <c r="D208" s="1799">
        <f>+'B) Reajuste Tarifas y Ocupación'!U66</f>
        <v>819</v>
      </c>
      <c r="E208" s="1799">
        <f>+'B) Reajuste Tarifas y Ocupación'!V66</f>
        <v>110</v>
      </c>
      <c r="F208" s="1799">
        <f>+'B) Reajuste Tarifas y Ocupación'!W66</f>
        <v>243</v>
      </c>
      <c r="G208" s="1799">
        <f>+'B) Reajuste Tarifas y Ocupación'!X66</f>
        <v>83</v>
      </c>
      <c r="H208" s="2811"/>
      <c r="I208" s="2811"/>
      <c r="J208" s="2813"/>
    </row>
    <row r="209" spans="1:10" ht="15" thickBot="1" x14ac:dyDescent="0.4">
      <c r="A209" s="2806"/>
      <c r="B209" s="2809"/>
      <c r="C209" s="1800" t="s">
        <v>31</v>
      </c>
      <c r="D209" s="1801">
        <f>D208*D207</f>
        <v>24242400</v>
      </c>
      <c r="E209" s="1801">
        <f>E208*E207</f>
        <v>4994000</v>
      </c>
      <c r="F209" s="1801">
        <f>F208*F207</f>
        <v>12150000</v>
      </c>
      <c r="G209" s="1801">
        <f>G208*G207</f>
        <v>4697800</v>
      </c>
      <c r="H209" s="1802">
        <f>(E207-D207)*D208</f>
        <v>12940200</v>
      </c>
      <c r="I209" s="1802">
        <f>SUM(D209:G209)</f>
        <v>46084200</v>
      </c>
      <c r="J209" s="1807">
        <f>H209+I209</f>
        <v>59024400</v>
      </c>
    </row>
    <row r="210" spans="1:10" x14ac:dyDescent="0.35">
      <c r="A210" s="2806"/>
      <c r="B210" s="2809" t="s">
        <v>55</v>
      </c>
      <c r="C210" s="19" t="s">
        <v>521</v>
      </c>
      <c r="D210" s="1798">
        <f>+'B) Reajuste Tarifas y Ocupación'!J67</f>
        <v>0</v>
      </c>
      <c r="E210" s="1798">
        <f>+'B) Reajuste Tarifas y Ocupación'!K67</f>
        <v>15300</v>
      </c>
      <c r="F210" s="1798">
        <f>+'B) Reajuste Tarifas y Ocupación'!L67</f>
        <v>16900</v>
      </c>
      <c r="G210" s="1798">
        <f>+'B) Reajuste Tarifas y Ocupación'!M67</f>
        <v>19100</v>
      </c>
      <c r="H210" s="2811"/>
      <c r="I210" s="2811"/>
      <c r="J210" s="2813"/>
    </row>
    <row r="211" spans="1:10" x14ac:dyDescent="0.35">
      <c r="A211" s="2806"/>
      <c r="B211" s="2809"/>
      <c r="C211" s="1797" t="s">
        <v>30</v>
      </c>
      <c r="D211" s="1799">
        <f>+'B) Reajuste Tarifas y Ocupación'!U67</f>
        <v>0</v>
      </c>
      <c r="E211" s="1799">
        <f>+'B) Reajuste Tarifas y Ocupación'!V67</f>
        <v>0</v>
      </c>
      <c r="F211" s="1799">
        <f>+'B) Reajuste Tarifas y Ocupación'!W67</f>
        <v>0</v>
      </c>
      <c r="G211" s="1799">
        <f>+'B) Reajuste Tarifas y Ocupación'!X67</f>
        <v>0</v>
      </c>
      <c r="H211" s="2811"/>
      <c r="I211" s="2811"/>
      <c r="J211" s="2813"/>
    </row>
    <row r="212" spans="1:10" ht="15" thickBot="1" x14ac:dyDescent="0.4">
      <c r="A212" s="2806"/>
      <c r="B212" s="2809"/>
      <c r="C212" s="1800" t="s">
        <v>31</v>
      </c>
      <c r="D212" s="1801">
        <f>D211*D210</f>
        <v>0</v>
      </c>
      <c r="E212" s="1801">
        <f>E211*E210</f>
        <v>0</v>
      </c>
      <c r="F212" s="1801">
        <f>F211*F210</f>
        <v>0</v>
      </c>
      <c r="G212" s="1801">
        <f>G211*G210</f>
        <v>0</v>
      </c>
      <c r="H212" s="1802">
        <f>(E210-D210)*D211</f>
        <v>0</v>
      </c>
      <c r="I212" s="1802">
        <f>SUM(D212:G212)</f>
        <v>0</v>
      </c>
      <c r="J212" s="1807">
        <f>H212+I212</f>
        <v>0</v>
      </c>
    </row>
    <row r="213" spans="1:10" x14ac:dyDescent="0.35">
      <c r="A213" s="2806"/>
      <c r="B213" s="2809" t="str">
        <f>'B) Reajuste Tarifas y Ocupación'!B68</f>
        <v>Cabaña</v>
      </c>
      <c r="C213" s="19" t="s">
        <v>521</v>
      </c>
      <c r="D213" s="1798">
        <f>+'B) Reajuste Tarifas y Ocupación'!J68</f>
        <v>54600</v>
      </c>
      <c r="E213" s="1798">
        <f>+'B) Reajuste Tarifas y Ocupación'!K68</f>
        <v>84000</v>
      </c>
      <c r="F213" s="1798">
        <f>+'B) Reajuste Tarifas y Ocupación'!L68</f>
        <v>92300</v>
      </c>
      <c r="G213" s="1798">
        <f>+'B) Reajuste Tarifas y Ocupación'!M68</f>
        <v>104700</v>
      </c>
      <c r="H213" s="2811"/>
      <c r="I213" s="2811"/>
      <c r="J213" s="2813"/>
    </row>
    <row r="214" spans="1:10" x14ac:dyDescent="0.35">
      <c r="A214" s="2806"/>
      <c r="B214" s="2809"/>
      <c r="C214" s="1797" t="s">
        <v>30</v>
      </c>
      <c r="D214" s="1799">
        <f>+'B) Reajuste Tarifas y Ocupación'!U68</f>
        <v>655</v>
      </c>
      <c r="E214" s="1799">
        <f>+'B) Reajuste Tarifas y Ocupación'!V68</f>
        <v>17</v>
      </c>
      <c r="F214" s="1799">
        <f>+'B) Reajuste Tarifas y Ocupación'!W68</f>
        <v>70</v>
      </c>
      <c r="G214" s="1799">
        <f>+'B) Reajuste Tarifas y Ocupación'!X68</f>
        <v>27</v>
      </c>
      <c r="H214" s="2811"/>
      <c r="I214" s="2811"/>
      <c r="J214" s="2813"/>
    </row>
    <row r="215" spans="1:10" x14ac:dyDescent="0.35">
      <c r="A215" s="2806"/>
      <c r="B215" s="2809"/>
      <c r="C215" s="1800" t="s">
        <v>31</v>
      </c>
      <c r="D215" s="1801">
        <f>D214*D213</f>
        <v>35763000</v>
      </c>
      <c r="E215" s="1801">
        <f>E214*E213</f>
        <v>1428000</v>
      </c>
      <c r="F215" s="1801">
        <f>F214*F213</f>
        <v>6461000</v>
      </c>
      <c r="G215" s="1801">
        <f>G214*G213</f>
        <v>2826900</v>
      </c>
      <c r="H215" s="1802">
        <f>(E213-D213)*D214</f>
        <v>19257000</v>
      </c>
      <c r="I215" s="1802">
        <f>SUM(D215:G215)</f>
        <v>46478900</v>
      </c>
      <c r="J215" s="1807">
        <f>H215+I215</f>
        <v>65735900</v>
      </c>
    </row>
    <row r="216" spans="1:10" x14ac:dyDescent="0.35">
      <c r="A216" s="2806"/>
      <c r="B216" s="2818" t="s">
        <v>46</v>
      </c>
      <c r="C216" s="2679"/>
      <c r="D216" s="2679"/>
      <c r="E216" s="2679"/>
      <c r="F216" s="2679"/>
      <c r="G216" s="2679"/>
      <c r="H216" s="2816"/>
      <c r="I216" s="2816"/>
      <c r="J216" s="2817"/>
    </row>
    <row r="217" spans="1:10" x14ac:dyDescent="0.35">
      <c r="A217" s="2806"/>
      <c r="B217" s="2818"/>
      <c r="C217" s="2679"/>
      <c r="D217" s="2679"/>
      <c r="E217" s="2679"/>
      <c r="F217" s="2679"/>
      <c r="G217" s="2679"/>
      <c r="H217" s="2816"/>
      <c r="I217" s="2816"/>
      <c r="J217" s="2817"/>
    </row>
    <row r="218" spans="1:10" ht="15" thickBot="1" x14ac:dyDescent="0.4">
      <c r="A218" s="2806"/>
      <c r="B218" s="2818"/>
      <c r="C218" s="1803"/>
      <c r="D218" s="1804"/>
      <c r="E218" s="1804"/>
      <c r="F218" s="1804"/>
      <c r="G218" s="1804"/>
      <c r="H218" s="1805"/>
      <c r="I218" s="1805"/>
      <c r="J218" s="1808"/>
    </row>
    <row r="219" spans="1:10" x14ac:dyDescent="0.35">
      <c r="A219" s="2806"/>
      <c r="B219" s="2680" t="s">
        <v>373</v>
      </c>
      <c r="C219" s="1908" t="s">
        <v>521</v>
      </c>
      <c r="D219" s="2679"/>
      <c r="E219" s="1798">
        <f>'B) Reajuste Tarifas y Ocupación'!D70</f>
        <v>24100</v>
      </c>
      <c r="F219" s="1798">
        <f>'B) Reajuste Tarifas y Ocupación'!E70</f>
        <v>26500</v>
      </c>
      <c r="G219" s="1798">
        <f>'B) Reajuste Tarifas y Ocupación'!F70</f>
        <v>30100</v>
      </c>
      <c r="H219" s="2677"/>
      <c r="I219" s="2677"/>
      <c r="J219" s="2675"/>
    </row>
    <row r="220" spans="1:10" x14ac:dyDescent="0.35">
      <c r="A220" s="2806"/>
      <c r="B220" s="2681"/>
      <c r="C220" s="1909" t="s">
        <v>30</v>
      </c>
      <c r="D220" s="2679"/>
      <c r="E220" s="1799">
        <f>'B) Reajuste Tarifas y Ocupación'!V70</f>
        <v>0</v>
      </c>
      <c r="F220" s="1799">
        <f>'B) Reajuste Tarifas y Ocupación'!W70</f>
        <v>0</v>
      </c>
      <c r="G220" s="1799">
        <f>'B) Reajuste Tarifas y Ocupación'!X70</f>
        <v>0</v>
      </c>
      <c r="H220" s="2678"/>
      <c r="I220" s="2678"/>
      <c r="J220" s="2676"/>
    </row>
    <row r="221" spans="1:10" x14ac:dyDescent="0.35">
      <c r="A221" s="2806"/>
      <c r="B221" s="2682"/>
      <c r="C221" s="1911" t="s">
        <v>31</v>
      </c>
      <c r="D221" s="1912"/>
      <c r="E221" s="1912">
        <f>E220*E219</f>
        <v>0</v>
      </c>
      <c r="F221" s="1912">
        <f>F220*F219</f>
        <v>0</v>
      </c>
      <c r="G221" s="1912">
        <f>G220*G219</f>
        <v>0</v>
      </c>
      <c r="H221" s="1913">
        <f>(E219-D219)*D220</f>
        <v>0</v>
      </c>
      <c r="I221" s="1913">
        <f>SUM(D221:G221)</f>
        <v>0</v>
      </c>
      <c r="J221" s="1914">
        <f>H221+I221</f>
        <v>0</v>
      </c>
    </row>
    <row r="222" spans="1:10" ht="15" thickBot="1" x14ac:dyDescent="0.4">
      <c r="A222" s="2807"/>
      <c r="B222" s="2698" t="s">
        <v>32</v>
      </c>
      <c r="C222" s="2699"/>
      <c r="D222" s="1910">
        <f>+D206+D209+D212+D215+D221</f>
        <v>66581600</v>
      </c>
      <c r="E222" s="1910">
        <f t="shared" ref="E222:J222" si="14">+E206+E209+E212+E215+E221</f>
        <v>8190800</v>
      </c>
      <c r="F222" s="1910">
        <f t="shared" si="14"/>
        <v>28092500</v>
      </c>
      <c r="G222" s="1910">
        <f t="shared" si="14"/>
        <v>11074700</v>
      </c>
      <c r="H222" s="1910">
        <f t="shared" si="14"/>
        <v>35711200</v>
      </c>
      <c r="I222" s="1910">
        <f t="shared" si="14"/>
        <v>113939600</v>
      </c>
      <c r="J222" s="1910">
        <f t="shared" si="14"/>
        <v>149650800</v>
      </c>
    </row>
    <row r="223" spans="1:10" x14ac:dyDescent="0.35">
      <c r="A223" s="2746" t="str">
        <f>+'B) Reajuste Tarifas y Ocupación'!A71</f>
        <v>Piscina C.R. Ralunco</v>
      </c>
      <c r="B223" s="2690" t="s">
        <v>68</v>
      </c>
      <c r="C223" s="19" t="s">
        <v>521</v>
      </c>
      <c r="D223" s="2693"/>
      <c r="E223" s="2693"/>
      <c r="F223" s="2693"/>
      <c r="G223" s="2693"/>
      <c r="H223" s="2695"/>
      <c r="I223" s="2695"/>
      <c r="J223" s="2713"/>
    </row>
    <row r="224" spans="1:10" x14ac:dyDescent="0.35">
      <c r="A224" s="2747"/>
      <c r="B224" s="2691"/>
      <c r="C224" s="331" t="s">
        <v>30</v>
      </c>
      <c r="D224" s="2694"/>
      <c r="E224" s="2694"/>
      <c r="F224" s="2694"/>
      <c r="G224" s="2694"/>
      <c r="H224" s="2696"/>
      <c r="I224" s="2696"/>
      <c r="J224" s="2697"/>
    </row>
    <row r="225" spans="1:11" ht="15" thickBot="1" x14ac:dyDescent="0.4">
      <c r="A225" s="2747"/>
      <c r="B225" s="2692"/>
      <c r="C225" s="333" t="s">
        <v>31</v>
      </c>
      <c r="D225" s="334"/>
      <c r="E225" s="33"/>
      <c r="F225" s="33"/>
      <c r="G225" s="33"/>
      <c r="H225" s="27">
        <f>(E223-D223)*D224</f>
        <v>0</v>
      </c>
      <c r="I225" s="27">
        <f>SUM(D225:G225)</f>
        <v>0</v>
      </c>
      <c r="J225" s="28">
        <f>H225+I225</f>
        <v>0</v>
      </c>
    </row>
    <row r="226" spans="1:11" x14ac:dyDescent="0.35">
      <c r="A226" s="2747"/>
      <c r="B226" s="2700" t="s">
        <v>69</v>
      </c>
      <c r="C226" s="19" t="s">
        <v>521</v>
      </c>
      <c r="D226" s="2702"/>
      <c r="E226" s="2702"/>
      <c r="F226" s="2702"/>
      <c r="G226" s="2702"/>
      <c r="H226" s="2696"/>
      <c r="I226" s="2696"/>
      <c r="J226" s="2697"/>
    </row>
    <row r="227" spans="1:11" x14ac:dyDescent="0.35">
      <c r="A227" s="2747"/>
      <c r="B227" s="2691"/>
      <c r="C227" s="22" t="s">
        <v>30</v>
      </c>
      <c r="D227" s="2694"/>
      <c r="E227" s="2694"/>
      <c r="F227" s="2694"/>
      <c r="G227" s="2694"/>
      <c r="H227" s="2696"/>
      <c r="I227" s="2696"/>
      <c r="J227" s="2697"/>
    </row>
    <row r="228" spans="1:11" x14ac:dyDescent="0.35">
      <c r="A228" s="2747"/>
      <c r="B228" s="2701"/>
      <c r="C228" s="25" t="s">
        <v>31</v>
      </c>
      <c r="D228" s="33"/>
      <c r="E228" s="33"/>
      <c r="F228" s="33"/>
      <c r="G228" s="33"/>
      <c r="H228" s="27">
        <f>(E226-D226)*D227</f>
        <v>0</v>
      </c>
      <c r="I228" s="27">
        <f>SUM(D228:G228)</f>
        <v>0</v>
      </c>
      <c r="J228" s="28">
        <f>H228+I228</f>
        <v>0</v>
      </c>
    </row>
    <row r="229" spans="1:11" ht="15" thickBot="1" x14ac:dyDescent="0.4">
      <c r="A229" s="2748"/>
      <c r="B229" s="2703" t="s">
        <v>32</v>
      </c>
      <c r="C229" s="2704"/>
      <c r="D229" s="37">
        <f>+D225+D228</f>
        <v>0</v>
      </c>
      <c r="E229" s="37">
        <f t="shared" ref="E229:J229" si="15">+E225+E228</f>
        <v>0</v>
      </c>
      <c r="F229" s="37">
        <f t="shared" si="15"/>
        <v>0</v>
      </c>
      <c r="G229" s="37">
        <f t="shared" si="15"/>
        <v>0</v>
      </c>
      <c r="H229" s="37">
        <f t="shared" si="15"/>
        <v>0</v>
      </c>
      <c r="I229" s="37">
        <f t="shared" si="15"/>
        <v>0</v>
      </c>
      <c r="J229" s="37">
        <f t="shared" si="15"/>
        <v>0</v>
      </c>
    </row>
    <row r="230" spans="1:11" x14ac:dyDescent="0.35">
      <c r="A230" s="2746" t="str">
        <f>+'B) Reajuste Tarifas y Ocupación'!A73</f>
        <v>C. H. Las Salinas</v>
      </c>
      <c r="B230" s="2749" t="s">
        <v>43</v>
      </c>
      <c r="C230" s="19" t="s">
        <v>521</v>
      </c>
      <c r="D230" s="39">
        <f>+'B) Reajuste Tarifas y Ocupación'!J73</f>
        <v>27000</v>
      </c>
      <c r="E230" s="39">
        <f>+'B) Reajuste Tarifas y Ocupación'!K73</f>
        <v>41500</v>
      </c>
      <c r="F230" s="39">
        <f>+'B) Reajuste Tarifas y Ocupación'!L73</f>
        <v>45700</v>
      </c>
      <c r="G230" s="39">
        <f>+'B) Reajuste Tarifas y Ocupación'!M73</f>
        <v>51800</v>
      </c>
      <c r="H230" s="2750"/>
      <c r="I230" s="2750"/>
      <c r="J230" s="2763"/>
    </row>
    <row r="231" spans="1:11" x14ac:dyDescent="0.35">
      <c r="A231" s="2747"/>
      <c r="B231" s="2691"/>
      <c r="C231" s="331" t="s">
        <v>30</v>
      </c>
      <c r="D231" s="50">
        <f>+'B) Reajuste Tarifas y Ocupación'!U73</f>
        <v>821</v>
      </c>
      <c r="E231" s="50">
        <f>+'B) Reajuste Tarifas y Ocupación'!V73</f>
        <v>233</v>
      </c>
      <c r="F231" s="50">
        <f>+'B) Reajuste Tarifas y Ocupación'!W73</f>
        <v>17</v>
      </c>
      <c r="G231" s="50">
        <f>+'B) Reajuste Tarifas y Ocupación'!X73</f>
        <v>0</v>
      </c>
      <c r="H231" s="2819"/>
      <c r="I231" s="2819"/>
      <c r="J231" s="2764"/>
    </row>
    <row r="232" spans="1:11" ht="15" thickBot="1" x14ac:dyDescent="0.4">
      <c r="A232" s="2747"/>
      <c r="B232" s="2692"/>
      <c r="C232" s="333" t="s">
        <v>31</v>
      </c>
      <c r="D232" s="330">
        <f>D231*D230</f>
        <v>22167000</v>
      </c>
      <c r="E232" s="26">
        <f>E231*E230</f>
        <v>9669500</v>
      </c>
      <c r="F232" s="26">
        <f>F231*F230</f>
        <v>776900</v>
      </c>
      <c r="G232" s="26">
        <f>G231*G230</f>
        <v>0</v>
      </c>
      <c r="H232" s="27">
        <f>(E230-D230)*D231</f>
        <v>11904500</v>
      </c>
      <c r="I232" s="27">
        <f>SUM(D232:G232)</f>
        <v>32613400</v>
      </c>
      <c r="J232" s="28">
        <f>H232+I232</f>
        <v>44517900</v>
      </c>
    </row>
    <row r="233" spans="1:11" x14ac:dyDescent="0.35">
      <c r="A233" s="2747"/>
      <c r="B233" s="2722" t="s">
        <v>45</v>
      </c>
      <c r="C233" s="19" t="s">
        <v>521</v>
      </c>
      <c r="D233" s="339">
        <f>+'B) Reajuste Tarifas y Ocupación'!J74</f>
        <v>34700</v>
      </c>
      <c r="E233" s="30">
        <f>+'B) Reajuste Tarifas y Ocupación'!K74</f>
        <v>53300</v>
      </c>
      <c r="F233" s="30">
        <f>+'B) Reajuste Tarifas y Ocupación'!L74</f>
        <v>58700</v>
      </c>
      <c r="G233" s="30">
        <f>+'B) Reajuste Tarifas y Ocupación'!M74</f>
        <v>66400</v>
      </c>
      <c r="H233" s="2712"/>
      <c r="I233" s="2712"/>
      <c r="J233" s="2713"/>
    </row>
    <row r="234" spans="1:11" x14ac:dyDescent="0.35">
      <c r="A234" s="2747"/>
      <c r="B234" s="2723"/>
      <c r="C234" s="337" t="s">
        <v>30</v>
      </c>
      <c r="D234" s="336">
        <f>+'B) Reajuste Tarifas y Ocupación'!U74</f>
        <v>1245</v>
      </c>
      <c r="E234" s="31">
        <f>+'B) Reajuste Tarifas y Ocupación'!V74</f>
        <v>671</v>
      </c>
      <c r="F234" s="31">
        <f>+'B) Reajuste Tarifas y Ocupación'!W74</f>
        <v>27</v>
      </c>
      <c r="G234" s="31">
        <f>+'B) Reajuste Tarifas y Ocupación'!X74</f>
        <v>17</v>
      </c>
      <c r="H234" s="2696"/>
      <c r="I234" s="2696"/>
      <c r="J234" s="2697"/>
    </row>
    <row r="235" spans="1:11" ht="15" thickBot="1" x14ac:dyDescent="0.4">
      <c r="A235" s="2747"/>
      <c r="B235" s="2692"/>
      <c r="C235" s="333" t="s">
        <v>31</v>
      </c>
      <c r="D235" s="330">
        <f>D234*D233</f>
        <v>43201500</v>
      </c>
      <c r="E235" s="26">
        <f>E234*E233</f>
        <v>35764300</v>
      </c>
      <c r="F235" s="26">
        <f>F234*F233</f>
        <v>1584900</v>
      </c>
      <c r="G235" s="26">
        <f>G234*G233</f>
        <v>1128800</v>
      </c>
      <c r="H235" s="27">
        <f>(E233-D233)*D234</f>
        <v>23157000</v>
      </c>
      <c r="I235" s="27">
        <f>SUM(D235:G235)</f>
        <v>81679500</v>
      </c>
      <c r="J235" s="28">
        <f>H235+I235</f>
        <v>104836500</v>
      </c>
    </row>
    <row r="236" spans="1:11" x14ac:dyDescent="0.35">
      <c r="A236" s="2747"/>
      <c r="B236" s="2683" t="str">
        <f>+'B) Reajuste Tarifas y Ocupación'!B75</f>
        <v>Simple (BLANCA ESTELA)</v>
      </c>
      <c r="C236" s="19" t="s">
        <v>521</v>
      </c>
      <c r="D236" s="2705"/>
      <c r="E236" s="701">
        <f>+'B) Reajuste Tarifas y Ocupación'!K75</f>
        <v>7200</v>
      </c>
      <c r="F236" s="2705"/>
      <c r="G236" s="2705"/>
      <c r="H236" s="2686"/>
      <c r="I236" s="2686"/>
      <c r="J236" s="2688"/>
    </row>
    <row r="237" spans="1:11" x14ac:dyDescent="0.35">
      <c r="A237" s="2747"/>
      <c r="B237" s="2684"/>
      <c r="C237" s="700" t="s">
        <v>30</v>
      </c>
      <c r="D237" s="2706"/>
      <c r="E237" s="702">
        <f>+'B) Reajuste Tarifas y Ocupación'!V75</f>
        <v>122</v>
      </c>
      <c r="F237" s="2706"/>
      <c r="G237" s="2706"/>
      <c r="H237" s="2687"/>
      <c r="I237" s="2687"/>
      <c r="J237" s="2689"/>
    </row>
    <row r="238" spans="1:11" ht="15" thickBot="1" x14ac:dyDescent="0.4">
      <c r="A238" s="2747"/>
      <c r="B238" s="2685"/>
      <c r="C238" s="703" t="s">
        <v>31</v>
      </c>
      <c r="D238" s="704"/>
      <c r="E238" s="705">
        <f>E237*E236</f>
        <v>878400</v>
      </c>
      <c r="F238" s="704"/>
      <c r="G238" s="704"/>
      <c r="H238" s="706">
        <f>(E236-D236)*D237</f>
        <v>0</v>
      </c>
      <c r="I238" s="706">
        <f>SUM(D238:G238)</f>
        <v>878400</v>
      </c>
      <c r="J238" s="707">
        <f>H238+I238</f>
        <v>878400</v>
      </c>
      <c r="K238" s="711"/>
    </row>
    <row r="239" spans="1:11" ht="15" thickBot="1" x14ac:dyDescent="0.4">
      <c r="A239" s="2747"/>
      <c r="B239" s="2683" t="str">
        <f>+'B) Reajuste Tarifas y Ocupación'!B76</f>
        <v>Matrimonial o Doble (BLANCA ESTELA)</v>
      </c>
      <c r="C239" s="19" t="s">
        <v>521</v>
      </c>
      <c r="D239" s="2705"/>
      <c r="E239" s="701">
        <f>+'B) Reajuste Tarifas y Ocupación'!K76</f>
        <v>14200</v>
      </c>
      <c r="F239" s="2705"/>
      <c r="G239" s="2705"/>
      <c r="H239" s="2686"/>
      <c r="I239" s="2686"/>
      <c r="J239" s="2688"/>
      <c r="K239" s="715"/>
    </row>
    <row r="240" spans="1:11" ht="15" thickTop="1" x14ac:dyDescent="0.35">
      <c r="A240" s="2747"/>
      <c r="B240" s="2684"/>
      <c r="C240" s="700" t="s">
        <v>30</v>
      </c>
      <c r="D240" s="2706"/>
      <c r="E240" s="702">
        <f>+'B) Reajuste Tarifas y Ocupación'!V76</f>
        <v>230</v>
      </c>
      <c r="F240" s="2706"/>
      <c r="G240" s="2706"/>
      <c r="H240" s="2687"/>
      <c r="I240" s="2687"/>
      <c r="J240" s="2689"/>
      <c r="K240" s="714"/>
    </row>
    <row r="241" spans="1:11" x14ac:dyDescent="0.35">
      <c r="A241" s="2747"/>
      <c r="B241" s="2685"/>
      <c r="C241" s="703" t="s">
        <v>31</v>
      </c>
      <c r="D241" s="704"/>
      <c r="E241" s="705">
        <f>E240*E239</f>
        <v>3266000</v>
      </c>
      <c r="F241" s="704"/>
      <c r="G241" s="704"/>
      <c r="H241" s="706">
        <f>(E239-D239)*D240</f>
        <v>0</v>
      </c>
      <c r="I241" s="706">
        <f>SUM(D241:G241)</f>
        <v>3266000</v>
      </c>
      <c r="J241" s="707">
        <f>H241+I241</f>
        <v>3266000</v>
      </c>
      <c r="K241" s="712"/>
    </row>
    <row r="242" spans="1:11" x14ac:dyDescent="0.35">
      <c r="A242" s="2747"/>
      <c r="B242" s="2773" t="s">
        <v>46</v>
      </c>
      <c r="C242" s="2765"/>
      <c r="D242" s="2710"/>
      <c r="E242" s="2702"/>
      <c r="F242" s="2702"/>
      <c r="G242" s="2702"/>
      <c r="H242" s="2821"/>
      <c r="I242" s="2821"/>
      <c r="J242" s="2769"/>
    </row>
    <row r="243" spans="1:11" x14ac:dyDescent="0.35">
      <c r="A243" s="2747"/>
      <c r="B243" s="2774"/>
      <c r="C243" s="2765"/>
      <c r="D243" s="2820"/>
      <c r="E243" s="2694"/>
      <c r="F243" s="2694"/>
      <c r="G243" s="2694"/>
      <c r="H243" s="2768"/>
      <c r="I243" s="2768"/>
      <c r="J243" s="2770"/>
    </row>
    <row r="244" spans="1:11" ht="15" thickBot="1" x14ac:dyDescent="0.4">
      <c r="A244" s="2747"/>
      <c r="B244" s="2775"/>
      <c r="C244" s="338"/>
      <c r="D244" s="334"/>
      <c r="E244" s="33"/>
      <c r="F244" s="33"/>
      <c r="G244" s="33"/>
      <c r="H244" s="34"/>
      <c r="I244" s="34"/>
      <c r="J244" s="35"/>
    </row>
    <row r="245" spans="1:11" x14ac:dyDescent="0.35">
      <c r="A245" s="2747"/>
      <c r="B245" s="2724" t="s">
        <v>43</v>
      </c>
      <c r="C245" s="19" t="s">
        <v>521</v>
      </c>
      <c r="D245" s="2710"/>
      <c r="E245" s="32">
        <f>+'B) Reajuste Tarifas y Ocupación'!K78</f>
        <v>12500</v>
      </c>
      <c r="F245" s="32">
        <f>+'B) Reajuste Tarifas y Ocupación'!L78</f>
        <v>13800</v>
      </c>
      <c r="G245" s="32">
        <f>+'B) Reajuste Tarifas y Ocupación'!M78</f>
        <v>15600</v>
      </c>
      <c r="H245" s="2696"/>
      <c r="I245" s="2696"/>
      <c r="J245" s="2697"/>
    </row>
    <row r="246" spans="1:11" x14ac:dyDescent="0.35">
      <c r="A246" s="2747"/>
      <c r="B246" s="2729"/>
      <c r="C246" s="337" t="s">
        <v>30</v>
      </c>
      <c r="D246" s="2820"/>
      <c r="E246" s="31">
        <f>+'B) Reajuste Tarifas y Ocupación'!V78</f>
        <v>55</v>
      </c>
      <c r="F246" s="31">
        <f>+'B) Reajuste Tarifas y Ocupación'!W78</f>
        <v>4</v>
      </c>
      <c r="G246" s="31">
        <f>+'B) Reajuste Tarifas y Ocupación'!X78</f>
        <v>0</v>
      </c>
      <c r="H246" s="2696"/>
      <c r="I246" s="2696"/>
      <c r="J246" s="2697"/>
    </row>
    <row r="247" spans="1:11" ht="15" thickBot="1" x14ac:dyDescent="0.4">
      <c r="A247" s="2747"/>
      <c r="B247" s="2730"/>
      <c r="C247" s="333" t="s">
        <v>31</v>
      </c>
      <c r="D247" s="334"/>
      <c r="E247" s="26">
        <f>E246*E245</f>
        <v>687500</v>
      </c>
      <c r="F247" s="26">
        <f>F246*F245</f>
        <v>55200</v>
      </c>
      <c r="G247" s="26">
        <f>G246*G245</f>
        <v>0</v>
      </c>
      <c r="H247" s="27">
        <f>(E245-D245)*D246</f>
        <v>0</v>
      </c>
      <c r="I247" s="27">
        <f>SUM(D247:G247)</f>
        <v>742700</v>
      </c>
      <c r="J247" s="28">
        <f>H247+I247</f>
        <v>742700</v>
      </c>
    </row>
    <row r="248" spans="1:11" x14ac:dyDescent="0.35">
      <c r="A248" s="2747"/>
      <c r="B248" s="2724" t="s">
        <v>45</v>
      </c>
      <c r="C248" s="19" t="s">
        <v>521</v>
      </c>
      <c r="D248" s="2710"/>
      <c r="E248" s="32">
        <f>+'B) Reajuste Tarifas y Ocupación'!K79</f>
        <v>16000</v>
      </c>
      <c r="F248" s="32">
        <f>+'B) Reajuste Tarifas y Ocupación'!L79</f>
        <v>17700</v>
      </c>
      <c r="G248" s="32">
        <f>+'B) Reajuste Tarifas y Ocupación'!M79</f>
        <v>20000</v>
      </c>
      <c r="H248" s="2696"/>
      <c r="I248" s="2696"/>
      <c r="J248" s="2697"/>
    </row>
    <row r="249" spans="1:11" x14ac:dyDescent="0.35">
      <c r="A249" s="2747"/>
      <c r="B249" s="2725"/>
      <c r="C249" s="332" t="s">
        <v>30</v>
      </c>
      <c r="D249" s="2694"/>
      <c r="E249" s="31">
        <f>+'B) Reajuste Tarifas y Ocupación'!V79</f>
        <v>75</v>
      </c>
      <c r="F249" s="31">
        <f>+'B) Reajuste Tarifas y Ocupación'!W79</f>
        <v>17</v>
      </c>
      <c r="G249" s="31">
        <f>+'B) Reajuste Tarifas y Ocupación'!X79</f>
        <v>0</v>
      </c>
      <c r="H249" s="2696"/>
      <c r="I249" s="2696"/>
      <c r="J249" s="2697"/>
    </row>
    <row r="250" spans="1:11" x14ac:dyDescent="0.35">
      <c r="A250" s="2747"/>
      <c r="B250" s="2726"/>
      <c r="C250" s="25" t="s">
        <v>31</v>
      </c>
      <c r="D250" s="33"/>
      <c r="E250" s="26">
        <f>E249*E248</f>
        <v>1200000</v>
      </c>
      <c r="F250" s="26">
        <f>F249*F248</f>
        <v>300900</v>
      </c>
      <c r="G250" s="26">
        <f>G249*G248</f>
        <v>0</v>
      </c>
      <c r="H250" s="27">
        <f>(E248-D248)*D249</f>
        <v>0</v>
      </c>
      <c r="I250" s="27">
        <f>SUM(D250:G250)</f>
        <v>1500900</v>
      </c>
      <c r="J250" s="28">
        <f>H250+I250</f>
        <v>1500900</v>
      </c>
    </row>
    <row r="251" spans="1:11" ht="15" thickBot="1" x14ac:dyDescent="0.4">
      <c r="A251" s="2748"/>
      <c r="B251" s="2703" t="s">
        <v>32</v>
      </c>
      <c r="C251" s="2704"/>
      <c r="D251" s="37">
        <f t="shared" ref="D251:J251" si="16">+D232+D235+D238+D241+D244+D247+D250</f>
        <v>65368500</v>
      </c>
      <c r="E251" s="37">
        <f t="shared" si="16"/>
        <v>51465700</v>
      </c>
      <c r="F251" s="37">
        <f t="shared" si="16"/>
        <v>2717900</v>
      </c>
      <c r="G251" s="37">
        <f t="shared" si="16"/>
        <v>1128800</v>
      </c>
      <c r="H251" s="37">
        <f t="shared" si="16"/>
        <v>35061500</v>
      </c>
      <c r="I251" s="37">
        <f t="shared" si="16"/>
        <v>120680900</v>
      </c>
      <c r="J251" s="37">
        <f t="shared" si="16"/>
        <v>155742400</v>
      </c>
    </row>
    <row r="252" spans="1:11" x14ac:dyDescent="0.35">
      <c r="A252" s="2746" t="str">
        <f>+'B) Reajuste Tarifas y Ocupación'!A80</f>
        <v>Cabanas Papudo</v>
      </c>
      <c r="B252" s="2749" t="s">
        <v>51</v>
      </c>
      <c r="C252" s="19" t="s">
        <v>521</v>
      </c>
      <c r="D252" s="39">
        <f>+'B) Reajuste Tarifas y Ocupación'!J80</f>
        <v>61400</v>
      </c>
      <c r="E252" s="39">
        <f>+'B) Reajuste Tarifas y Ocupación'!K80</f>
        <v>94400</v>
      </c>
      <c r="F252" s="39">
        <f>+'B) Reajuste Tarifas y Ocupación'!L80</f>
        <v>103900</v>
      </c>
      <c r="G252" s="39">
        <f>+'B) Reajuste Tarifas y Ocupación'!M80</f>
        <v>117700</v>
      </c>
      <c r="H252" s="2750"/>
      <c r="I252" s="2750"/>
      <c r="J252" s="2763"/>
    </row>
    <row r="253" spans="1:11" x14ac:dyDescent="0.35">
      <c r="A253" s="2747"/>
      <c r="B253" s="2691"/>
      <c r="C253" s="331" t="s">
        <v>30</v>
      </c>
      <c r="D253" s="50">
        <f>+'B) Reajuste Tarifas y Ocupación'!U80</f>
        <v>290</v>
      </c>
      <c r="E253" s="50">
        <f>+'B) Reajuste Tarifas y Ocupación'!V80</f>
        <v>13</v>
      </c>
      <c r="F253" s="50">
        <f>+'B) Reajuste Tarifas y Ocupación'!W80</f>
        <v>0</v>
      </c>
      <c r="G253" s="50">
        <f>+'B) Reajuste Tarifas y Ocupación'!X80</f>
        <v>0</v>
      </c>
      <c r="H253" s="2819"/>
      <c r="I253" s="2819"/>
      <c r="J253" s="2764"/>
    </row>
    <row r="254" spans="1:11" ht="15" thickBot="1" x14ac:dyDescent="0.4">
      <c r="A254" s="2747"/>
      <c r="B254" s="2692"/>
      <c r="C254" s="333" t="s">
        <v>31</v>
      </c>
      <c r="D254" s="330">
        <f>D253*D252</f>
        <v>17806000</v>
      </c>
      <c r="E254" s="26">
        <f>E253*E252</f>
        <v>1227200</v>
      </c>
      <c r="F254" s="26">
        <f>F253*F252</f>
        <v>0</v>
      </c>
      <c r="G254" s="26">
        <f>G253*G252</f>
        <v>0</v>
      </c>
      <c r="H254" s="27">
        <f>(E252-D252)*D253</f>
        <v>9570000</v>
      </c>
      <c r="I254" s="27">
        <f>SUM(D254:G254)</f>
        <v>19033200</v>
      </c>
      <c r="J254" s="28">
        <f>H254+I254</f>
        <v>28603200</v>
      </c>
    </row>
    <row r="255" spans="1:11" x14ac:dyDescent="0.35">
      <c r="A255" s="2747"/>
      <c r="B255" s="2722" t="s">
        <v>52</v>
      </c>
      <c r="C255" s="19" t="s">
        <v>521</v>
      </c>
      <c r="D255" s="339">
        <f>+'B) Reajuste Tarifas y Ocupación'!J81</f>
        <v>67600</v>
      </c>
      <c r="E255" s="30">
        <f>+'B) Reajuste Tarifas y Ocupación'!K81</f>
        <v>104000</v>
      </c>
      <c r="F255" s="30">
        <f>+'B) Reajuste Tarifas y Ocupación'!L81</f>
        <v>114400</v>
      </c>
      <c r="G255" s="30">
        <f>+'B) Reajuste Tarifas y Ocupación'!M81</f>
        <v>129600</v>
      </c>
      <c r="H255" s="2712"/>
      <c r="I255" s="2712"/>
      <c r="J255" s="2713"/>
    </row>
    <row r="256" spans="1:11" x14ac:dyDescent="0.35">
      <c r="A256" s="2747"/>
      <c r="B256" s="2723"/>
      <c r="C256" s="337" t="s">
        <v>30</v>
      </c>
      <c r="D256" s="336">
        <f>+'B) Reajuste Tarifas y Ocupación'!U81</f>
        <v>486</v>
      </c>
      <c r="E256" s="31">
        <f>+'B) Reajuste Tarifas y Ocupación'!V81</f>
        <v>51</v>
      </c>
      <c r="F256" s="31">
        <f>+'B) Reajuste Tarifas y Ocupación'!W81</f>
        <v>20</v>
      </c>
      <c r="G256" s="31">
        <f>+'B) Reajuste Tarifas y Ocupación'!X81</f>
        <v>0</v>
      </c>
      <c r="H256" s="2696"/>
      <c r="I256" s="2696"/>
      <c r="J256" s="2697"/>
    </row>
    <row r="257" spans="1:10" ht="15" thickBot="1" x14ac:dyDescent="0.4">
      <c r="A257" s="2747"/>
      <c r="B257" s="2692"/>
      <c r="C257" s="333" t="s">
        <v>31</v>
      </c>
      <c r="D257" s="330">
        <f>D256*D255</f>
        <v>32853600</v>
      </c>
      <c r="E257" s="26">
        <f>E256*E255</f>
        <v>5304000</v>
      </c>
      <c r="F257" s="26">
        <f>F256*F255</f>
        <v>2288000</v>
      </c>
      <c r="G257" s="26">
        <f>G256*G255</f>
        <v>0</v>
      </c>
      <c r="H257" s="27">
        <f>(E255-D255)*D256</f>
        <v>17690400</v>
      </c>
      <c r="I257" s="27">
        <f>SUM(D257:G257)</f>
        <v>40445600</v>
      </c>
      <c r="J257" s="28">
        <f>H257+I257</f>
        <v>58136000</v>
      </c>
    </row>
    <row r="258" spans="1:10" x14ac:dyDescent="0.35">
      <c r="A258" s="2747"/>
      <c r="B258" s="2722" t="s">
        <v>82</v>
      </c>
      <c r="C258" s="19" t="s">
        <v>521</v>
      </c>
      <c r="D258" s="335">
        <f>+'B) Reajuste Tarifas y Ocupación'!J82</f>
        <v>69800</v>
      </c>
      <c r="E258" s="32">
        <f>+'B) Reajuste Tarifas y Ocupación'!K82</f>
        <v>107300</v>
      </c>
      <c r="F258" s="2702"/>
      <c r="G258" s="2702"/>
      <c r="H258" s="2696"/>
      <c r="I258" s="2696"/>
      <c r="J258" s="2697"/>
    </row>
    <row r="259" spans="1:10" x14ac:dyDescent="0.35">
      <c r="A259" s="2747"/>
      <c r="B259" s="2723"/>
      <c r="C259" s="337" t="s">
        <v>30</v>
      </c>
      <c r="D259" s="336">
        <f>+'B) Reajuste Tarifas y Ocupación'!U82</f>
        <v>84</v>
      </c>
      <c r="E259" s="31">
        <f>+'B) Reajuste Tarifas y Ocupación'!V82</f>
        <v>0</v>
      </c>
      <c r="F259" s="2694"/>
      <c r="G259" s="2694"/>
      <c r="H259" s="2696"/>
      <c r="I259" s="2696"/>
      <c r="J259" s="2697"/>
    </row>
    <row r="260" spans="1:10" x14ac:dyDescent="0.35">
      <c r="A260" s="2747"/>
      <c r="B260" s="2692"/>
      <c r="C260" s="333" t="s">
        <v>31</v>
      </c>
      <c r="D260" s="330">
        <f>D259*D258</f>
        <v>5863200</v>
      </c>
      <c r="E260" s="26">
        <f>E259*E258</f>
        <v>0</v>
      </c>
      <c r="F260" s="33"/>
      <c r="G260" s="33"/>
      <c r="H260" s="27">
        <f>(E258-D258)*D259</f>
        <v>3150000</v>
      </c>
      <c r="I260" s="27">
        <f>SUM(D260:G260)</f>
        <v>5863200</v>
      </c>
      <c r="J260" s="28">
        <f>H260+I260</f>
        <v>9013200</v>
      </c>
    </row>
    <row r="261" spans="1:10" x14ac:dyDescent="0.35">
      <c r="A261" s="2747"/>
      <c r="B261" s="2755" t="s">
        <v>46</v>
      </c>
      <c r="C261" s="2765"/>
      <c r="D261" s="2710"/>
      <c r="E261" s="2702"/>
      <c r="F261" s="2702"/>
      <c r="G261" s="2702"/>
      <c r="H261" s="2821"/>
      <c r="I261" s="2821"/>
      <c r="J261" s="2769"/>
    </row>
    <row r="262" spans="1:10" x14ac:dyDescent="0.35">
      <c r="A262" s="2747"/>
      <c r="B262" s="2756"/>
      <c r="C262" s="2765"/>
      <c r="D262" s="2820"/>
      <c r="E262" s="2694"/>
      <c r="F262" s="2694"/>
      <c r="G262" s="2694"/>
      <c r="H262" s="2768"/>
      <c r="I262" s="2768"/>
      <c r="J262" s="2770"/>
    </row>
    <row r="263" spans="1:10" ht="15" thickBot="1" x14ac:dyDescent="0.4">
      <c r="A263" s="2747"/>
      <c r="B263" s="2757"/>
      <c r="C263" s="338"/>
      <c r="D263" s="334"/>
      <c r="E263" s="33"/>
      <c r="F263" s="33"/>
      <c r="G263" s="33"/>
      <c r="H263" s="34"/>
      <c r="I263" s="34"/>
      <c r="J263" s="35"/>
    </row>
    <row r="264" spans="1:10" x14ac:dyDescent="0.35">
      <c r="A264" s="2747"/>
      <c r="B264" s="2724" t="s">
        <v>51</v>
      </c>
      <c r="C264" s="19" t="s">
        <v>521</v>
      </c>
      <c r="D264" s="2710"/>
      <c r="E264" s="32">
        <f>+'B) Reajuste Tarifas y Ocupación'!K84</f>
        <v>28400</v>
      </c>
      <c r="F264" s="32">
        <f>+'B) Reajuste Tarifas y Ocupación'!L84</f>
        <v>31200</v>
      </c>
      <c r="G264" s="32">
        <f>+'B) Reajuste Tarifas y Ocupación'!M84</f>
        <v>35400</v>
      </c>
      <c r="H264" s="2696"/>
      <c r="I264" s="2696"/>
      <c r="J264" s="2697"/>
    </row>
    <row r="265" spans="1:10" x14ac:dyDescent="0.35">
      <c r="A265" s="2747"/>
      <c r="B265" s="2729"/>
      <c r="C265" s="337" t="s">
        <v>30</v>
      </c>
      <c r="D265" s="2820"/>
      <c r="E265" s="31">
        <f>+'B) Reajuste Tarifas y Ocupación'!V84</f>
        <v>0</v>
      </c>
      <c r="F265" s="31">
        <f>+'B) Reajuste Tarifas y Ocupación'!W84</f>
        <v>0</v>
      </c>
      <c r="G265" s="31">
        <f>+'B) Reajuste Tarifas y Ocupación'!X84</f>
        <v>0</v>
      </c>
      <c r="H265" s="2696"/>
      <c r="I265" s="2696"/>
      <c r="J265" s="2697"/>
    </row>
    <row r="266" spans="1:10" ht="15" thickBot="1" x14ac:dyDescent="0.4">
      <c r="A266" s="2747"/>
      <c r="B266" s="2730"/>
      <c r="C266" s="333" t="s">
        <v>31</v>
      </c>
      <c r="D266" s="334"/>
      <c r="E266" s="26">
        <f>E265*E264</f>
        <v>0</v>
      </c>
      <c r="F266" s="26">
        <f>F265*F264</f>
        <v>0</v>
      </c>
      <c r="G266" s="26">
        <f>G265*G264</f>
        <v>0</v>
      </c>
      <c r="H266" s="27">
        <f>(E264-D264)*D265</f>
        <v>0</v>
      </c>
      <c r="I266" s="27">
        <f>SUM(D266:G266)</f>
        <v>0</v>
      </c>
      <c r="J266" s="28">
        <f>H266+I266</f>
        <v>0</v>
      </c>
    </row>
    <row r="267" spans="1:10" x14ac:dyDescent="0.35">
      <c r="A267" s="2747"/>
      <c r="B267" s="2724" t="s">
        <v>52</v>
      </c>
      <c r="C267" s="19" t="s">
        <v>521</v>
      </c>
      <c r="D267" s="2710"/>
      <c r="E267" s="30">
        <f>+'B) Reajuste Tarifas y Ocupación'!K85</f>
        <v>31200</v>
      </c>
      <c r="F267" s="30">
        <f>+'B) Reajuste Tarifas y Ocupación'!L85</f>
        <v>34400</v>
      </c>
      <c r="G267" s="30">
        <f>+'B) Reajuste Tarifas y Ocupación'!M85</f>
        <v>38900</v>
      </c>
      <c r="H267" s="2712"/>
      <c r="I267" s="2712"/>
      <c r="J267" s="2713"/>
    </row>
    <row r="268" spans="1:10" x14ac:dyDescent="0.35">
      <c r="A268" s="2747"/>
      <c r="B268" s="2729"/>
      <c r="C268" s="337" t="s">
        <v>30</v>
      </c>
      <c r="D268" s="2820"/>
      <c r="E268" s="31">
        <f>+'B) Reajuste Tarifas y Ocupación'!V85</f>
        <v>0</v>
      </c>
      <c r="F268" s="31">
        <f>+'B) Reajuste Tarifas y Ocupación'!W85</f>
        <v>0</v>
      </c>
      <c r="G268" s="31">
        <f>+'B) Reajuste Tarifas y Ocupación'!X85</f>
        <v>0</v>
      </c>
      <c r="H268" s="2696"/>
      <c r="I268" s="2696"/>
      <c r="J268" s="2697"/>
    </row>
    <row r="269" spans="1:10" ht="15" thickBot="1" x14ac:dyDescent="0.4">
      <c r="A269" s="2747"/>
      <c r="B269" s="2730"/>
      <c r="C269" s="333" t="s">
        <v>31</v>
      </c>
      <c r="D269" s="334"/>
      <c r="E269" s="26">
        <f>E268*E267</f>
        <v>0</v>
      </c>
      <c r="F269" s="26">
        <f>F268*F267</f>
        <v>0</v>
      </c>
      <c r="G269" s="26">
        <f>G268*G267</f>
        <v>0</v>
      </c>
      <c r="H269" s="27">
        <f>(E267-D267)*D268</f>
        <v>0</v>
      </c>
      <c r="I269" s="27">
        <f>SUM(D269:G269)</f>
        <v>0</v>
      </c>
      <c r="J269" s="28">
        <f>H269+I269</f>
        <v>0</v>
      </c>
    </row>
    <row r="270" spans="1:10" x14ac:dyDescent="0.35">
      <c r="A270" s="2747"/>
      <c r="B270" s="2724" t="s">
        <v>82</v>
      </c>
      <c r="C270" s="19" t="s">
        <v>521</v>
      </c>
      <c r="D270" s="2710"/>
      <c r="E270" s="32">
        <f>+'B) Reajuste Tarifas y Ocupación'!K86</f>
        <v>32200</v>
      </c>
      <c r="F270" s="2702"/>
      <c r="G270" s="2702"/>
      <c r="H270" s="2696"/>
      <c r="I270" s="2696"/>
      <c r="J270" s="2697"/>
    </row>
    <row r="271" spans="1:10" x14ac:dyDescent="0.35">
      <c r="A271" s="2747"/>
      <c r="B271" s="2729"/>
      <c r="C271" s="337" t="s">
        <v>30</v>
      </c>
      <c r="D271" s="2820"/>
      <c r="E271" s="31">
        <f>+'B) Reajuste Tarifas y Ocupación'!V86</f>
        <v>0</v>
      </c>
      <c r="F271" s="2694"/>
      <c r="G271" s="2694"/>
      <c r="H271" s="2696"/>
      <c r="I271" s="2696"/>
      <c r="J271" s="2697"/>
    </row>
    <row r="272" spans="1:10" ht="15" thickBot="1" x14ac:dyDescent="0.4">
      <c r="A272" s="2747"/>
      <c r="B272" s="2730"/>
      <c r="C272" s="333" t="s">
        <v>31</v>
      </c>
      <c r="D272" s="334"/>
      <c r="E272" s="26">
        <f>E271*E270</f>
        <v>0</v>
      </c>
      <c r="F272" s="33"/>
      <c r="G272" s="33"/>
      <c r="H272" s="27">
        <f>(E270-D270)*D271</f>
        <v>0</v>
      </c>
      <c r="I272" s="27">
        <f>SUM(D272:G272)</f>
        <v>0</v>
      </c>
      <c r="J272" s="28">
        <f>H272+I272</f>
        <v>0</v>
      </c>
    </row>
    <row r="273" spans="1:11" x14ac:dyDescent="0.35">
      <c r="A273" s="2747"/>
      <c r="B273" s="2822" t="s">
        <v>50</v>
      </c>
      <c r="C273" s="19" t="s">
        <v>521</v>
      </c>
      <c r="D273" s="32">
        <f>+'B) Reajuste Tarifas y Ocupación'!J87</f>
        <v>7300</v>
      </c>
      <c r="E273" s="32">
        <f>+'B) Reajuste Tarifas y Ocupación'!K87</f>
        <v>11200</v>
      </c>
      <c r="F273" s="32">
        <f>+'B) Reajuste Tarifas y Ocupación'!L87</f>
        <v>12300</v>
      </c>
      <c r="G273" s="32">
        <f>+'B) Reajuste Tarifas y Ocupación'!M87</f>
        <v>13900</v>
      </c>
      <c r="H273" s="2696"/>
      <c r="I273" s="2696"/>
      <c r="J273" s="2697"/>
    </row>
    <row r="274" spans="1:11" x14ac:dyDescent="0.35">
      <c r="A274" s="2747"/>
      <c r="B274" s="2725"/>
      <c r="C274" s="22" t="s">
        <v>30</v>
      </c>
      <c r="D274" s="31">
        <f>+'B) Reajuste Tarifas y Ocupación'!U87</f>
        <v>0</v>
      </c>
      <c r="E274" s="31">
        <f>+'B) Reajuste Tarifas y Ocupación'!V87</f>
        <v>0</v>
      </c>
      <c r="F274" s="31">
        <f>+'B) Reajuste Tarifas y Ocupación'!W87</f>
        <v>0</v>
      </c>
      <c r="G274" s="31">
        <f>+'B) Reajuste Tarifas y Ocupación'!X87</f>
        <v>0</v>
      </c>
      <c r="H274" s="2696"/>
      <c r="I274" s="2696"/>
      <c r="J274" s="2697"/>
    </row>
    <row r="275" spans="1:11" x14ac:dyDescent="0.35">
      <c r="A275" s="2747"/>
      <c r="B275" s="2726"/>
      <c r="C275" s="25" t="s">
        <v>31</v>
      </c>
      <c r="D275" s="26">
        <f>D274*D273</f>
        <v>0</v>
      </c>
      <c r="E275" s="26">
        <f>E274*E273</f>
        <v>0</v>
      </c>
      <c r="F275" s="26">
        <f>F274*F273</f>
        <v>0</v>
      </c>
      <c r="G275" s="26">
        <f>G274*G273</f>
        <v>0</v>
      </c>
      <c r="H275" s="27">
        <f>(E273-D273)*D274</f>
        <v>0</v>
      </c>
      <c r="I275" s="27">
        <f>SUM(D275:G275)</f>
        <v>0</v>
      </c>
      <c r="J275" s="28">
        <f>H275+I275</f>
        <v>0</v>
      </c>
    </row>
    <row r="276" spans="1:11" ht="15" thickBot="1" x14ac:dyDescent="0.4">
      <c r="A276" s="2748"/>
      <c r="B276" s="2703" t="s">
        <v>32</v>
      </c>
      <c r="C276" s="2704"/>
      <c r="D276" s="37">
        <f>+D254+D257+D260+D263+D266+D269+D272+D275</f>
        <v>56522800</v>
      </c>
      <c r="E276" s="37">
        <f t="shared" ref="E276:J276" si="17">+E254+E257+E260+E263+E266+E269+E272+E275</f>
        <v>6531200</v>
      </c>
      <c r="F276" s="37">
        <f t="shared" si="17"/>
        <v>2288000</v>
      </c>
      <c r="G276" s="37">
        <f t="shared" si="17"/>
        <v>0</v>
      </c>
      <c r="H276" s="37">
        <f t="shared" si="17"/>
        <v>30410400</v>
      </c>
      <c r="I276" s="37">
        <f t="shared" si="17"/>
        <v>65342000</v>
      </c>
      <c r="J276" s="37">
        <f t="shared" si="17"/>
        <v>95752400</v>
      </c>
    </row>
    <row r="277" spans="1:11" x14ac:dyDescent="0.35">
      <c r="A277" s="2746" t="str">
        <f>+'B) Reajuste Tarifas y Ocupación'!A88</f>
        <v>Residencia Universitaria Recreo</v>
      </c>
      <c r="B277" s="2749" t="s">
        <v>84</v>
      </c>
      <c r="C277" s="19" t="s">
        <v>521</v>
      </c>
      <c r="D277" s="2824"/>
      <c r="E277" s="20">
        <f>+'B) Reajuste Tarifas y Ocupación'!K88</f>
        <v>356100</v>
      </c>
      <c r="F277" s="20">
        <f>+'B) Reajuste Tarifas y Ocupación'!L88</f>
        <v>391600</v>
      </c>
      <c r="G277" s="20">
        <f>+'B) Reajuste Tarifas y Ocupación'!M88</f>
        <v>443900</v>
      </c>
      <c r="H277" s="2750"/>
      <c r="I277" s="2750"/>
      <c r="J277" s="2763"/>
    </row>
    <row r="278" spans="1:11" x14ac:dyDescent="0.35">
      <c r="A278" s="2747"/>
      <c r="B278" s="2691"/>
      <c r="C278" s="22" t="s">
        <v>30</v>
      </c>
      <c r="D278" s="2694"/>
      <c r="E278" s="50">
        <f>+'B) Reajuste Tarifas y Ocupación'!V88</f>
        <v>24</v>
      </c>
      <c r="F278" s="50">
        <f>+'B) Reajuste Tarifas y Ocupación'!W88</f>
        <v>20</v>
      </c>
      <c r="G278" s="50">
        <f>+'B) Reajuste Tarifas y Ocupación'!X88</f>
        <v>0</v>
      </c>
      <c r="H278" s="2819"/>
      <c r="I278" s="2819"/>
      <c r="J278" s="2764"/>
      <c r="K278" s="21"/>
    </row>
    <row r="279" spans="1:11" ht="15" thickBot="1" x14ac:dyDescent="0.4">
      <c r="A279" s="2747"/>
      <c r="B279" s="2691"/>
      <c r="C279" s="51" t="s">
        <v>31</v>
      </c>
      <c r="D279" s="46"/>
      <c r="E279" s="52">
        <f>E278*E277</f>
        <v>8546400</v>
      </c>
      <c r="F279" s="52">
        <f>F278*F277</f>
        <v>7832000</v>
      </c>
      <c r="G279" s="52">
        <f>G278*G277</f>
        <v>0</v>
      </c>
      <c r="H279" s="53">
        <f>(E277-D277)*D278</f>
        <v>0</v>
      </c>
      <c r="I279" s="53">
        <f>SUM(D279:G279)</f>
        <v>16378400</v>
      </c>
      <c r="J279" s="44">
        <f>H279+I279</f>
        <v>16378400</v>
      </c>
      <c r="K279" s="24"/>
    </row>
    <row r="280" spans="1:11" x14ac:dyDescent="0.35">
      <c r="A280" s="2747"/>
      <c r="B280" s="2815" t="s">
        <v>85</v>
      </c>
      <c r="C280" s="19" t="s">
        <v>521</v>
      </c>
      <c r="D280" s="2823"/>
      <c r="E280" s="55">
        <f>+'B) Reajuste Tarifas y Ocupación'!K89</f>
        <v>273900</v>
      </c>
      <c r="F280" s="55">
        <f>+'B) Reajuste Tarifas y Ocupación'!L89</f>
        <v>301300</v>
      </c>
      <c r="G280" s="55">
        <f>+'B) Reajuste Tarifas y Ocupación'!M89</f>
        <v>341600</v>
      </c>
      <c r="H280" s="2714"/>
      <c r="I280" s="2714"/>
      <c r="J280" s="2715"/>
      <c r="K280" s="29"/>
    </row>
    <row r="281" spans="1:11" x14ac:dyDescent="0.35">
      <c r="A281" s="2747"/>
      <c r="B281" s="2815"/>
      <c r="C281" s="54" t="s">
        <v>30</v>
      </c>
      <c r="D281" s="2823"/>
      <c r="E281" s="56">
        <f>+'B) Reajuste Tarifas y Ocupación'!V89</f>
        <v>15</v>
      </c>
      <c r="F281" s="56">
        <f>+'B) Reajuste Tarifas y Ocupación'!W89</f>
        <v>20</v>
      </c>
      <c r="G281" s="56">
        <f>+'B) Reajuste Tarifas y Ocupación'!X89</f>
        <v>0</v>
      </c>
      <c r="H281" s="2714"/>
      <c r="I281" s="2714"/>
      <c r="J281" s="2715"/>
      <c r="K281" s="21"/>
    </row>
    <row r="282" spans="1:11" x14ac:dyDescent="0.35">
      <c r="A282" s="2747"/>
      <c r="B282" s="2815"/>
      <c r="C282" s="57" t="s">
        <v>31</v>
      </c>
      <c r="D282" s="48"/>
      <c r="E282" s="58">
        <f>E281*E280</f>
        <v>4108500</v>
      </c>
      <c r="F282" s="58">
        <f>F281*F280</f>
        <v>6026000</v>
      </c>
      <c r="G282" s="58">
        <f>G281*G280</f>
        <v>0</v>
      </c>
      <c r="H282" s="59">
        <f>(E280-D280)*D281</f>
        <v>0</v>
      </c>
      <c r="I282" s="59">
        <f>SUM(D282:G282)</f>
        <v>10134500</v>
      </c>
      <c r="J282" s="60">
        <f>H282+I282</f>
        <v>10134500</v>
      </c>
      <c r="K282" s="24"/>
    </row>
    <row r="283" spans="1:11" ht="15" thickBot="1" x14ac:dyDescent="0.4">
      <c r="A283" s="2748"/>
      <c r="B283" s="2794" t="s">
        <v>32</v>
      </c>
      <c r="C283" s="2795"/>
      <c r="D283" s="37">
        <f>+D279+D282</f>
        <v>0</v>
      </c>
      <c r="E283" s="37">
        <f t="shared" ref="E283:J283" si="18">+E279+E282</f>
        <v>12654900</v>
      </c>
      <c r="F283" s="37">
        <f t="shared" si="18"/>
        <v>13858000</v>
      </c>
      <c r="G283" s="37">
        <f t="shared" si="18"/>
        <v>0</v>
      </c>
      <c r="H283" s="37">
        <f t="shared" si="18"/>
        <v>0</v>
      </c>
      <c r="I283" s="37">
        <f t="shared" si="18"/>
        <v>26512900</v>
      </c>
      <c r="J283" s="37">
        <f t="shared" si="18"/>
        <v>26512900</v>
      </c>
      <c r="K283" s="29"/>
    </row>
    <row r="284" spans="1:11" x14ac:dyDescent="0.35">
      <c r="A284" s="2747" t="str">
        <f>+'B) Reajuste Tarifas y Ocupación'!A90</f>
        <v>Residencia Universitaria Las Salinas</v>
      </c>
      <c r="B284" s="2691" t="s">
        <v>87</v>
      </c>
      <c r="C284" s="19" t="s">
        <v>521</v>
      </c>
      <c r="D284" s="2789"/>
      <c r="E284" s="30">
        <f>+'B) Reajuste Tarifas y Ocupación'!K90</f>
        <v>356100</v>
      </c>
      <c r="F284" s="30">
        <f>+'B) Reajuste Tarifas y Ocupación'!L90</f>
        <v>391600</v>
      </c>
      <c r="G284" s="30">
        <f>+'B) Reajuste Tarifas y Ocupación'!M90</f>
        <v>443900</v>
      </c>
      <c r="H284" s="2712"/>
      <c r="I284" s="2712"/>
      <c r="J284" s="2713"/>
      <c r="K284" s="29"/>
    </row>
    <row r="285" spans="1:11" x14ac:dyDescent="0.35">
      <c r="A285" s="2747"/>
      <c r="B285" s="2691"/>
      <c r="C285" s="331" t="s">
        <v>30</v>
      </c>
      <c r="D285" s="2694"/>
      <c r="E285" s="31">
        <f>'B) Reajuste Tarifas y Ocupación'!V90</f>
        <v>18</v>
      </c>
      <c r="F285" s="31">
        <f>'B) Reajuste Tarifas y Ocupación'!W90</f>
        <v>0</v>
      </c>
      <c r="G285" s="31">
        <f>'B) Reajuste Tarifas y Ocupación'!X90</f>
        <v>0</v>
      </c>
      <c r="H285" s="2696"/>
      <c r="I285" s="2696"/>
      <c r="J285" s="2697"/>
      <c r="K285" s="21"/>
    </row>
    <row r="286" spans="1:11" ht="15" thickBot="1" x14ac:dyDescent="0.4">
      <c r="A286" s="2747"/>
      <c r="B286" s="2692"/>
      <c r="C286" s="333" t="s">
        <v>31</v>
      </c>
      <c r="D286" s="334"/>
      <c r="E286" s="26">
        <f>E285*E284</f>
        <v>6409800</v>
      </c>
      <c r="F286" s="26">
        <f>F285*F284</f>
        <v>0</v>
      </c>
      <c r="G286" s="26">
        <f>G285*G284</f>
        <v>0</v>
      </c>
      <c r="H286" s="27">
        <f>(E284-D284)*D285</f>
        <v>0</v>
      </c>
      <c r="I286" s="27">
        <f>SUM(D286:G286)</f>
        <v>6409800</v>
      </c>
      <c r="J286" s="28">
        <f>H286+I286</f>
        <v>6409800</v>
      </c>
      <c r="K286" s="24"/>
    </row>
    <row r="287" spans="1:11" x14ac:dyDescent="0.35">
      <c r="A287" s="2747"/>
      <c r="B287" s="2722" t="s">
        <v>88</v>
      </c>
      <c r="C287" s="19" t="s">
        <v>521</v>
      </c>
      <c r="D287" s="2710"/>
      <c r="E287" s="32">
        <f>+'B) Reajuste Tarifas y Ocupación'!K91</f>
        <v>273900</v>
      </c>
      <c r="F287" s="32">
        <f>+'B) Reajuste Tarifas y Ocupación'!L91</f>
        <v>301300</v>
      </c>
      <c r="G287" s="32">
        <f>+'B) Reajuste Tarifas y Ocupación'!M91</f>
        <v>341600</v>
      </c>
      <c r="H287" s="2696"/>
      <c r="I287" s="2696"/>
      <c r="J287" s="2697"/>
      <c r="K287" s="29"/>
    </row>
    <row r="288" spans="1:11" x14ac:dyDescent="0.35">
      <c r="A288" s="2747"/>
      <c r="B288" s="2723"/>
      <c r="C288" s="337" t="s">
        <v>30</v>
      </c>
      <c r="D288" s="2820"/>
      <c r="E288" s="31">
        <f>'B) Reajuste Tarifas y Ocupación'!V91</f>
        <v>15</v>
      </c>
      <c r="F288" s="31">
        <f>'B) Reajuste Tarifas y Ocupación'!W91</f>
        <v>0</v>
      </c>
      <c r="G288" s="31">
        <f>+'B) Reajuste Tarifas y Ocupación'!X91</f>
        <v>0</v>
      </c>
      <c r="H288" s="2696"/>
      <c r="I288" s="2696"/>
      <c r="J288" s="2697"/>
      <c r="K288" s="21"/>
    </row>
    <row r="289" spans="1:11" ht="15" thickBot="1" x14ac:dyDescent="0.4">
      <c r="A289" s="2747"/>
      <c r="B289" s="2692"/>
      <c r="C289" s="333" t="s">
        <v>31</v>
      </c>
      <c r="D289" s="548"/>
      <c r="E289" s="26">
        <f>E288*E287</f>
        <v>4108500</v>
      </c>
      <c r="F289" s="26">
        <f>F288*F287</f>
        <v>0</v>
      </c>
      <c r="G289" s="26">
        <f>G288*G287</f>
        <v>0</v>
      </c>
      <c r="H289" s="27">
        <f>(E287-D287)*D288</f>
        <v>0</v>
      </c>
      <c r="I289" s="27">
        <f>SUM(D289:G289)</f>
        <v>4108500</v>
      </c>
      <c r="J289" s="28">
        <f>H289+I289</f>
        <v>4108500</v>
      </c>
      <c r="K289" s="24"/>
    </row>
    <row r="290" spans="1:11" x14ac:dyDescent="0.35">
      <c r="A290" s="2747"/>
      <c r="B290" s="2722" t="s">
        <v>89</v>
      </c>
      <c r="C290" s="19" t="s">
        <v>521</v>
      </c>
      <c r="D290" s="550">
        <f>+'B) Reajuste Tarifas y Ocupación'!J92</f>
        <v>0</v>
      </c>
      <c r="E290" s="546">
        <f>+'B) Reajuste Tarifas y Ocupación'!K92</f>
        <v>101700</v>
      </c>
      <c r="F290" s="32">
        <f>+'B) Reajuste Tarifas y Ocupación'!L92</f>
        <v>111900</v>
      </c>
      <c r="G290" s="32">
        <f>+'B) Reajuste Tarifas y Ocupación'!M92</f>
        <v>126800</v>
      </c>
      <c r="H290" s="2696"/>
      <c r="I290" s="2696"/>
      <c r="J290" s="2697"/>
      <c r="K290" s="29"/>
    </row>
    <row r="291" spans="1:11" x14ac:dyDescent="0.35">
      <c r="A291" s="2747"/>
      <c r="B291" s="2723"/>
      <c r="C291" s="337" t="s">
        <v>30</v>
      </c>
      <c r="D291" s="551">
        <f>'B) Reajuste Tarifas y Ocupación'!U92</f>
        <v>17</v>
      </c>
      <c r="E291" s="545">
        <f>'B) Reajuste Tarifas y Ocupación'!V92</f>
        <v>10</v>
      </c>
      <c r="F291" s="31">
        <f>'B) Reajuste Tarifas y Ocupación'!W92</f>
        <v>0</v>
      </c>
      <c r="G291" s="31">
        <f>'B) Reajuste Tarifas y Ocupación'!X92</f>
        <v>0</v>
      </c>
      <c r="H291" s="2696"/>
      <c r="I291" s="2696"/>
      <c r="J291" s="2697"/>
      <c r="K291" s="21"/>
    </row>
    <row r="292" spans="1:11" x14ac:dyDescent="0.35">
      <c r="A292" s="2747"/>
      <c r="B292" s="2692"/>
      <c r="C292" s="333" t="s">
        <v>31</v>
      </c>
      <c r="D292" s="549">
        <f>D291*D290</f>
        <v>0</v>
      </c>
      <c r="E292" s="26">
        <f>E291*E290</f>
        <v>1017000</v>
      </c>
      <c r="F292" s="26">
        <f>F291*F290</f>
        <v>0</v>
      </c>
      <c r="G292" s="26">
        <f>G291*G290</f>
        <v>0</v>
      </c>
      <c r="H292" s="27">
        <f>(E290-D290)*D291</f>
        <v>1728900</v>
      </c>
      <c r="I292" s="27">
        <f>SUM(D292:G292)</f>
        <v>1017000</v>
      </c>
      <c r="J292" s="28">
        <f>H292+I292</f>
        <v>2745900</v>
      </c>
      <c r="K292" s="24"/>
    </row>
    <row r="293" spans="1:11" x14ac:dyDescent="0.35">
      <c r="A293" s="2747"/>
      <c r="B293" s="2755" t="s">
        <v>46</v>
      </c>
      <c r="C293" s="2765"/>
      <c r="D293" s="2710"/>
      <c r="E293" s="2702"/>
      <c r="F293" s="2702"/>
      <c r="G293" s="2702"/>
      <c r="H293" s="2821"/>
      <c r="I293" s="2821"/>
      <c r="J293" s="2769"/>
      <c r="K293" s="29"/>
    </row>
    <row r="294" spans="1:11" x14ac:dyDescent="0.35">
      <c r="A294" s="2747"/>
      <c r="B294" s="2756"/>
      <c r="C294" s="2765"/>
      <c r="D294" s="2820"/>
      <c r="E294" s="2694"/>
      <c r="F294" s="2694"/>
      <c r="G294" s="2694"/>
      <c r="H294" s="2768"/>
      <c r="I294" s="2768"/>
      <c r="J294" s="2770"/>
      <c r="K294" s="21"/>
    </row>
    <row r="295" spans="1:11" ht="15" thickBot="1" x14ac:dyDescent="0.4">
      <c r="A295" s="2747"/>
      <c r="B295" s="2757"/>
      <c r="C295" s="338"/>
      <c r="D295" s="334"/>
      <c r="E295" s="33"/>
      <c r="F295" s="33"/>
      <c r="G295" s="33"/>
      <c r="H295" s="34"/>
      <c r="I295" s="34"/>
      <c r="J295" s="35"/>
      <c r="K295" s="24"/>
    </row>
    <row r="296" spans="1:11" x14ac:dyDescent="0.35">
      <c r="A296" s="2747"/>
      <c r="B296" s="2822" t="s">
        <v>89</v>
      </c>
      <c r="C296" s="19" t="s">
        <v>521</v>
      </c>
      <c r="D296" s="2702"/>
      <c r="E296" s="32">
        <f>+'B) Reajuste Tarifas y Ocupación'!K94</f>
        <v>30600</v>
      </c>
      <c r="F296" s="32">
        <f>+'B) Reajuste Tarifas y Ocupación'!L94</f>
        <v>33600</v>
      </c>
      <c r="G296" s="32">
        <f>+'B) Reajuste Tarifas y Ocupación'!M94</f>
        <v>38100</v>
      </c>
      <c r="H296" s="2696"/>
      <c r="I296" s="2696"/>
      <c r="J296" s="2697"/>
      <c r="K296" s="29"/>
    </row>
    <row r="297" spans="1:11" x14ac:dyDescent="0.35">
      <c r="A297" s="2747"/>
      <c r="B297" s="2725"/>
      <c r="C297" s="22" t="s">
        <v>30</v>
      </c>
      <c r="D297" s="2694"/>
      <c r="E297" s="31">
        <f>'B) Reajuste Tarifas y Ocupación'!V94</f>
        <v>0</v>
      </c>
      <c r="F297" s="31">
        <f>'B) Reajuste Tarifas y Ocupación'!W94</f>
        <v>0</v>
      </c>
      <c r="G297" s="31">
        <f>'B) Reajuste Tarifas y Ocupación'!X94</f>
        <v>0</v>
      </c>
      <c r="H297" s="2696"/>
      <c r="I297" s="2696"/>
      <c r="J297" s="2697"/>
      <c r="K297" s="21"/>
    </row>
    <row r="298" spans="1:11" x14ac:dyDescent="0.35">
      <c r="A298" s="2747"/>
      <c r="B298" s="2726"/>
      <c r="C298" s="25" t="s">
        <v>31</v>
      </c>
      <c r="D298" s="33"/>
      <c r="E298" s="26">
        <f>E297*E296</f>
        <v>0</v>
      </c>
      <c r="F298" s="26">
        <f>F297*F296</f>
        <v>0</v>
      </c>
      <c r="G298" s="26">
        <f>G297*G296</f>
        <v>0</v>
      </c>
      <c r="H298" s="27">
        <f>(E296-D296)*D297</f>
        <v>0</v>
      </c>
      <c r="I298" s="27">
        <f>SUM(D298:G298)</f>
        <v>0</v>
      </c>
      <c r="J298" s="28">
        <f>H298+I298</f>
        <v>0</v>
      </c>
      <c r="K298" s="24"/>
    </row>
    <row r="299" spans="1:11" ht="15" thickBot="1" x14ac:dyDescent="0.4">
      <c r="A299" s="2748"/>
      <c r="B299" s="2703" t="s">
        <v>32</v>
      </c>
      <c r="C299" s="2704"/>
      <c r="D299" s="37">
        <f>+D286+D289+D292+D295+D298</f>
        <v>0</v>
      </c>
      <c r="E299" s="37">
        <f t="shared" ref="E299:J299" si="19">+E286+E289+E292+E295+E298</f>
        <v>11535300</v>
      </c>
      <c r="F299" s="37">
        <f t="shared" si="19"/>
        <v>0</v>
      </c>
      <c r="G299" s="37">
        <f t="shared" si="19"/>
        <v>0</v>
      </c>
      <c r="H299" s="37">
        <f t="shared" si="19"/>
        <v>1728900</v>
      </c>
      <c r="I299" s="37">
        <f t="shared" si="19"/>
        <v>11535300</v>
      </c>
      <c r="J299" s="37">
        <f t="shared" si="19"/>
        <v>13264200</v>
      </c>
      <c r="K299" s="29"/>
    </row>
    <row r="300" spans="1:11" ht="15" customHeight="1" x14ac:dyDescent="0.35">
      <c r="A300" s="2747" t="s">
        <v>347</v>
      </c>
      <c r="B300" s="2691" t="s">
        <v>368</v>
      </c>
      <c r="C300" s="19" t="s">
        <v>521</v>
      </c>
      <c r="D300" s="2702"/>
      <c r="E300" s="30">
        <f>+'B) Reajuste Tarifas y Ocupación'!K95</f>
        <v>1523000</v>
      </c>
      <c r="F300" s="30">
        <f>+'B) Reajuste Tarifas y Ocupación'!L95</f>
        <v>1675400</v>
      </c>
      <c r="G300" s="30">
        <f>+'B) Reajuste Tarifas y Ocupación'!M95</f>
        <v>1898700</v>
      </c>
      <c r="H300" s="2712"/>
      <c r="I300" s="2712"/>
      <c r="J300" s="2713"/>
    </row>
    <row r="301" spans="1:11" ht="15" customHeight="1" x14ac:dyDescent="0.35">
      <c r="A301" s="2747"/>
      <c r="B301" s="2723"/>
      <c r="C301" s="547" t="s">
        <v>30</v>
      </c>
      <c r="D301" s="2694"/>
      <c r="E301" s="545">
        <f>'B) Reajuste Tarifas y Ocupación'!V95</f>
        <v>27</v>
      </c>
      <c r="F301" s="31">
        <f>'B) Reajuste Tarifas y Ocupación'!W95</f>
        <v>38</v>
      </c>
      <c r="G301" s="31">
        <f>'B) Reajuste Tarifas y Ocupación'!X95</f>
        <v>12</v>
      </c>
      <c r="H301" s="2696"/>
      <c r="I301" s="2696"/>
      <c r="J301" s="2697"/>
    </row>
    <row r="302" spans="1:11" ht="15" customHeight="1" x14ac:dyDescent="0.35">
      <c r="A302" s="2747"/>
      <c r="B302" s="2692"/>
      <c r="C302" s="333" t="s">
        <v>31</v>
      </c>
      <c r="D302" s="33"/>
      <c r="E302" s="26">
        <f>E301*E300</f>
        <v>41121000</v>
      </c>
      <c r="F302" s="26">
        <f>F301*F300</f>
        <v>63665200</v>
      </c>
      <c r="G302" s="26">
        <f>G301*G300</f>
        <v>22784400</v>
      </c>
      <c r="H302" s="27">
        <f>(E300-D300)*D301</f>
        <v>0</v>
      </c>
      <c r="I302" s="27">
        <f>SUM(D302:G302)</f>
        <v>127570600</v>
      </c>
      <c r="J302" s="28">
        <f>H302+I302</f>
        <v>127570600</v>
      </c>
    </row>
    <row r="303" spans="1:11" ht="15" thickBot="1" x14ac:dyDescent="0.4">
      <c r="A303" s="2748"/>
      <c r="B303" s="2830" t="s">
        <v>32</v>
      </c>
      <c r="C303" s="2831"/>
      <c r="D303" s="37">
        <f>+D302</f>
        <v>0</v>
      </c>
      <c r="E303" s="37">
        <f t="shared" ref="E303:J303" si="20">+E302</f>
        <v>41121000</v>
      </c>
      <c r="F303" s="37">
        <f t="shared" si="20"/>
        <v>63665200</v>
      </c>
      <c r="G303" s="37">
        <f t="shared" si="20"/>
        <v>22784400</v>
      </c>
      <c r="H303" s="37">
        <f t="shared" si="20"/>
        <v>0</v>
      </c>
      <c r="I303" s="37">
        <f t="shared" si="20"/>
        <v>127570600</v>
      </c>
      <c r="J303" s="37">
        <f t="shared" si="20"/>
        <v>127570600</v>
      </c>
    </row>
    <row r="304" spans="1:11" ht="16.5" customHeight="1" x14ac:dyDescent="0.35">
      <c r="A304" s="2746" t="s">
        <v>372</v>
      </c>
      <c r="B304" s="2825" t="s">
        <v>373</v>
      </c>
      <c r="C304" s="19" t="s">
        <v>521</v>
      </c>
      <c r="D304" s="30">
        <f>+'B) Reajuste Tarifas y Ocupación'!J96</f>
        <v>61900</v>
      </c>
      <c r="E304" s="30">
        <f>+'B) Reajuste Tarifas y Ocupación'!K96</f>
        <v>95200</v>
      </c>
      <c r="F304" s="30">
        <f>+'B) Reajuste Tarifas y Ocupación'!L96</f>
        <v>104800</v>
      </c>
      <c r="G304" s="30">
        <f>+'B) Reajuste Tarifas y Ocupación'!M96</f>
        <v>118700</v>
      </c>
      <c r="H304" s="2828"/>
      <c r="I304" s="2828"/>
      <c r="J304" s="2829"/>
    </row>
    <row r="305" spans="1:10" ht="15.75" customHeight="1" x14ac:dyDescent="0.35">
      <c r="A305" s="2747"/>
      <c r="B305" s="2826"/>
      <c r="C305" s="762" t="s">
        <v>30</v>
      </c>
      <c r="D305" s="545">
        <f>'B) Reajuste Tarifas y Ocupación'!U96</f>
        <v>101</v>
      </c>
      <c r="E305" s="545">
        <f>'B) Reajuste Tarifas y Ocupación'!V96</f>
        <v>19</v>
      </c>
      <c r="F305" s="545">
        <f>'B) Reajuste Tarifas y Ocupación'!W96</f>
        <v>0</v>
      </c>
      <c r="G305" s="545">
        <f>'B) Reajuste Tarifas y Ocupación'!X96</f>
        <v>0</v>
      </c>
      <c r="H305" s="2695"/>
      <c r="I305" s="2695"/>
      <c r="J305" s="2720"/>
    </row>
    <row r="306" spans="1:10" ht="15.75" customHeight="1" x14ac:dyDescent="0.35">
      <c r="A306" s="2747"/>
      <c r="B306" s="2827"/>
      <c r="C306" s="763" t="s">
        <v>31</v>
      </c>
      <c r="D306" s="26">
        <f>D305*D304</f>
        <v>6251900</v>
      </c>
      <c r="E306" s="26">
        <f>E305*E304</f>
        <v>1808800</v>
      </c>
      <c r="F306" s="26">
        <f>F305*F304</f>
        <v>0</v>
      </c>
      <c r="G306" s="26">
        <f>G305*G304</f>
        <v>0</v>
      </c>
      <c r="H306" s="27">
        <f>(E304-D304)*D305</f>
        <v>3363300</v>
      </c>
      <c r="I306" s="27">
        <f>SUM(D306:G306)</f>
        <v>8060700</v>
      </c>
      <c r="J306" s="28">
        <f>H306+I306</f>
        <v>11424000</v>
      </c>
    </row>
    <row r="307" spans="1:10" ht="15" thickBot="1" x14ac:dyDescent="0.4">
      <c r="A307" s="2748"/>
      <c r="B307" s="2832" t="s">
        <v>32</v>
      </c>
      <c r="C307" s="2833"/>
      <c r="D307" s="761">
        <f>+D306</f>
        <v>6251900</v>
      </c>
      <c r="E307" s="37">
        <f t="shared" ref="E307:J307" si="21">+E306</f>
        <v>1808800</v>
      </c>
      <c r="F307" s="37">
        <f t="shared" si="21"/>
        <v>0</v>
      </c>
      <c r="G307" s="37">
        <f t="shared" si="21"/>
        <v>0</v>
      </c>
      <c r="H307" s="37">
        <f t="shared" si="21"/>
        <v>3363300</v>
      </c>
      <c r="I307" s="37">
        <f t="shared" si="21"/>
        <v>8060700</v>
      </c>
      <c r="J307" s="37">
        <f t="shared" si="21"/>
        <v>11424000</v>
      </c>
    </row>
  </sheetData>
  <mergeCells count="492">
    <mergeCell ref="A304:A307"/>
    <mergeCell ref="A300:A303"/>
    <mergeCell ref="B303:C303"/>
    <mergeCell ref="B300:B302"/>
    <mergeCell ref="H300:H301"/>
    <mergeCell ref="I300:I301"/>
    <mergeCell ref="J300:J301"/>
    <mergeCell ref="D300:D301"/>
    <mergeCell ref="B307:C307"/>
    <mergeCell ref="J245:J246"/>
    <mergeCell ref="J223:J224"/>
    <mergeCell ref="F226:F227"/>
    <mergeCell ref="G226:G227"/>
    <mergeCell ref="H226:H227"/>
    <mergeCell ref="I226:I227"/>
    <mergeCell ref="H216:H217"/>
    <mergeCell ref="B304:B306"/>
    <mergeCell ref="H304:H305"/>
    <mergeCell ref="I304:I305"/>
    <mergeCell ref="J304:J305"/>
    <mergeCell ref="J293:J294"/>
    <mergeCell ref="J296:J297"/>
    <mergeCell ref="J287:J288"/>
    <mergeCell ref="J290:J291"/>
    <mergeCell ref="E293:E294"/>
    <mergeCell ref="F293:F294"/>
    <mergeCell ref="J284:J285"/>
    <mergeCell ref="D267:D268"/>
    <mergeCell ref="H267:H268"/>
    <mergeCell ref="I267:I268"/>
    <mergeCell ref="J267:J268"/>
    <mergeCell ref="B299:C299"/>
    <mergeCell ref="G293:G294"/>
    <mergeCell ref="H293:H294"/>
    <mergeCell ref="I293:I294"/>
    <mergeCell ref="A284:A299"/>
    <mergeCell ref="B284:B286"/>
    <mergeCell ref="D284:D285"/>
    <mergeCell ref="H284:H285"/>
    <mergeCell ref="I284:I285"/>
    <mergeCell ref="B296:B298"/>
    <mergeCell ref="D296:D297"/>
    <mergeCell ref="H296:H297"/>
    <mergeCell ref="I296:I297"/>
    <mergeCell ref="B290:B292"/>
    <mergeCell ref="H290:H291"/>
    <mergeCell ref="I290:I291"/>
    <mergeCell ref="B293:B295"/>
    <mergeCell ref="C293:C294"/>
    <mergeCell ref="D293:D294"/>
    <mergeCell ref="B287:B289"/>
    <mergeCell ref="D287:D288"/>
    <mergeCell ref="H287:H288"/>
    <mergeCell ref="I287:I288"/>
    <mergeCell ref="J277:J278"/>
    <mergeCell ref="B280:B282"/>
    <mergeCell ref="D280:D281"/>
    <mergeCell ref="H280:H281"/>
    <mergeCell ref="I280:I281"/>
    <mergeCell ref="J280:J281"/>
    <mergeCell ref="B276:C276"/>
    <mergeCell ref="A277:A283"/>
    <mergeCell ref="B277:B279"/>
    <mergeCell ref="D277:D278"/>
    <mergeCell ref="H277:H278"/>
    <mergeCell ref="I277:I278"/>
    <mergeCell ref="B283:C283"/>
    <mergeCell ref="I270:I271"/>
    <mergeCell ref="J270:J271"/>
    <mergeCell ref="B273:B275"/>
    <mergeCell ref="H273:H274"/>
    <mergeCell ref="I273:I274"/>
    <mergeCell ref="J273:J274"/>
    <mergeCell ref="A252:A276"/>
    <mergeCell ref="B252:B254"/>
    <mergeCell ref="H252:H253"/>
    <mergeCell ref="I252:I253"/>
    <mergeCell ref="J252:J253"/>
    <mergeCell ref="B255:B257"/>
    <mergeCell ref="H255:H256"/>
    <mergeCell ref="I255:I256"/>
    <mergeCell ref="J255:J256"/>
    <mergeCell ref="H261:H262"/>
    <mergeCell ref="I261:I262"/>
    <mergeCell ref="B270:B272"/>
    <mergeCell ref="D270:D271"/>
    <mergeCell ref="F270:F271"/>
    <mergeCell ref="G270:G271"/>
    <mergeCell ref="H270:H271"/>
    <mergeCell ref="B267:B269"/>
    <mergeCell ref="J261:J262"/>
    <mergeCell ref="B264:B266"/>
    <mergeCell ref="D264:D265"/>
    <mergeCell ref="H264:H265"/>
    <mergeCell ref="I264:I265"/>
    <mergeCell ref="J264:J265"/>
    <mergeCell ref="B261:B263"/>
    <mergeCell ref="C261:C262"/>
    <mergeCell ref="D261:D262"/>
    <mergeCell ref="E261:E262"/>
    <mergeCell ref="F261:F262"/>
    <mergeCell ref="G261:G262"/>
    <mergeCell ref="D248:D249"/>
    <mergeCell ref="H248:H249"/>
    <mergeCell ref="I248:I249"/>
    <mergeCell ref="J248:J249"/>
    <mergeCell ref="B258:B260"/>
    <mergeCell ref="F258:F259"/>
    <mergeCell ref="G258:G259"/>
    <mergeCell ref="H258:H259"/>
    <mergeCell ref="I258:I259"/>
    <mergeCell ref="J258:J259"/>
    <mergeCell ref="B251:C251"/>
    <mergeCell ref="A230:A251"/>
    <mergeCell ref="B230:B232"/>
    <mergeCell ref="H230:H231"/>
    <mergeCell ref="I230:I231"/>
    <mergeCell ref="J230:J231"/>
    <mergeCell ref="B233:B235"/>
    <mergeCell ref="H233:H234"/>
    <mergeCell ref="I233:I234"/>
    <mergeCell ref="A223:A229"/>
    <mergeCell ref="J233:J234"/>
    <mergeCell ref="B242:B244"/>
    <mergeCell ref="C242:C243"/>
    <mergeCell ref="D242:D243"/>
    <mergeCell ref="E242:E243"/>
    <mergeCell ref="F242:F243"/>
    <mergeCell ref="G242:G243"/>
    <mergeCell ref="H242:H243"/>
    <mergeCell ref="I242:I243"/>
    <mergeCell ref="J242:J243"/>
    <mergeCell ref="B245:B247"/>
    <mergeCell ref="D245:D246"/>
    <mergeCell ref="H245:H246"/>
    <mergeCell ref="I245:I246"/>
    <mergeCell ref="B248:B250"/>
    <mergeCell ref="J210:J211"/>
    <mergeCell ref="B213:B215"/>
    <mergeCell ref="H213:H214"/>
    <mergeCell ref="I213:I214"/>
    <mergeCell ref="J213:J214"/>
    <mergeCell ref="I216:I217"/>
    <mergeCell ref="J216:J217"/>
    <mergeCell ref="B216:B218"/>
    <mergeCell ref="C216:C217"/>
    <mergeCell ref="D216:D217"/>
    <mergeCell ref="E216:E217"/>
    <mergeCell ref="F216:F217"/>
    <mergeCell ref="G216:G217"/>
    <mergeCell ref="J200:J201"/>
    <mergeCell ref="B203:C203"/>
    <mergeCell ref="A204:A222"/>
    <mergeCell ref="B204:B206"/>
    <mergeCell ref="H204:H205"/>
    <mergeCell ref="I204:I205"/>
    <mergeCell ref="J204:J205"/>
    <mergeCell ref="B207:B209"/>
    <mergeCell ref="H207:H208"/>
    <mergeCell ref="I207:I208"/>
    <mergeCell ref="A197:A203"/>
    <mergeCell ref="B197:B199"/>
    <mergeCell ref="D197:D198"/>
    <mergeCell ref="H197:H198"/>
    <mergeCell ref="I197:I198"/>
    <mergeCell ref="J197:J198"/>
    <mergeCell ref="B200:B202"/>
    <mergeCell ref="D200:D201"/>
    <mergeCell ref="H200:H201"/>
    <mergeCell ref="I200:I201"/>
    <mergeCell ref="J207:J208"/>
    <mergeCell ref="B210:B212"/>
    <mergeCell ref="H210:H211"/>
    <mergeCell ref="I210:I211"/>
    <mergeCell ref="B196:C196"/>
    <mergeCell ref="B178:B180"/>
    <mergeCell ref="D178:D179"/>
    <mergeCell ref="H178:H179"/>
    <mergeCell ref="I178:I179"/>
    <mergeCell ref="J178:J179"/>
    <mergeCell ref="B187:B189"/>
    <mergeCell ref="B190:B192"/>
    <mergeCell ref="B193:B195"/>
    <mergeCell ref="D187:D188"/>
    <mergeCell ref="H187:H188"/>
    <mergeCell ref="I187:I188"/>
    <mergeCell ref="J187:J188"/>
    <mergeCell ref="D190:D191"/>
    <mergeCell ref="H190:H191"/>
    <mergeCell ref="I190:I191"/>
    <mergeCell ref="J190:J191"/>
    <mergeCell ref="D193:D194"/>
    <mergeCell ref="H193:H194"/>
    <mergeCell ref="I193:I194"/>
    <mergeCell ref="J193:J194"/>
    <mergeCell ref="H157:H158"/>
    <mergeCell ref="I157:I158"/>
    <mergeCell ref="J157:J158"/>
    <mergeCell ref="B163:B165"/>
    <mergeCell ref="D163:D164"/>
    <mergeCell ref="H163:H164"/>
    <mergeCell ref="I163:I164"/>
    <mergeCell ref="J163:J164"/>
    <mergeCell ref="H150:H151"/>
    <mergeCell ref="I150:I151"/>
    <mergeCell ref="J150:J151"/>
    <mergeCell ref="B153:C153"/>
    <mergeCell ref="F163:F164"/>
    <mergeCell ref="G163:G164"/>
    <mergeCell ref="B160:B162"/>
    <mergeCell ref="H160:H161"/>
    <mergeCell ref="I160:I161"/>
    <mergeCell ref="J160:J161"/>
    <mergeCell ref="D160:D161"/>
    <mergeCell ref="D157:D158"/>
    <mergeCell ref="A154:A196"/>
    <mergeCell ref="B154:B156"/>
    <mergeCell ref="H154:H155"/>
    <mergeCell ref="I154:I155"/>
    <mergeCell ref="J154:J155"/>
    <mergeCell ref="B157:B159"/>
    <mergeCell ref="J143:J144"/>
    <mergeCell ref="B146:C146"/>
    <mergeCell ref="A147:A153"/>
    <mergeCell ref="B147:B149"/>
    <mergeCell ref="D147:D148"/>
    <mergeCell ref="H147:H148"/>
    <mergeCell ref="I147:I148"/>
    <mergeCell ref="J147:J148"/>
    <mergeCell ref="B150:B152"/>
    <mergeCell ref="D150:D151"/>
    <mergeCell ref="A140:A146"/>
    <mergeCell ref="B140:B142"/>
    <mergeCell ref="D140:D141"/>
    <mergeCell ref="H140:H141"/>
    <mergeCell ref="I140:I141"/>
    <mergeCell ref="J140:J141"/>
    <mergeCell ref="B143:B145"/>
    <mergeCell ref="D143:D144"/>
    <mergeCell ref="H143:H144"/>
    <mergeCell ref="I143:I144"/>
    <mergeCell ref="B136:B138"/>
    <mergeCell ref="D136:D137"/>
    <mergeCell ref="H136:H137"/>
    <mergeCell ref="I136:I137"/>
    <mergeCell ref="J136:J137"/>
    <mergeCell ref="B139:C139"/>
    <mergeCell ref="B130:B132"/>
    <mergeCell ref="D130:D131"/>
    <mergeCell ref="H130:H131"/>
    <mergeCell ref="I130:I131"/>
    <mergeCell ref="J130:J131"/>
    <mergeCell ref="B133:B135"/>
    <mergeCell ref="D133:D134"/>
    <mergeCell ref="H133:H134"/>
    <mergeCell ref="I133:I134"/>
    <mergeCell ref="J133:J134"/>
    <mergeCell ref="B124:B126"/>
    <mergeCell ref="D124:D125"/>
    <mergeCell ref="H124:H125"/>
    <mergeCell ref="I124:I125"/>
    <mergeCell ref="J124:J125"/>
    <mergeCell ref="B127:B129"/>
    <mergeCell ref="D127:D128"/>
    <mergeCell ref="H127:H128"/>
    <mergeCell ref="I127:I128"/>
    <mergeCell ref="J127:J128"/>
    <mergeCell ref="H118:H119"/>
    <mergeCell ref="I118:I119"/>
    <mergeCell ref="J118:J119"/>
    <mergeCell ref="B121:B123"/>
    <mergeCell ref="D121:D122"/>
    <mergeCell ref="H121:H122"/>
    <mergeCell ref="I121:I122"/>
    <mergeCell ref="J121:J122"/>
    <mergeCell ref="B118:B120"/>
    <mergeCell ref="C118:C119"/>
    <mergeCell ref="D118:D119"/>
    <mergeCell ref="E118:E119"/>
    <mergeCell ref="F118:F119"/>
    <mergeCell ref="G118:G119"/>
    <mergeCell ref="B112:B114"/>
    <mergeCell ref="H112:H113"/>
    <mergeCell ref="I112:I113"/>
    <mergeCell ref="J112:J113"/>
    <mergeCell ref="B115:B117"/>
    <mergeCell ref="H115:H116"/>
    <mergeCell ref="I115:I116"/>
    <mergeCell ref="J115:J116"/>
    <mergeCell ref="B106:B108"/>
    <mergeCell ref="D106:D107"/>
    <mergeCell ref="H106:H107"/>
    <mergeCell ref="I106:I107"/>
    <mergeCell ref="J106:J107"/>
    <mergeCell ref="B109:B111"/>
    <mergeCell ref="H109:H110"/>
    <mergeCell ref="I109:I110"/>
    <mergeCell ref="J109:J110"/>
    <mergeCell ref="B97:B99"/>
    <mergeCell ref="H97:H98"/>
    <mergeCell ref="I97:I98"/>
    <mergeCell ref="J97:J98"/>
    <mergeCell ref="A85:A139"/>
    <mergeCell ref="B85:B87"/>
    <mergeCell ref="H85:H86"/>
    <mergeCell ref="I85:I86"/>
    <mergeCell ref="J85:J86"/>
    <mergeCell ref="B88:B90"/>
    <mergeCell ref="H88:H89"/>
    <mergeCell ref="I88:I89"/>
    <mergeCell ref="J88:J89"/>
    <mergeCell ref="B94:B96"/>
    <mergeCell ref="B100:B102"/>
    <mergeCell ref="D100:D101"/>
    <mergeCell ref="H100:H101"/>
    <mergeCell ref="I100:I101"/>
    <mergeCell ref="J100:J101"/>
    <mergeCell ref="B103:B105"/>
    <mergeCell ref="D103:D104"/>
    <mergeCell ref="H103:H104"/>
    <mergeCell ref="I103:I104"/>
    <mergeCell ref="J103:J104"/>
    <mergeCell ref="H94:H95"/>
    <mergeCell ref="I94:I95"/>
    <mergeCell ref="J94:J95"/>
    <mergeCell ref="E75:E76"/>
    <mergeCell ref="F75:F76"/>
    <mergeCell ref="G75:G76"/>
    <mergeCell ref="H75:H76"/>
    <mergeCell ref="B81:B83"/>
    <mergeCell ref="D81:D82"/>
    <mergeCell ref="H81:H82"/>
    <mergeCell ref="I81:I82"/>
    <mergeCell ref="J81:J82"/>
    <mergeCell ref="H91:H92"/>
    <mergeCell ref="I91:I92"/>
    <mergeCell ref="J91:J92"/>
    <mergeCell ref="B91:B93"/>
    <mergeCell ref="A66:A84"/>
    <mergeCell ref="B66:B68"/>
    <mergeCell ref="H66:H67"/>
    <mergeCell ref="I66:I67"/>
    <mergeCell ref="J66:J67"/>
    <mergeCell ref="B69:B71"/>
    <mergeCell ref="H69:H70"/>
    <mergeCell ref="I69:I70"/>
    <mergeCell ref="J69:J70"/>
    <mergeCell ref="B72:B74"/>
    <mergeCell ref="H72:H73"/>
    <mergeCell ref="I72:I73"/>
    <mergeCell ref="J72:J73"/>
    <mergeCell ref="B75:B77"/>
    <mergeCell ref="C75:C76"/>
    <mergeCell ref="D75:D76"/>
    <mergeCell ref="B84:C84"/>
    <mergeCell ref="I75:I76"/>
    <mergeCell ref="J75:J76"/>
    <mergeCell ref="B78:B80"/>
    <mergeCell ref="D78:D79"/>
    <mergeCell ref="H78:H79"/>
    <mergeCell ref="I78:I79"/>
    <mergeCell ref="J78:J79"/>
    <mergeCell ref="J33:J34"/>
    <mergeCell ref="H50:H51"/>
    <mergeCell ref="I50:I51"/>
    <mergeCell ref="J50:J51"/>
    <mergeCell ref="B53:B55"/>
    <mergeCell ref="D53:D54"/>
    <mergeCell ref="H53:H54"/>
    <mergeCell ref="I53:I54"/>
    <mergeCell ref="J53:J54"/>
    <mergeCell ref="B44:B46"/>
    <mergeCell ref="H44:H45"/>
    <mergeCell ref="I44:I45"/>
    <mergeCell ref="J44:J45"/>
    <mergeCell ref="B50:B52"/>
    <mergeCell ref="C50:C51"/>
    <mergeCell ref="D50:D51"/>
    <mergeCell ref="E50:E51"/>
    <mergeCell ref="F50:F51"/>
    <mergeCell ref="G50:G51"/>
    <mergeCell ref="H47:H48"/>
    <mergeCell ref="I47:I48"/>
    <mergeCell ref="J47:J48"/>
    <mergeCell ref="B47:B49"/>
    <mergeCell ref="J35:J36"/>
    <mergeCell ref="C4:D4"/>
    <mergeCell ref="E4:F4"/>
    <mergeCell ref="A6:D6"/>
    <mergeCell ref="A31:D31"/>
    <mergeCell ref="A33:A34"/>
    <mergeCell ref="B33:B34"/>
    <mergeCell ref="C33:C34"/>
    <mergeCell ref="D33:G33"/>
    <mergeCell ref="I38:I39"/>
    <mergeCell ref="H33:H34"/>
    <mergeCell ref="I33:I34"/>
    <mergeCell ref="A35:A65"/>
    <mergeCell ref="B35:B37"/>
    <mergeCell ref="H35:H36"/>
    <mergeCell ref="I35:I36"/>
    <mergeCell ref="B38:B40"/>
    <mergeCell ref="H38:H39"/>
    <mergeCell ref="B65:C65"/>
    <mergeCell ref="H56:H57"/>
    <mergeCell ref="I56:I57"/>
    <mergeCell ref="B59:B61"/>
    <mergeCell ref="D59:D60"/>
    <mergeCell ref="H59:H60"/>
    <mergeCell ref="I59:I60"/>
    <mergeCell ref="J38:J39"/>
    <mergeCell ref="B41:B43"/>
    <mergeCell ref="H41:H42"/>
    <mergeCell ref="I41:I42"/>
    <mergeCell ref="J41:J42"/>
    <mergeCell ref="B62:B64"/>
    <mergeCell ref="D62:D63"/>
    <mergeCell ref="H62:H63"/>
    <mergeCell ref="I62:I63"/>
    <mergeCell ref="J62:J63"/>
    <mergeCell ref="B56:B58"/>
    <mergeCell ref="D56:D57"/>
    <mergeCell ref="J56:J57"/>
    <mergeCell ref="J59:J60"/>
    <mergeCell ref="B166:B168"/>
    <mergeCell ref="B169:B171"/>
    <mergeCell ref="H166:H167"/>
    <mergeCell ref="I166:I167"/>
    <mergeCell ref="J166:J167"/>
    <mergeCell ref="H169:H170"/>
    <mergeCell ref="I169:I170"/>
    <mergeCell ref="J169:J170"/>
    <mergeCell ref="D166:D167"/>
    <mergeCell ref="D169:D170"/>
    <mergeCell ref="F166:F167"/>
    <mergeCell ref="G166:G167"/>
    <mergeCell ref="B172:B174"/>
    <mergeCell ref="B175:B177"/>
    <mergeCell ref="B184:B186"/>
    <mergeCell ref="D172:D173"/>
    <mergeCell ref="H172:H173"/>
    <mergeCell ref="I172:I173"/>
    <mergeCell ref="J172:J173"/>
    <mergeCell ref="D175:D176"/>
    <mergeCell ref="H175:H176"/>
    <mergeCell ref="I175:I176"/>
    <mergeCell ref="J175:J176"/>
    <mergeCell ref="F172:F173"/>
    <mergeCell ref="G172:G173"/>
    <mergeCell ref="D184:D185"/>
    <mergeCell ref="H184:H185"/>
    <mergeCell ref="I184:I185"/>
    <mergeCell ref="J184:J185"/>
    <mergeCell ref="F184:F185"/>
    <mergeCell ref="G184:G185"/>
    <mergeCell ref="B181:B183"/>
    <mergeCell ref="D181:D182"/>
    <mergeCell ref="H181:H182"/>
    <mergeCell ref="I181:I182"/>
    <mergeCell ref="J181:J182"/>
    <mergeCell ref="B239:B241"/>
    <mergeCell ref="H239:H240"/>
    <mergeCell ref="I239:I240"/>
    <mergeCell ref="J239:J240"/>
    <mergeCell ref="D236:D237"/>
    <mergeCell ref="D239:D240"/>
    <mergeCell ref="F236:F237"/>
    <mergeCell ref="G236:G237"/>
    <mergeCell ref="F239:F240"/>
    <mergeCell ref="G239:G240"/>
    <mergeCell ref="J219:J220"/>
    <mergeCell ref="I219:I220"/>
    <mergeCell ref="H219:H220"/>
    <mergeCell ref="D219:D220"/>
    <mergeCell ref="B219:B221"/>
    <mergeCell ref="B236:B238"/>
    <mergeCell ref="H236:H237"/>
    <mergeCell ref="I236:I237"/>
    <mergeCell ref="J236:J237"/>
    <mergeCell ref="B223:B225"/>
    <mergeCell ref="D223:D224"/>
    <mergeCell ref="E223:E224"/>
    <mergeCell ref="F223:F224"/>
    <mergeCell ref="G223:G224"/>
    <mergeCell ref="H223:H224"/>
    <mergeCell ref="I223:I224"/>
    <mergeCell ref="J226:J227"/>
    <mergeCell ref="B222:C222"/>
    <mergeCell ref="B226:B228"/>
    <mergeCell ref="D226:D227"/>
    <mergeCell ref="E226:E227"/>
    <mergeCell ref="B229:C229"/>
  </mergeCells>
  <conditionalFormatting sqref="B9:O23">
    <cfRule type="cellIs" dxfId="20" priority="1" stopIfTrue="1" operator="lessThan">
      <formula>0</formula>
    </cfRule>
  </conditionalFormatting>
  <conditionalFormatting sqref="B24:P24">
    <cfRule type="cellIs" dxfId="19" priority="10" stopIfTrue="1" operator="lessThan">
      <formula>0</formula>
    </cfRule>
  </conditionalFormatting>
  <conditionalFormatting sqref="C25:K25 M25 D26:G27 D28:J29 N29:O29 D30:L30 E31:L31">
    <cfRule type="cellIs" dxfId="18" priority="34" stopIfTrue="1" operator="lessThan">
      <formula>0</formula>
    </cfRule>
  </conditionalFormatting>
  <conditionalFormatting sqref="M28:O29">
    <cfRule type="cellIs" dxfId="17" priority="26" stopIfTrue="1" operator="lessThan">
      <formula>0</formula>
    </cfRule>
  </conditionalFormatting>
  <conditionalFormatting sqref="N25:O25">
    <cfRule type="cellIs" dxfId="16" priority="2" operator="lessThan">
      <formula>0</formula>
    </cfRule>
  </conditionalFormatting>
  <hyperlinks>
    <hyperlink ref="A6:D6" location="'Índice Tabla'!A6" display="TABLA 1: RESUMEN DE INGRESOS Y EGRESOS DE CENTROS DE BENEFICIOS" xr:uid="{00000000-0004-0000-0200-000000000000}"/>
    <hyperlink ref="A31:D31" location="'A) Resumen Ingresos y Egresos'!A36" display="TABLA 2: DETALLE DE INGRESOS POR PRESTACIÓN Y SEGMENTO" xr:uid="{00000000-0004-0000-0200-000001000000}"/>
  </hyperlinks>
  <pageMargins left="0.11811023622047245" right="0.11811023622047245" top="0.74803149606299213" bottom="0.74803149606299213" header="0.31496062992125984" footer="0.31496062992125984"/>
  <pageSetup paperSize="1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A97"/>
  <sheetViews>
    <sheetView showGridLines="0" zoomScale="90" zoomScaleNormal="90" workbookViewId="0">
      <pane xSplit="2" ySplit="11" topLeftCell="T85" activePane="bottomRight" state="frozen"/>
      <selection pane="topRight" activeCell="C1" sqref="C1"/>
      <selection pane="bottomLeft" activeCell="A12" sqref="A12"/>
      <selection pane="bottomRight" activeCell="V90" sqref="V90"/>
    </sheetView>
  </sheetViews>
  <sheetFormatPr baseColWidth="10" defaultRowHeight="14.5" x14ac:dyDescent="0.35"/>
  <cols>
    <col min="1" max="1" width="19.453125" customWidth="1"/>
    <col min="2" max="2" width="50.1796875" bestFit="1" customWidth="1"/>
    <col min="3" max="3" width="14.81640625" customWidth="1"/>
    <col min="4" max="4" width="13.1796875" customWidth="1"/>
    <col min="5" max="5" width="13" customWidth="1"/>
    <col min="6" max="6" width="12.54296875" customWidth="1"/>
    <col min="7" max="9" width="13.54296875" customWidth="1"/>
    <col min="10" max="10" width="15.26953125" bestFit="1" customWidth="1"/>
    <col min="11" max="11" width="17.26953125" customWidth="1"/>
    <col min="12" max="13" width="13.54296875" customWidth="1"/>
    <col min="14" max="17" width="15" customWidth="1"/>
    <col min="18" max="18" width="11.81640625" style="968" customWidth="1"/>
    <col min="19" max="19" width="33.81640625" customWidth="1"/>
    <col min="20" max="20" width="54.7265625" bestFit="1" customWidth="1"/>
    <col min="22" max="22" width="14.81640625" bestFit="1" customWidth="1"/>
    <col min="23" max="24" width="13.54296875" bestFit="1" customWidth="1"/>
    <col min="25" max="25" width="18.81640625" bestFit="1" customWidth="1"/>
  </cols>
  <sheetData>
    <row r="1" spans="1:25" x14ac:dyDescent="0.35">
      <c r="A1" s="1833"/>
      <c r="B1" s="1834"/>
      <c r="C1" s="1834"/>
      <c r="D1" s="1834"/>
      <c r="E1" s="1834"/>
      <c r="F1" s="1835"/>
      <c r="G1" s="1834"/>
      <c r="H1" s="1834"/>
      <c r="I1" s="1834"/>
      <c r="J1" s="1834"/>
      <c r="K1" s="1833"/>
      <c r="L1" s="1834"/>
      <c r="M1" s="1834"/>
      <c r="N1" s="1834"/>
      <c r="O1" s="1834"/>
      <c r="P1" s="1834"/>
      <c r="Q1" s="1834"/>
      <c r="S1" s="1834"/>
      <c r="T1" s="1834"/>
      <c r="U1" s="1834"/>
      <c r="V1" s="1834"/>
      <c r="W1" s="1834"/>
      <c r="X1" s="1834"/>
      <c r="Y1" s="1834"/>
    </row>
    <row r="2" spans="1:25" x14ac:dyDescent="0.35">
      <c r="A2" s="1836"/>
      <c r="B2" s="1834"/>
      <c r="C2" s="1834"/>
      <c r="D2" s="1834"/>
      <c r="E2" s="1834"/>
      <c r="F2" s="1835" t="s">
        <v>33</v>
      </c>
      <c r="G2" s="1834"/>
      <c r="H2" s="1834"/>
      <c r="I2" s="1834"/>
      <c r="J2" s="1834"/>
      <c r="K2" s="1836"/>
      <c r="L2" s="1834"/>
      <c r="M2" s="1834"/>
      <c r="N2" s="1834"/>
      <c r="O2" s="1834"/>
      <c r="P2" s="1834"/>
      <c r="Q2" s="1834"/>
      <c r="S2" s="1834"/>
      <c r="T2" s="1834"/>
      <c r="U2" s="1834"/>
      <c r="V2" s="1834"/>
      <c r="W2" s="1834"/>
      <c r="X2" s="1834"/>
      <c r="Y2" s="1834"/>
    </row>
    <row r="3" spans="1:25" x14ac:dyDescent="0.35">
      <c r="A3" s="5"/>
      <c r="B3" s="1834"/>
      <c r="C3" s="1834"/>
      <c r="D3" s="1834"/>
      <c r="E3" s="1834"/>
      <c r="F3" s="1834"/>
      <c r="G3" s="1834"/>
      <c r="H3" s="1834"/>
      <c r="I3" s="1834"/>
      <c r="J3" s="1834"/>
      <c r="K3" s="5"/>
      <c r="L3" s="1837"/>
      <c r="M3" s="1834"/>
      <c r="N3" s="1834"/>
      <c r="O3" s="1834"/>
      <c r="P3" s="1834"/>
      <c r="Q3" s="1834"/>
      <c r="S3" s="1834"/>
      <c r="T3" s="1834"/>
      <c r="U3" s="1834"/>
      <c r="V3" s="1834"/>
      <c r="W3" s="1834"/>
      <c r="X3" s="1834"/>
      <c r="Y3" s="1834"/>
    </row>
    <row r="4" spans="1:25" ht="15" thickBot="1" x14ac:dyDescent="0.4">
      <c r="A4" s="5"/>
      <c r="B4" s="1838"/>
      <c r="C4" s="1838"/>
      <c r="D4" s="1834"/>
      <c r="E4" s="1834"/>
      <c r="F4" s="1834"/>
      <c r="G4" s="1834"/>
      <c r="H4" s="1834"/>
      <c r="I4" s="1834"/>
      <c r="J4" s="1834"/>
      <c r="K4" s="5"/>
      <c r="L4" s="1838"/>
      <c r="M4" s="1834"/>
      <c r="N4" s="1834"/>
      <c r="O4" s="1834"/>
      <c r="P4" s="1834"/>
      <c r="Q4" s="1834"/>
      <c r="S4" s="1834"/>
      <c r="T4" s="1834"/>
      <c r="U4" s="1834"/>
      <c r="V4" s="1834"/>
      <c r="W4" s="1834"/>
      <c r="X4" s="1834"/>
      <c r="Y4" s="1834"/>
    </row>
    <row r="5" spans="1:25" ht="15" thickBot="1" x14ac:dyDescent="0.4">
      <c r="A5" s="5"/>
      <c r="B5" s="1838"/>
      <c r="C5" s="1838"/>
      <c r="D5" s="2834" t="s">
        <v>1</v>
      </c>
      <c r="E5" s="2835"/>
      <c r="F5" s="2836" t="s">
        <v>34</v>
      </c>
      <c r="G5" s="2837"/>
      <c r="H5" s="1835"/>
      <c r="I5" s="1835"/>
      <c r="J5" s="1835"/>
      <c r="K5" s="5"/>
      <c r="L5" s="1837"/>
      <c r="M5" s="1834"/>
      <c r="N5" s="1834"/>
      <c r="O5" s="1834"/>
      <c r="P5" s="1834"/>
      <c r="Q5" s="1834"/>
      <c r="S5" s="7"/>
      <c r="T5" s="1834"/>
      <c r="U5" s="1834"/>
      <c r="V5" s="1834"/>
      <c r="W5" s="1834"/>
      <c r="X5" s="1834"/>
      <c r="Y5" s="1834"/>
    </row>
    <row r="6" spans="1:25" x14ac:dyDescent="0.35">
      <c r="A6" s="5"/>
      <c r="B6" s="1838"/>
      <c r="C6" s="1838"/>
      <c r="D6" s="1839"/>
      <c r="E6" s="1839"/>
      <c r="F6" s="1835"/>
      <c r="G6" s="1835"/>
      <c r="H6" s="1835"/>
      <c r="I6" s="1835"/>
      <c r="J6" s="1835"/>
      <c r="K6" s="5"/>
      <c r="L6" s="1838"/>
      <c r="M6" s="1834"/>
      <c r="N6" s="1834"/>
      <c r="O6" s="1834"/>
      <c r="P6" s="1834"/>
      <c r="Q6" s="1834"/>
      <c r="S6" s="7"/>
      <c r="T6" s="1834"/>
      <c r="U6" s="1834"/>
      <c r="V6" s="1834"/>
      <c r="W6" s="1834"/>
      <c r="X6" s="1834"/>
      <c r="Y6" s="1834"/>
    </row>
    <row r="7" spans="1:25" x14ac:dyDescent="0.35">
      <c r="A7" s="5"/>
      <c r="B7" s="1838"/>
      <c r="C7" s="1838"/>
      <c r="D7" s="1839"/>
      <c r="E7" s="1839"/>
      <c r="F7" s="1835"/>
      <c r="G7" s="1835"/>
      <c r="H7" s="1835"/>
      <c r="I7" s="1835"/>
      <c r="J7" s="1835"/>
      <c r="K7" s="5"/>
      <c r="L7" s="1838"/>
      <c r="M7" s="1834"/>
      <c r="N7" s="1834"/>
      <c r="O7" s="1834"/>
      <c r="P7" s="1834"/>
      <c r="Q7" s="1834"/>
      <c r="S7" s="966"/>
      <c r="T7" s="1834"/>
      <c r="U7" s="1834"/>
      <c r="V7" s="1834"/>
      <c r="W7" s="1834"/>
      <c r="X7" s="1834"/>
      <c r="Y7" s="1834"/>
    </row>
    <row r="8" spans="1:25" x14ac:dyDescent="0.35">
      <c r="A8" s="2838" t="s">
        <v>35</v>
      </c>
      <c r="B8" s="2838"/>
      <c r="C8" s="2838"/>
      <c r="D8" s="1840"/>
      <c r="E8" s="1835"/>
      <c r="F8" s="1835"/>
      <c r="G8" s="1834"/>
      <c r="H8" s="1834"/>
      <c r="I8" s="1834"/>
      <c r="J8" s="1834"/>
      <c r="K8" s="1834"/>
      <c r="L8" s="1834"/>
      <c r="M8" s="1834"/>
      <c r="N8" s="1834"/>
      <c r="O8" s="1834"/>
      <c r="P8" s="1834"/>
      <c r="Q8" s="1834"/>
      <c r="S8" s="2838" t="s">
        <v>36</v>
      </c>
      <c r="T8" s="2838"/>
      <c r="U8" s="2838"/>
      <c r="V8" s="967"/>
      <c r="W8" s="1834"/>
      <c r="X8" s="1834"/>
      <c r="Y8" s="1834"/>
    </row>
    <row r="9" spans="1:25" ht="15" thickBot="1" x14ac:dyDescent="0.4"/>
    <row r="10" spans="1:25" ht="15.75" customHeight="1" x14ac:dyDescent="0.35">
      <c r="A10" s="2839" t="s">
        <v>3</v>
      </c>
      <c r="B10" s="2841" t="s">
        <v>22</v>
      </c>
      <c r="C10" s="2843" t="s">
        <v>522</v>
      </c>
      <c r="D10" s="2844"/>
      <c r="E10" s="2844"/>
      <c r="F10" s="2845"/>
      <c r="G10" s="2846" t="s">
        <v>37</v>
      </c>
      <c r="H10" s="2847"/>
      <c r="I10" s="2848"/>
      <c r="J10" s="2843" t="s">
        <v>520</v>
      </c>
      <c r="K10" s="2844"/>
      <c r="L10" s="2844"/>
      <c r="M10" s="2845"/>
      <c r="N10" s="2865" t="s">
        <v>515</v>
      </c>
      <c r="O10" s="2866"/>
      <c r="P10" s="2866"/>
      <c r="Q10" s="2867"/>
      <c r="S10" s="2849" t="s">
        <v>21</v>
      </c>
      <c r="T10" s="2851" t="s">
        <v>22</v>
      </c>
      <c r="U10" s="2853" t="s">
        <v>526</v>
      </c>
      <c r="V10" s="2854"/>
      <c r="W10" s="2854"/>
      <c r="X10" s="2855"/>
      <c r="Y10" s="2856" t="s">
        <v>39</v>
      </c>
    </row>
    <row r="11" spans="1:25" ht="25.5" customHeight="1" thickBot="1" x14ac:dyDescent="0.4">
      <c r="A11" s="2840"/>
      <c r="B11" s="2842"/>
      <c r="C11" s="1841" t="s">
        <v>40</v>
      </c>
      <c r="D11" s="1842" t="s">
        <v>27</v>
      </c>
      <c r="E11" s="1842" t="s">
        <v>28</v>
      </c>
      <c r="F11" s="1843" t="s">
        <v>29</v>
      </c>
      <c r="G11" s="1844" t="s">
        <v>27</v>
      </c>
      <c r="H11" s="1845" t="s">
        <v>28</v>
      </c>
      <c r="I11" s="1846" t="s">
        <v>29</v>
      </c>
      <c r="J11" s="1841" t="s">
        <v>40</v>
      </c>
      <c r="K11" s="1842" t="s">
        <v>27</v>
      </c>
      <c r="L11" s="1842" t="s">
        <v>28</v>
      </c>
      <c r="M11" s="1843" t="s">
        <v>29</v>
      </c>
      <c r="N11" s="1847" t="s">
        <v>40</v>
      </c>
      <c r="O11" s="1848" t="s">
        <v>516</v>
      </c>
      <c r="P11" s="1848" t="s">
        <v>517</v>
      </c>
      <c r="Q11" s="1849" t="s">
        <v>518</v>
      </c>
      <c r="S11" s="2850"/>
      <c r="T11" s="2852"/>
      <c r="U11" s="1850" t="s">
        <v>26</v>
      </c>
      <c r="V11" s="1851" t="s">
        <v>27</v>
      </c>
      <c r="W11" s="1851" t="s">
        <v>28</v>
      </c>
      <c r="X11" s="1852" t="s">
        <v>29</v>
      </c>
      <c r="Y11" s="2857"/>
    </row>
    <row r="12" spans="1:25" x14ac:dyDescent="0.35">
      <c r="A12" s="2858" t="s">
        <v>41</v>
      </c>
      <c r="B12" s="893" t="s">
        <v>42</v>
      </c>
      <c r="C12" s="764">
        <v>55500</v>
      </c>
      <c r="D12" s="765">
        <v>85300</v>
      </c>
      <c r="E12" s="765">
        <v>93800</v>
      </c>
      <c r="F12" s="1753">
        <v>106300</v>
      </c>
      <c r="G12" s="1918">
        <v>4.4999999999999998E-2</v>
      </c>
      <c r="H12" s="1919">
        <v>4.4999999999999998E-2</v>
      </c>
      <c r="I12" s="1920">
        <v>4.4999999999999998E-2</v>
      </c>
      <c r="J12" s="1773">
        <f>IF(OR(C12=0,C12=""),0,CEILING(K12*0.65,100))</f>
        <v>58000</v>
      </c>
      <c r="K12" s="765">
        <f>CEILING($D12*(1+$G12),100)</f>
        <v>89200</v>
      </c>
      <c r="L12" s="765">
        <f>CEILING($E12*(1+$H12),100)</f>
        <v>98100</v>
      </c>
      <c r="M12" s="1753">
        <f>CEILING($F12*(1+$I12),100)</f>
        <v>111100</v>
      </c>
      <c r="N12" s="764">
        <f>+J12-C12</f>
        <v>2500</v>
      </c>
      <c r="O12" s="765">
        <f t="shared" ref="O12:Q12" si="0">+K12-D12</f>
        <v>3900</v>
      </c>
      <c r="P12" s="765">
        <f t="shared" si="0"/>
        <v>4300</v>
      </c>
      <c r="Q12" s="766">
        <f t="shared" si="0"/>
        <v>4800</v>
      </c>
      <c r="S12" s="2861" t="str">
        <f>+A12</f>
        <v>C. H. Mare Nostrum</v>
      </c>
      <c r="T12" s="1816" t="str">
        <f>+B12</f>
        <v>Superior</v>
      </c>
      <c r="U12" s="839"/>
      <c r="V12" s="840">
        <v>12</v>
      </c>
      <c r="W12" s="840"/>
      <c r="X12" s="841"/>
      <c r="Y12" s="1853">
        <f>SUM(U12:X12)</f>
        <v>12</v>
      </c>
    </row>
    <row r="13" spans="1:25" x14ac:dyDescent="0.35">
      <c r="A13" s="2859"/>
      <c r="B13" s="1817" t="s">
        <v>43</v>
      </c>
      <c r="C13" s="1643">
        <v>38300</v>
      </c>
      <c r="D13" s="1644">
        <v>58800</v>
      </c>
      <c r="E13" s="1644">
        <v>64700</v>
      </c>
      <c r="F13" s="1754">
        <v>73400</v>
      </c>
      <c r="G13" s="1921">
        <v>4.4999999999999998E-2</v>
      </c>
      <c r="H13" s="1922">
        <v>4.4999999999999998E-2</v>
      </c>
      <c r="I13" s="1923">
        <v>4.4999999999999998E-2</v>
      </c>
      <c r="J13" s="1774">
        <f t="shared" ref="J13:J15" si="1">IF(OR(C13=0,C13=""),0,CEILING(K13*0.65,100))</f>
        <v>40000</v>
      </c>
      <c r="K13" s="1644">
        <f>CEILING($D13*(1+$G13),100)</f>
        <v>61500</v>
      </c>
      <c r="L13" s="1644">
        <f>CEILING($E13*(1+$H13),100)</f>
        <v>67700</v>
      </c>
      <c r="M13" s="1754">
        <f>CEILING($F13*(1+$I13),100)</f>
        <v>76800</v>
      </c>
      <c r="N13" s="1643">
        <f t="shared" ref="N13:N16" si="2">+J13-C13</f>
        <v>1700</v>
      </c>
      <c r="O13" s="1644">
        <f t="shared" ref="O13:O22" si="3">+K13-D13</f>
        <v>2700</v>
      </c>
      <c r="P13" s="1644">
        <f t="shared" ref="P13:P22" si="4">+L13-E13</f>
        <v>3000</v>
      </c>
      <c r="Q13" s="1645">
        <f t="shared" ref="Q13:Q22" si="5">+M13-F13</f>
        <v>3400</v>
      </c>
      <c r="S13" s="2862"/>
      <c r="T13" s="1818" t="str">
        <f t="shared" ref="T13:T44" si="6">+B13</f>
        <v>Simple</v>
      </c>
      <c r="U13" s="1965">
        <v>398</v>
      </c>
      <c r="V13" s="1966">
        <v>432</v>
      </c>
      <c r="W13" s="1966">
        <v>152</v>
      </c>
      <c r="X13" s="1967"/>
      <c r="Y13" s="1854">
        <f t="shared" ref="Y13:Y20" si="7">SUM(U13:X13)</f>
        <v>982</v>
      </c>
    </row>
    <row r="14" spans="1:25" x14ac:dyDescent="0.35">
      <c r="A14" s="2859"/>
      <c r="B14" s="1817" t="s">
        <v>44</v>
      </c>
      <c r="C14" s="1643">
        <v>51700</v>
      </c>
      <c r="D14" s="1644">
        <v>79500</v>
      </c>
      <c r="E14" s="1644">
        <v>87500</v>
      </c>
      <c r="F14" s="1754">
        <v>99100</v>
      </c>
      <c r="G14" s="1921">
        <v>4.4999999999999998E-2</v>
      </c>
      <c r="H14" s="1922">
        <v>4.4999999999999998E-2</v>
      </c>
      <c r="I14" s="1923">
        <v>4.4999999999999998E-2</v>
      </c>
      <c r="J14" s="1774">
        <f t="shared" si="1"/>
        <v>54100</v>
      </c>
      <c r="K14" s="1644">
        <f>CEILING($D14*(1+$G14),100)</f>
        <v>83100</v>
      </c>
      <c r="L14" s="1644">
        <f>CEILING($E14*(1+$H14),100)</f>
        <v>91500</v>
      </c>
      <c r="M14" s="1754">
        <f>CEILING($F14*(1+$I14),100)</f>
        <v>103600</v>
      </c>
      <c r="N14" s="1643">
        <f t="shared" si="2"/>
        <v>2400</v>
      </c>
      <c r="O14" s="1644">
        <f t="shared" si="3"/>
        <v>3600</v>
      </c>
      <c r="P14" s="1644">
        <f t="shared" si="4"/>
        <v>4000</v>
      </c>
      <c r="Q14" s="1645">
        <f t="shared" si="5"/>
        <v>4500</v>
      </c>
      <c r="S14" s="2862"/>
      <c r="T14" s="1818" t="str">
        <f t="shared" si="6"/>
        <v>Suit</v>
      </c>
      <c r="U14" s="1965">
        <v>87</v>
      </c>
      <c r="V14" s="1966">
        <v>91</v>
      </c>
      <c r="W14" s="1966">
        <v>12</v>
      </c>
      <c r="X14" s="1967"/>
      <c r="Y14" s="1854">
        <f>SUM(U14:X14)</f>
        <v>190</v>
      </c>
    </row>
    <row r="15" spans="1:25" x14ac:dyDescent="0.35">
      <c r="A15" s="2859"/>
      <c r="B15" s="1817" t="s">
        <v>45</v>
      </c>
      <c r="C15" s="1643">
        <v>46700</v>
      </c>
      <c r="D15" s="1644">
        <v>71800</v>
      </c>
      <c r="E15" s="1644">
        <v>78900</v>
      </c>
      <c r="F15" s="1754">
        <v>89500</v>
      </c>
      <c r="G15" s="1921">
        <v>4.4999999999999998E-2</v>
      </c>
      <c r="H15" s="1922">
        <v>4.4999999999999998E-2</v>
      </c>
      <c r="I15" s="1923">
        <v>4.4999999999999998E-2</v>
      </c>
      <c r="J15" s="1774">
        <f t="shared" si="1"/>
        <v>48900</v>
      </c>
      <c r="K15" s="1644">
        <f>CEILING($D15*(1+$G15),100)</f>
        <v>75100</v>
      </c>
      <c r="L15" s="1644">
        <f>CEILING($E15*(1+$H15),100)</f>
        <v>82500</v>
      </c>
      <c r="M15" s="1754">
        <f>CEILING($F15*(1+$I15),100)</f>
        <v>93600</v>
      </c>
      <c r="N15" s="1643">
        <f t="shared" si="2"/>
        <v>2200</v>
      </c>
      <c r="O15" s="1644">
        <f t="shared" si="3"/>
        <v>3300</v>
      </c>
      <c r="P15" s="1644">
        <f t="shared" si="4"/>
        <v>3600</v>
      </c>
      <c r="Q15" s="1645">
        <f t="shared" si="5"/>
        <v>4100</v>
      </c>
      <c r="S15" s="2862"/>
      <c r="T15" s="1818" t="str">
        <f t="shared" si="6"/>
        <v>Matrimonial o Doble</v>
      </c>
      <c r="U15" s="1965">
        <v>861</v>
      </c>
      <c r="V15" s="1966">
        <v>414</v>
      </c>
      <c r="W15" s="1966">
        <v>310</v>
      </c>
      <c r="X15" s="1967"/>
      <c r="Y15" s="1854">
        <f t="shared" si="7"/>
        <v>1585</v>
      </c>
    </row>
    <row r="16" spans="1:25" x14ac:dyDescent="0.35">
      <c r="A16" s="2859"/>
      <c r="B16" s="1817" t="s">
        <v>334</v>
      </c>
      <c r="C16" s="1643">
        <v>18400</v>
      </c>
      <c r="D16" s="1644">
        <v>28200</v>
      </c>
      <c r="E16" s="1648"/>
      <c r="F16" s="1775"/>
      <c r="G16" s="1921">
        <v>4.4999999999999998E-2</v>
      </c>
      <c r="H16" s="1924"/>
      <c r="I16" s="1925"/>
      <c r="J16" s="1774">
        <f>IF(OR(C16=0,C16=""),0,CEILING(K16*0.65,100))</f>
        <v>19200</v>
      </c>
      <c r="K16" s="1644">
        <f>CEILING($D16*(1+$G16),100)</f>
        <v>29500</v>
      </c>
      <c r="L16" s="1757"/>
      <c r="M16" s="1755"/>
      <c r="N16" s="1643">
        <f t="shared" si="2"/>
        <v>800</v>
      </c>
      <c r="O16" s="1644">
        <f t="shared" si="3"/>
        <v>1300</v>
      </c>
      <c r="P16" s="1757"/>
      <c r="Q16" s="1758"/>
      <c r="S16" s="2863"/>
      <c r="T16" s="1819" t="str">
        <f t="shared" si="6"/>
        <v>Habitación Conductores</v>
      </c>
      <c r="U16" s="1965">
        <v>40</v>
      </c>
      <c r="V16" s="1968">
        <v>19</v>
      </c>
      <c r="W16" s="1966">
        <v>0</v>
      </c>
      <c r="X16" s="1967"/>
      <c r="Y16" s="1854">
        <f t="shared" si="7"/>
        <v>59</v>
      </c>
    </row>
    <row r="17" spans="1:25" x14ac:dyDescent="0.35">
      <c r="A17" s="2859"/>
      <c r="B17" s="1855" t="s">
        <v>46</v>
      </c>
      <c r="C17" s="1650"/>
      <c r="D17" s="1648"/>
      <c r="E17" s="1648"/>
      <c r="F17" s="1775"/>
      <c r="G17" s="1776"/>
      <c r="H17" s="1777"/>
      <c r="I17" s="1778"/>
      <c r="J17" s="1779"/>
      <c r="K17" s="1757"/>
      <c r="L17" s="1757"/>
      <c r="M17" s="1755"/>
      <c r="N17" s="1651"/>
      <c r="O17" s="1757"/>
      <c r="P17" s="1757"/>
      <c r="Q17" s="1758"/>
      <c r="S17" s="2862"/>
      <c r="T17" s="1856" t="str">
        <f t="shared" si="6"/>
        <v>Uso por tránsito/ Early check-in/Late check-out</v>
      </c>
      <c r="U17" s="969"/>
      <c r="V17" s="970"/>
      <c r="W17" s="970"/>
      <c r="X17" s="971"/>
      <c r="Y17" s="972"/>
    </row>
    <row r="18" spans="1:25" x14ac:dyDescent="0.35">
      <c r="A18" s="2859"/>
      <c r="B18" s="1820" t="s">
        <v>42</v>
      </c>
      <c r="C18" s="1651"/>
      <c r="D18" s="1644">
        <v>25600</v>
      </c>
      <c r="E18" s="1644">
        <v>28200</v>
      </c>
      <c r="F18" s="1754">
        <v>31900</v>
      </c>
      <c r="G18" s="1776"/>
      <c r="H18" s="1777"/>
      <c r="I18" s="1778"/>
      <c r="J18" s="1779"/>
      <c r="K18" s="1644">
        <f t="shared" ref="K18:M21" si="8">CEILING(K12*0.3,100)</f>
        <v>26800</v>
      </c>
      <c r="L18" s="1644">
        <f t="shared" si="8"/>
        <v>29500</v>
      </c>
      <c r="M18" s="1754">
        <f t="shared" si="8"/>
        <v>33400</v>
      </c>
      <c r="N18" s="1651"/>
      <c r="O18" s="1644">
        <f t="shared" si="3"/>
        <v>1200</v>
      </c>
      <c r="P18" s="1644">
        <f t="shared" si="4"/>
        <v>1300</v>
      </c>
      <c r="Q18" s="1645">
        <f t="shared" si="5"/>
        <v>1500</v>
      </c>
      <c r="S18" s="2862"/>
      <c r="T18" s="1818" t="str">
        <f t="shared" si="6"/>
        <v>Superior</v>
      </c>
      <c r="U18" s="973"/>
      <c r="V18" s="842"/>
      <c r="W18" s="842"/>
      <c r="X18" s="843"/>
      <c r="Y18" s="1854">
        <f>SUM(U18:X18)</f>
        <v>0</v>
      </c>
    </row>
    <row r="19" spans="1:25" x14ac:dyDescent="0.35">
      <c r="A19" s="2859"/>
      <c r="B19" s="1820" t="s">
        <v>43</v>
      </c>
      <c r="C19" s="1651"/>
      <c r="D19" s="1644">
        <v>17700</v>
      </c>
      <c r="E19" s="1644">
        <v>19500</v>
      </c>
      <c r="F19" s="1754">
        <v>22100</v>
      </c>
      <c r="G19" s="1776"/>
      <c r="H19" s="1777"/>
      <c r="I19" s="1778"/>
      <c r="J19" s="1779" t="s">
        <v>512</v>
      </c>
      <c r="K19" s="1644">
        <f t="shared" si="8"/>
        <v>18500</v>
      </c>
      <c r="L19" s="1644">
        <f t="shared" si="8"/>
        <v>20400</v>
      </c>
      <c r="M19" s="1754">
        <f t="shared" si="8"/>
        <v>23100</v>
      </c>
      <c r="N19" s="1651"/>
      <c r="O19" s="1644">
        <f t="shared" si="3"/>
        <v>800</v>
      </c>
      <c r="P19" s="1644">
        <f t="shared" si="4"/>
        <v>900</v>
      </c>
      <c r="Q19" s="1645">
        <f t="shared" si="5"/>
        <v>1000</v>
      </c>
      <c r="S19" s="2862"/>
      <c r="T19" s="1818" t="str">
        <f t="shared" si="6"/>
        <v>Simple</v>
      </c>
      <c r="U19" s="973"/>
      <c r="V19" s="842"/>
      <c r="W19" s="842"/>
      <c r="X19" s="843"/>
      <c r="Y19" s="1854">
        <f t="shared" si="7"/>
        <v>0</v>
      </c>
    </row>
    <row r="20" spans="1:25" x14ac:dyDescent="0.35">
      <c r="A20" s="2859"/>
      <c r="B20" s="1820" t="s">
        <v>44</v>
      </c>
      <c r="C20" s="1651"/>
      <c r="D20" s="1644">
        <v>23900</v>
      </c>
      <c r="E20" s="1644">
        <v>26300</v>
      </c>
      <c r="F20" s="1754">
        <v>29800</v>
      </c>
      <c r="G20" s="1776"/>
      <c r="H20" s="1777"/>
      <c r="I20" s="1778"/>
      <c r="J20" s="1779"/>
      <c r="K20" s="1644">
        <f t="shared" si="8"/>
        <v>25000</v>
      </c>
      <c r="L20" s="1644">
        <f t="shared" si="8"/>
        <v>27500</v>
      </c>
      <c r="M20" s="1754">
        <f t="shared" si="8"/>
        <v>31100</v>
      </c>
      <c r="N20" s="1651"/>
      <c r="O20" s="1644">
        <f t="shared" si="3"/>
        <v>1100</v>
      </c>
      <c r="P20" s="1644">
        <f t="shared" si="4"/>
        <v>1200</v>
      </c>
      <c r="Q20" s="1645">
        <f t="shared" si="5"/>
        <v>1300</v>
      </c>
      <c r="S20" s="2862"/>
      <c r="T20" s="1818" t="str">
        <f t="shared" si="6"/>
        <v>Suit</v>
      </c>
      <c r="U20" s="973"/>
      <c r="V20" s="842"/>
      <c r="W20" s="842"/>
      <c r="X20" s="843"/>
      <c r="Y20" s="1854">
        <f t="shared" si="7"/>
        <v>0</v>
      </c>
    </row>
    <row r="21" spans="1:25" ht="15" thickBot="1" x14ac:dyDescent="0.4">
      <c r="A21" s="2860"/>
      <c r="B21" s="1821" t="s">
        <v>45</v>
      </c>
      <c r="C21" s="1664"/>
      <c r="D21" s="1653">
        <v>21600</v>
      </c>
      <c r="E21" s="1653">
        <v>23700</v>
      </c>
      <c r="F21" s="1756">
        <v>26900</v>
      </c>
      <c r="G21" s="1780"/>
      <c r="H21" s="1781"/>
      <c r="I21" s="1782"/>
      <c r="J21" s="1783"/>
      <c r="K21" s="1653">
        <f t="shared" si="8"/>
        <v>22600</v>
      </c>
      <c r="L21" s="1653">
        <f t="shared" si="8"/>
        <v>24800</v>
      </c>
      <c r="M21" s="1756">
        <f t="shared" si="8"/>
        <v>28100</v>
      </c>
      <c r="N21" s="1664"/>
      <c r="O21" s="1653">
        <f t="shared" si="3"/>
        <v>1000</v>
      </c>
      <c r="P21" s="1653">
        <f t="shared" si="4"/>
        <v>1100</v>
      </c>
      <c r="Q21" s="1654">
        <f t="shared" si="5"/>
        <v>1200</v>
      </c>
      <c r="S21" s="2864"/>
      <c r="T21" s="1822" t="str">
        <f t="shared" si="6"/>
        <v>Matrimonial o Doble</v>
      </c>
      <c r="U21" s="974"/>
      <c r="V21" s="509"/>
      <c r="W21" s="509"/>
      <c r="X21" s="510"/>
      <c r="Y21" s="1857">
        <f>SUM(U21:X21)</f>
        <v>0</v>
      </c>
    </row>
    <row r="22" spans="1:25" x14ac:dyDescent="0.35">
      <c r="A22" s="2858" t="s">
        <v>47</v>
      </c>
      <c r="B22" s="893" t="s">
        <v>48</v>
      </c>
      <c r="C22" s="764">
        <v>56300</v>
      </c>
      <c r="D22" s="765">
        <v>86600</v>
      </c>
      <c r="E22" s="765">
        <v>95200</v>
      </c>
      <c r="F22" s="1753">
        <v>107900</v>
      </c>
      <c r="G22" s="1918">
        <v>4.4999999999999998E-2</v>
      </c>
      <c r="H22" s="1919">
        <v>4.4999999999999998E-2</v>
      </c>
      <c r="I22" s="1920">
        <v>4.4999999999999998E-2</v>
      </c>
      <c r="J22" s="1773">
        <f>IF(OR(C22=0,C22=""),0,CEILING(K22*0.65,100))</f>
        <v>58900</v>
      </c>
      <c r="K22" s="765">
        <f>CEILING($D22*(1+$G22),100)</f>
        <v>90500</v>
      </c>
      <c r="L22" s="765">
        <f>CEILING($E22*(1+$H22),100)</f>
        <v>99500</v>
      </c>
      <c r="M22" s="766">
        <f>CEILING($F22*(1+$I22),100)</f>
        <v>112800</v>
      </c>
      <c r="N22" s="1773">
        <f>+J22-C22</f>
        <v>2600</v>
      </c>
      <c r="O22" s="765">
        <f t="shared" si="3"/>
        <v>3900</v>
      </c>
      <c r="P22" s="765">
        <f t="shared" si="4"/>
        <v>4300</v>
      </c>
      <c r="Q22" s="766">
        <f t="shared" si="5"/>
        <v>4900</v>
      </c>
      <c r="S22" s="2861" t="str">
        <f>+A22</f>
        <v>Cabañas Punta Osas</v>
      </c>
      <c r="T22" s="1816" t="str">
        <f t="shared" si="6"/>
        <v>Chica</v>
      </c>
      <c r="U22" s="839">
        <v>1048</v>
      </c>
      <c r="V22" s="840">
        <v>399</v>
      </c>
      <c r="W22" s="840">
        <v>234</v>
      </c>
      <c r="X22" s="841">
        <v>1</v>
      </c>
      <c r="Y22" s="1853">
        <f>SUM(U22:X22)</f>
        <v>1682</v>
      </c>
    </row>
    <row r="23" spans="1:25" x14ac:dyDescent="0.35">
      <c r="A23" s="2859"/>
      <c r="B23" s="1817" t="s">
        <v>49</v>
      </c>
      <c r="C23" s="1643">
        <v>68600</v>
      </c>
      <c r="D23" s="1644">
        <v>105400</v>
      </c>
      <c r="E23" s="1644">
        <v>115900</v>
      </c>
      <c r="F23" s="1754">
        <v>131300</v>
      </c>
      <c r="G23" s="1921">
        <v>4.4999999999999998E-2</v>
      </c>
      <c r="H23" s="1922">
        <v>4.4999999999999998E-2</v>
      </c>
      <c r="I23" s="1923">
        <v>4.4999999999999998E-2</v>
      </c>
      <c r="J23" s="1774">
        <f t="shared" ref="J23:J24" si="9">IF(OR(C23=0,C23=""),0,CEILING(K23*0.65,100))</f>
        <v>71700</v>
      </c>
      <c r="K23" s="1644">
        <f>CEILING($D23*(1+$G23),100)</f>
        <v>110200</v>
      </c>
      <c r="L23" s="1644">
        <f>CEILING($E23*(1+$H23),100)</f>
        <v>121200</v>
      </c>
      <c r="M23" s="1645">
        <f>CEILING($F23*(1+$I23),100)</f>
        <v>137300</v>
      </c>
      <c r="N23" s="1774">
        <f t="shared" ref="N23:N37" si="10">+J23-C23</f>
        <v>3100</v>
      </c>
      <c r="O23" s="1644">
        <f t="shared" ref="O23:O37" si="11">+K23-D23</f>
        <v>4800</v>
      </c>
      <c r="P23" s="1644">
        <f t="shared" ref="P23:P37" si="12">+L23-E23</f>
        <v>5300</v>
      </c>
      <c r="Q23" s="1645">
        <f t="shared" ref="Q23:Q37" si="13">+M23-F23</f>
        <v>6000</v>
      </c>
      <c r="S23" s="2862"/>
      <c r="T23" s="1818" t="str">
        <f t="shared" si="6"/>
        <v>Grande</v>
      </c>
      <c r="U23" s="1969">
        <v>159</v>
      </c>
      <c r="V23" s="1966">
        <v>45</v>
      </c>
      <c r="W23" s="1966">
        <v>39</v>
      </c>
      <c r="X23" s="1967">
        <v>0</v>
      </c>
      <c r="Y23" s="1854">
        <f>SUM(U23:X23)</f>
        <v>243</v>
      </c>
    </row>
    <row r="24" spans="1:25" x14ac:dyDescent="0.35">
      <c r="A24" s="2859"/>
      <c r="B24" s="1817" t="s">
        <v>50</v>
      </c>
      <c r="C24" s="1643">
        <v>7200</v>
      </c>
      <c r="D24" s="1644">
        <v>11000</v>
      </c>
      <c r="E24" s="1644">
        <v>12100</v>
      </c>
      <c r="F24" s="1754">
        <v>13700</v>
      </c>
      <c r="G24" s="1921">
        <v>4.4999999999999998E-2</v>
      </c>
      <c r="H24" s="1922">
        <v>4.4999999999999998E-2</v>
      </c>
      <c r="I24" s="1923">
        <v>4.4999999999999998E-2</v>
      </c>
      <c r="J24" s="1774">
        <f t="shared" si="9"/>
        <v>7500</v>
      </c>
      <c r="K24" s="1644">
        <f>CEILING($D24*(1+$G24),100)</f>
        <v>11500</v>
      </c>
      <c r="L24" s="1644">
        <f>CEILING($E24*(1+$H24),100)</f>
        <v>12700</v>
      </c>
      <c r="M24" s="1645">
        <f>CEILING($F24*(1+$I24),100)</f>
        <v>14400</v>
      </c>
      <c r="N24" s="1774">
        <f t="shared" si="10"/>
        <v>300</v>
      </c>
      <c r="O24" s="1644">
        <f t="shared" si="11"/>
        <v>500</v>
      </c>
      <c r="P24" s="1644">
        <f t="shared" si="12"/>
        <v>600</v>
      </c>
      <c r="Q24" s="1645">
        <f t="shared" si="13"/>
        <v>700</v>
      </c>
      <c r="S24" s="2862"/>
      <c r="T24" s="1818" t="str">
        <f t="shared" si="6"/>
        <v>Persona adicional</v>
      </c>
      <c r="U24" s="1969">
        <v>11</v>
      </c>
      <c r="V24" s="1966">
        <v>6</v>
      </c>
      <c r="W24" s="1966">
        <v>4</v>
      </c>
      <c r="X24" s="1967">
        <v>0</v>
      </c>
      <c r="Y24" s="1854">
        <f>SUM(U24:X24)</f>
        <v>21</v>
      </c>
    </row>
    <row r="25" spans="1:25" x14ac:dyDescent="0.35">
      <c r="A25" s="2859"/>
      <c r="B25" s="1855" t="s">
        <v>46</v>
      </c>
      <c r="C25" s="1650"/>
      <c r="D25" s="1648"/>
      <c r="E25" s="1648"/>
      <c r="F25" s="1775"/>
      <c r="G25" s="1776"/>
      <c r="H25" s="1777"/>
      <c r="I25" s="1778"/>
      <c r="J25" s="1779"/>
      <c r="K25" s="1757"/>
      <c r="L25" s="1757"/>
      <c r="M25" s="1758"/>
      <c r="N25" s="1779"/>
      <c r="O25" s="1757"/>
      <c r="P25" s="1757"/>
      <c r="Q25" s="1758"/>
      <c r="S25" s="2862"/>
      <c r="T25" s="1856" t="str">
        <f t="shared" si="6"/>
        <v>Uso por tránsito/ Early check-in/Late check-out</v>
      </c>
      <c r="U25" s="975"/>
      <c r="V25" s="976"/>
      <c r="W25" s="976"/>
      <c r="X25" s="977"/>
      <c r="Y25" s="972"/>
    </row>
    <row r="26" spans="1:25" x14ac:dyDescent="0.35">
      <c r="A26" s="2859"/>
      <c r="B26" s="1820" t="s">
        <v>51</v>
      </c>
      <c r="C26" s="1651"/>
      <c r="D26" s="1644">
        <v>26000</v>
      </c>
      <c r="E26" s="1644">
        <v>28600</v>
      </c>
      <c r="F26" s="1645">
        <v>32400</v>
      </c>
      <c r="G26" s="1784"/>
      <c r="H26" s="1777"/>
      <c r="I26" s="1778"/>
      <c r="J26" s="1779"/>
      <c r="K26" s="1644">
        <f t="shared" ref="K26:M27" si="14">CEILING(K22*0.3,100)</f>
        <v>27200</v>
      </c>
      <c r="L26" s="1644">
        <f t="shared" si="14"/>
        <v>29900</v>
      </c>
      <c r="M26" s="1645">
        <f t="shared" si="14"/>
        <v>33900</v>
      </c>
      <c r="N26" s="1779"/>
      <c r="O26" s="1644">
        <f t="shared" si="11"/>
        <v>1200</v>
      </c>
      <c r="P26" s="1644">
        <f t="shared" si="12"/>
        <v>1300</v>
      </c>
      <c r="Q26" s="1645">
        <f t="shared" si="13"/>
        <v>1500</v>
      </c>
      <c r="S26" s="2862"/>
      <c r="T26" s="1818" t="str">
        <f t="shared" si="6"/>
        <v>Cabaña Chica</v>
      </c>
      <c r="U26" s="978"/>
      <c r="V26" s="1966">
        <v>4</v>
      </c>
      <c r="W26" s="1966">
        <v>4</v>
      </c>
      <c r="X26" s="68"/>
      <c r="Y26" s="1854">
        <f>SUM(U26:X26)</f>
        <v>8</v>
      </c>
    </row>
    <row r="27" spans="1:25" ht="15" thickBot="1" x14ac:dyDescent="0.4">
      <c r="A27" s="2860"/>
      <c r="B27" s="1821" t="s">
        <v>52</v>
      </c>
      <c r="C27" s="1664"/>
      <c r="D27" s="1653">
        <v>31700</v>
      </c>
      <c r="E27" s="1653">
        <v>34800</v>
      </c>
      <c r="F27" s="1654">
        <v>39400</v>
      </c>
      <c r="G27" s="1785"/>
      <c r="H27" s="1781"/>
      <c r="I27" s="1782"/>
      <c r="J27" s="1783"/>
      <c r="K27" s="1653">
        <f t="shared" si="14"/>
        <v>33100</v>
      </c>
      <c r="L27" s="1653">
        <f t="shared" si="14"/>
        <v>36400</v>
      </c>
      <c r="M27" s="1654">
        <f t="shared" si="14"/>
        <v>41200</v>
      </c>
      <c r="N27" s="1783"/>
      <c r="O27" s="1653">
        <f t="shared" si="11"/>
        <v>1400</v>
      </c>
      <c r="P27" s="1653">
        <f t="shared" si="12"/>
        <v>1600</v>
      </c>
      <c r="Q27" s="1654">
        <f t="shared" si="13"/>
        <v>1800</v>
      </c>
      <c r="S27" s="2864"/>
      <c r="T27" s="1822" t="str">
        <f t="shared" si="6"/>
        <v>Cabaña Grande</v>
      </c>
      <c r="U27" s="974"/>
      <c r="V27" s="1970">
        <v>2</v>
      </c>
      <c r="W27" s="1970">
        <v>2</v>
      </c>
      <c r="X27" s="75"/>
      <c r="Y27" s="1857">
        <f>SUM(U27:X27)</f>
        <v>4</v>
      </c>
    </row>
    <row r="28" spans="1:25" x14ac:dyDescent="0.35">
      <c r="A28" s="2858" t="s">
        <v>53</v>
      </c>
      <c r="B28" s="893" t="s">
        <v>54</v>
      </c>
      <c r="C28" s="764">
        <v>24400</v>
      </c>
      <c r="D28" s="765">
        <v>37400</v>
      </c>
      <c r="E28" s="765">
        <v>41200</v>
      </c>
      <c r="F28" s="766">
        <v>46700</v>
      </c>
      <c r="G28" s="1918">
        <v>4.4999999999999998E-2</v>
      </c>
      <c r="H28" s="1919">
        <v>4.4999999999999998E-2</v>
      </c>
      <c r="I28" s="1920">
        <v>4.4999999999999998E-2</v>
      </c>
      <c r="J28" s="1794">
        <f t="shared" ref="J28:J66" si="15">IF(OR(C28=0,C28=""),0,CEILING(K28*0.65,100))</f>
        <v>25500</v>
      </c>
      <c r="K28" s="515">
        <f t="shared" ref="K28:K67" si="16">CEILING($D28*(1+$G28),100)</f>
        <v>39100</v>
      </c>
      <c r="L28" s="515">
        <f t="shared" ref="L28:L67" si="17">CEILING($E28*(1+$H28),100)</f>
        <v>43100</v>
      </c>
      <c r="M28" s="505">
        <f t="shared" ref="M28:M67" si="18">CEILING($F28*(1+$I28),100)</f>
        <v>48900</v>
      </c>
      <c r="N28" s="764">
        <f t="shared" si="10"/>
        <v>1100</v>
      </c>
      <c r="O28" s="765">
        <f t="shared" si="11"/>
        <v>1700</v>
      </c>
      <c r="P28" s="765">
        <f t="shared" si="12"/>
        <v>1900</v>
      </c>
      <c r="Q28" s="766">
        <f t="shared" si="13"/>
        <v>2200</v>
      </c>
      <c r="S28" s="2861" t="str">
        <f>+A28</f>
        <v>C.R. Los Maitenes</v>
      </c>
      <c r="T28" s="1816" t="str">
        <f t="shared" si="6"/>
        <v>Camping (5p)</v>
      </c>
      <c r="U28" s="2523">
        <v>342</v>
      </c>
      <c r="V28" s="513">
        <v>89</v>
      </c>
      <c r="W28" s="513">
        <v>100</v>
      </c>
      <c r="X28" s="508">
        <v>0</v>
      </c>
      <c r="Y28" s="1853">
        <f>SUM(U28:X28)</f>
        <v>531</v>
      </c>
    </row>
    <row r="29" spans="1:25" x14ac:dyDescent="0.35">
      <c r="A29" s="2874"/>
      <c r="B29" s="894" t="s">
        <v>55</v>
      </c>
      <c r="C29" s="767">
        <v>4900</v>
      </c>
      <c r="D29" s="768">
        <v>7500</v>
      </c>
      <c r="E29" s="768">
        <v>8300</v>
      </c>
      <c r="F29" s="769">
        <v>9300</v>
      </c>
      <c r="G29" s="1926">
        <v>4.4999999999999998E-2</v>
      </c>
      <c r="H29" s="1927">
        <v>4.4999999999999998E-2</v>
      </c>
      <c r="I29" s="1928">
        <v>4.4999999999999998E-2</v>
      </c>
      <c r="J29" s="1789">
        <f t="shared" si="15"/>
        <v>5200</v>
      </c>
      <c r="K29" s="1787">
        <f t="shared" si="16"/>
        <v>7900</v>
      </c>
      <c r="L29" s="1787">
        <f t="shared" si="17"/>
        <v>8700</v>
      </c>
      <c r="M29" s="1788">
        <f t="shared" si="18"/>
        <v>9800</v>
      </c>
      <c r="N29" s="1643">
        <f t="shared" si="10"/>
        <v>300</v>
      </c>
      <c r="O29" s="1644">
        <f t="shared" si="11"/>
        <v>400</v>
      </c>
      <c r="P29" s="1644">
        <f t="shared" si="12"/>
        <v>400</v>
      </c>
      <c r="Q29" s="1645">
        <f t="shared" si="13"/>
        <v>500</v>
      </c>
      <c r="S29" s="2862"/>
      <c r="T29" s="1818" t="str">
        <f t="shared" si="6"/>
        <v>Camping (P/Adicional)</v>
      </c>
      <c r="U29" s="1969"/>
      <c r="V29" s="1966"/>
      <c r="W29" s="1966"/>
      <c r="X29" s="1967"/>
      <c r="Y29" s="1854">
        <f t="shared" ref="Y29:Y44" si="19">SUM(U29:X29)</f>
        <v>0</v>
      </c>
    </row>
    <row r="30" spans="1:25" x14ac:dyDescent="0.35">
      <c r="A30" s="2874"/>
      <c r="B30" s="894" t="s">
        <v>56</v>
      </c>
      <c r="C30" s="767">
        <v>14600</v>
      </c>
      <c r="D30" s="768">
        <v>22400</v>
      </c>
      <c r="E30" s="768">
        <v>24700</v>
      </c>
      <c r="F30" s="769">
        <v>27900</v>
      </c>
      <c r="G30" s="1926">
        <v>4.4999999999999998E-2</v>
      </c>
      <c r="H30" s="1927">
        <v>4.4999999999999998E-2</v>
      </c>
      <c r="I30" s="1928">
        <v>4.4999999999999998E-2</v>
      </c>
      <c r="J30" s="1789">
        <f t="shared" si="15"/>
        <v>15300</v>
      </c>
      <c r="K30" s="1787">
        <f t="shared" si="16"/>
        <v>23500</v>
      </c>
      <c r="L30" s="1787">
        <f t="shared" si="17"/>
        <v>25900</v>
      </c>
      <c r="M30" s="1788">
        <f t="shared" si="18"/>
        <v>29200</v>
      </c>
      <c r="N30" s="1643">
        <f t="shared" si="10"/>
        <v>700</v>
      </c>
      <c r="O30" s="1644">
        <f t="shared" si="11"/>
        <v>1100</v>
      </c>
      <c r="P30" s="1644">
        <f t="shared" si="12"/>
        <v>1200</v>
      </c>
      <c r="Q30" s="1645">
        <f t="shared" si="13"/>
        <v>1300</v>
      </c>
      <c r="S30" s="2862"/>
      <c r="T30" s="1818" t="str">
        <f t="shared" si="6"/>
        <v>Picnic (6p)</v>
      </c>
      <c r="U30" s="1969">
        <v>554</v>
      </c>
      <c r="V30" s="1966">
        <v>102</v>
      </c>
      <c r="W30" s="1966">
        <v>70</v>
      </c>
      <c r="X30" s="1967">
        <v>0</v>
      </c>
      <c r="Y30" s="1854">
        <f t="shared" si="19"/>
        <v>726</v>
      </c>
    </row>
    <row r="31" spans="1:25" x14ac:dyDescent="0.35">
      <c r="A31" s="2874"/>
      <c r="B31" s="894" t="s">
        <v>57</v>
      </c>
      <c r="C31" s="767">
        <v>28900</v>
      </c>
      <c r="D31" s="768">
        <v>44400</v>
      </c>
      <c r="E31" s="1751">
        <v>48800</v>
      </c>
      <c r="F31" s="1752">
        <v>55300</v>
      </c>
      <c r="G31" s="1926">
        <v>4.4999999999999998E-2</v>
      </c>
      <c r="H31" s="1927">
        <v>4.4999999999999998E-2</v>
      </c>
      <c r="I31" s="1928">
        <v>4.4999999999999998E-2</v>
      </c>
      <c r="J31" s="1789">
        <f t="shared" si="15"/>
        <v>30200</v>
      </c>
      <c r="K31" s="1787">
        <f t="shared" si="16"/>
        <v>46400</v>
      </c>
      <c r="L31" s="1809">
        <f t="shared" si="17"/>
        <v>51000</v>
      </c>
      <c r="M31" s="1810">
        <f t="shared" si="18"/>
        <v>57800</v>
      </c>
      <c r="N31" s="1643">
        <f t="shared" si="10"/>
        <v>1300</v>
      </c>
      <c r="O31" s="1644">
        <f t="shared" si="11"/>
        <v>2000</v>
      </c>
      <c r="P31" s="1759">
        <f t="shared" si="12"/>
        <v>2200</v>
      </c>
      <c r="Q31" s="1760">
        <f t="shared" si="13"/>
        <v>2500</v>
      </c>
      <c r="S31" s="2862"/>
      <c r="T31" s="1818" t="str">
        <f t="shared" si="6"/>
        <v>Picnic (12p)</v>
      </c>
      <c r="U31" s="1969">
        <v>232</v>
      </c>
      <c r="V31" s="1966">
        <v>36</v>
      </c>
      <c r="W31" s="1966">
        <v>28</v>
      </c>
      <c r="X31" s="1967">
        <v>0</v>
      </c>
      <c r="Y31" s="1854">
        <f t="shared" si="19"/>
        <v>296</v>
      </c>
    </row>
    <row r="32" spans="1:25" x14ac:dyDescent="0.35">
      <c r="A32" s="2874"/>
      <c r="B32" s="894" t="s">
        <v>58</v>
      </c>
      <c r="C32" s="773"/>
      <c r="D32" s="774">
        <v>55100</v>
      </c>
      <c r="E32" s="774">
        <v>60600</v>
      </c>
      <c r="F32" s="775">
        <v>68600</v>
      </c>
      <c r="G32" s="1926">
        <v>4.4999999999999998E-2</v>
      </c>
      <c r="H32" s="1927">
        <v>4.4999999999999998E-2</v>
      </c>
      <c r="I32" s="1928">
        <v>4.4999999999999998E-2</v>
      </c>
      <c r="J32" s="1811"/>
      <c r="K32" s="1809">
        <f t="shared" si="16"/>
        <v>57600</v>
      </c>
      <c r="L32" s="1809">
        <f t="shared" si="17"/>
        <v>63400</v>
      </c>
      <c r="M32" s="1810">
        <f t="shared" si="18"/>
        <v>71700</v>
      </c>
      <c r="N32" s="1651"/>
      <c r="O32" s="1759">
        <f t="shared" si="11"/>
        <v>2500</v>
      </c>
      <c r="P32" s="1759">
        <f t="shared" si="12"/>
        <v>2800</v>
      </c>
      <c r="Q32" s="1760">
        <f t="shared" si="13"/>
        <v>3100</v>
      </c>
      <c r="S32" s="2862"/>
      <c r="T32" s="1818" t="str">
        <f t="shared" si="6"/>
        <v>Picnic (15p)</v>
      </c>
      <c r="U32" s="978"/>
      <c r="V32" s="614">
        <v>66</v>
      </c>
      <c r="W32" s="614">
        <v>5</v>
      </c>
      <c r="X32" s="615"/>
      <c r="Y32" s="1854">
        <f t="shared" si="19"/>
        <v>71</v>
      </c>
    </row>
    <row r="33" spans="1:27" x14ac:dyDescent="0.35">
      <c r="A33" s="2874"/>
      <c r="B33" s="894" t="s">
        <v>59</v>
      </c>
      <c r="C33" s="773"/>
      <c r="D33" s="768">
        <v>109600</v>
      </c>
      <c r="E33" s="768">
        <v>120500</v>
      </c>
      <c r="F33" s="769">
        <v>136600</v>
      </c>
      <c r="G33" s="1926">
        <v>4.4999999999999998E-2</v>
      </c>
      <c r="H33" s="1927">
        <v>4.4999999999999998E-2</v>
      </c>
      <c r="I33" s="1928">
        <v>4.4999999999999998E-2</v>
      </c>
      <c r="J33" s="1811"/>
      <c r="K33" s="1787">
        <f t="shared" si="16"/>
        <v>114600</v>
      </c>
      <c r="L33" s="1787">
        <f t="shared" si="17"/>
        <v>126000</v>
      </c>
      <c r="M33" s="1788">
        <f t="shared" si="18"/>
        <v>142800</v>
      </c>
      <c r="N33" s="1651"/>
      <c r="O33" s="1644">
        <f t="shared" si="11"/>
        <v>5000</v>
      </c>
      <c r="P33" s="1644">
        <f t="shared" si="12"/>
        <v>5500</v>
      </c>
      <c r="Q33" s="1645">
        <f t="shared" si="13"/>
        <v>6200</v>
      </c>
      <c r="S33" s="2862"/>
      <c r="T33" s="1818" t="str">
        <f t="shared" si="6"/>
        <v>Picnic (30p)</v>
      </c>
      <c r="U33" s="978"/>
      <c r="V33" s="614"/>
      <c r="W33" s="614"/>
      <c r="X33" s="615"/>
      <c r="Y33" s="1854">
        <f t="shared" si="19"/>
        <v>0</v>
      </c>
    </row>
    <row r="34" spans="1:27" x14ac:dyDescent="0.35">
      <c r="A34" s="2874"/>
      <c r="B34" s="894" t="s">
        <v>60</v>
      </c>
      <c r="C34" s="773"/>
      <c r="D34" s="768">
        <v>206300</v>
      </c>
      <c r="E34" s="768">
        <v>226900</v>
      </c>
      <c r="F34" s="769">
        <v>257100</v>
      </c>
      <c r="G34" s="1926">
        <v>4.4999999999999998E-2</v>
      </c>
      <c r="H34" s="1927">
        <v>4.4999999999999998E-2</v>
      </c>
      <c r="I34" s="1928">
        <v>4.4999999999999998E-2</v>
      </c>
      <c r="J34" s="1811"/>
      <c r="K34" s="1787">
        <f t="shared" si="16"/>
        <v>215600</v>
      </c>
      <c r="L34" s="1787">
        <f t="shared" si="17"/>
        <v>237200</v>
      </c>
      <c r="M34" s="1788">
        <f t="shared" si="18"/>
        <v>268700</v>
      </c>
      <c r="N34" s="1651"/>
      <c r="O34" s="1644">
        <f t="shared" si="11"/>
        <v>9300</v>
      </c>
      <c r="P34" s="1644">
        <f t="shared" si="12"/>
        <v>10300</v>
      </c>
      <c r="Q34" s="1645">
        <f t="shared" si="13"/>
        <v>11600</v>
      </c>
      <c r="S34" s="2862"/>
      <c r="T34" s="1818" t="str">
        <f t="shared" si="6"/>
        <v>Picnic (60p)</v>
      </c>
      <c r="U34" s="978"/>
      <c r="V34" s="614">
        <v>12</v>
      </c>
      <c r="W34" s="614"/>
      <c r="X34" s="615"/>
      <c r="Y34" s="1854">
        <f>SUM(U34:X34)</f>
        <v>12</v>
      </c>
    </row>
    <row r="35" spans="1:27" x14ac:dyDescent="0.35">
      <c r="A35" s="2874"/>
      <c r="B35" s="894" t="s">
        <v>61</v>
      </c>
      <c r="C35" s="773"/>
      <c r="D35" s="768">
        <v>4400</v>
      </c>
      <c r="E35" s="768">
        <v>4800</v>
      </c>
      <c r="F35" s="769">
        <v>5400</v>
      </c>
      <c r="G35" s="1926">
        <v>4.4999999999999998E-2</v>
      </c>
      <c r="H35" s="1927">
        <v>4.4999999999999998E-2</v>
      </c>
      <c r="I35" s="1928">
        <v>4.4999999999999998E-2</v>
      </c>
      <c r="J35" s="1811"/>
      <c r="K35" s="1787">
        <f t="shared" si="16"/>
        <v>4600</v>
      </c>
      <c r="L35" s="1787">
        <f t="shared" si="17"/>
        <v>5100</v>
      </c>
      <c r="M35" s="1788">
        <f t="shared" si="18"/>
        <v>5700</v>
      </c>
      <c r="N35" s="1651"/>
      <c r="O35" s="1644">
        <f t="shared" si="11"/>
        <v>200</v>
      </c>
      <c r="P35" s="1644">
        <f t="shared" si="12"/>
        <v>300</v>
      </c>
      <c r="Q35" s="1645">
        <f t="shared" si="13"/>
        <v>300</v>
      </c>
      <c r="S35" s="2862"/>
      <c r="T35" s="1818" t="str">
        <f t="shared" si="6"/>
        <v>Picnic (P/Adicional)</v>
      </c>
      <c r="U35" s="613"/>
      <c r="V35" s="614"/>
      <c r="W35" s="614"/>
      <c r="X35" s="615"/>
      <c r="Y35" s="1854">
        <f t="shared" si="19"/>
        <v>0</v>
      </c>
    </row>
    <row r="36" spans="1:27" x14ac:dyDescent="0.35">
      <c r="A36" s="2874"/>
      <c r="B36" s="894" t="s">
        <v>45</v>
      </c>
      <c r="C36" s="776">
        <f>D36*0.65</f>
        <v>29900</v>
      </c>
      <c r="D36" s="768">
        <v>46000</v>
      </c>
      <c r="E36" s="768">
        <v>50600</v>
      </c>
      <c r="F36" s="769">
        <v>57400</v>
      </c>
      <c r="G36" s="1926">
        <v>4.4999999999999998E-2</v>
      </c>
      <c r="H36" s="1927">
        <v>4.4999999999999998E-2</v>
      </c>
      <c r="I36" s="1928">
        <v>4.4999999999999998E-2</v>
      </c>
      <c r="J36" s="1789">
        <f>IF(OR(C36=0,C36=""),0,CEILING(K36*0.65,100))</f>
        <v>31300</v>
      </c>
      <c r="K36" s="1787">
        <f t="shared" si="16"/>
        <v>48100</v>
      </c>
      <c r="L36" s="1787">
        <f t="shared" si="17"/>
        <v>52900</v>
      </c>
      <c r="M36" s="1788">
        <f t="shared" si="18"/>
        <v>60000</v>
      </c>
      <c r="N36" s="1643">
        <f t="shared" si="10"/>
        <v>1400</v>
      </c>
      <c r="O36" s="1644">
        <f t="shared" si="11"/>
        <v>2100</v>
      </c>
      <c r="P36" s="1644">
        <f t="shared" si="12"/>
        <v>2300</v>
      </c>
      <c r="Q36" s="1645">
        <f t="shared" si="13"/>
        <v>2600</v>
      </c>
      <c r="S36" s="2862"/>
      <c r="T36" s="1818" t="str">
        <f t="shared" si="6"/>
        <v>Matrimonial o Doble</v>
      </c>
      <c r="U36" s="1969">
        <v>242</v>
      </c>
      <c r="V36" s="1966">
        <v>25</v>
      </c>
      <c r="W36" s="1966">
        <v>49</v>
      </c>
      <c r="X36" s="615"/>
      <c r="Y36" s="1854">
        <f t="shared" si="19"/>
        <v>316</v>
      </c>
    </row>
    <row r="37" spans="1:27" x14ac:dyDescent="0.35">
      <c r="A37" s="2874"/>
      <c r="B37" s="894" t="s">
        <v>62</v>
      </c>
      <c r="C37" s="776">
        <f>D37*0.65</f>
        <v>31330</v>
      </c>
      <c r="D37" s="777">
        <v>48200</v>
      </c>
      <c r="E37" s="777">
        <v>53100</v>
      </c>
      <c r="F37" s="778">
        <v>60100</v>
      </c>
      <c r="G37" s="1926">
        <v>4.4999999999999998E-2</v>
      </c>
      <c r="H37" s="1927">
        <v>4.4999999999999998E-2</v>
      </c>
      <c r="I37" s="1928">
        <v>4.4999999999999998E-2</v>
      </c>
      <c r="J37" s="1789">
        <f t="shared" si="15"/>
        <v>32800</v>
      </c>
      <c r="K37" s="1812">
        <f>CEILING($D37*(1+$G37),100)</f>
        <v>50400</v>
      </c>
      <c r="L37" s="1812">
        <f t="shared" si="17"/>
        <v>55500</v>
      </c>
      <c r="M37" s="1657">
        <f t="shared" si="18"/>
        <v>62900</v>
      </c>
      <c r="N37" s="1643">
        <f t="shared" si="10"/>
        <v>1470</v>
      </c>
      <c r="O37" s="1644">
        <f t="shared" si="11"/>
        <v>2200</v>
      </c>
      <c r="P37" s="1644">
        <f t="shared" si="12"/>
        <v>2400</v>
      </c>
      <c r="Q37" s="1645">
        <f t="shared" si="13"/>
        <v>2800</v>
      </c>
      <c r="S37" s="2862"/>
      <c r="T37" s="1818" t="str">
        <f t="shared" si="6"/>
        <v>Cuádruple</v>
      </c>
      <c r="U37" s="1969">
        <v>257</v>
      </c>
      <c r="V37" s="1966">
        <v>25</v>
      </c>
      <c r="W37" s="1966">
        <v>60</v>
      </c>
      <c r="X37" s="615"/>
      <c r="Y37" s="1854">
        <f t="shared" si="19"/>
        <v>342</v>
      </c>
    </row>
    <row r="38" spans="1:27" x14ac:dyDescent="0.35">
      <c r="A38" s="2874"/>
      <c r="B38" s="1858" t="s">
        <v>46</v>
      </c>
      <c r="C38" s="2879"/>
      <c r="D38" s="2880"/>
      <c r="E38" s="2880"/>
      <c r="F38" s="2881"/>
      <c r="G38" s="1929"/>
      <c r="H38" s="1927">
        <v>4.4999999999999998E-2</v>
      </c>
      <c r="I38" s="1928">
        <v>4.4999999999999998E-2</v>
      </c>
      <c r="J38" s="1813"/>
      <c r="K38" s="1814"/>
      <c r="L38" s="1814"/>
      <c r="M38" s="1815"/>
      <c r="N38" s="1651"/>
      <c r="O38" s="1757"/>
      <c r="P38" s="1757"/>
      <c r="Q38" s="1758"/>
      <c r="S38" s="2862"/>
      <c r="T38" s="1856" t="str">
        <f t="shared" si="6"/>
        <v>Uso por tránsito/ Early check-in/Late check-out</v>
      </c>
      <c r="U38" s="975"/>
      <c r="V38" s="976"/>
      <c r="W38" s="976"/>
      <c r="X38" s="977"/>
      <c r="Y38" s="972"/>
    </row>
    <row r="39" spans="1:27" x14ac:dyDescent="0.35">
      <c r="A39" s="2874"/>
      <c r="B39" s="896" t="s">
        <v>45</v>
      </c>
      <c r="C39" s="779"/>
      <c r="D39" s="768">
        <v>13800</v>
      </c>
      <c r="E39" s="768">
        <v>15200</v>
      </c>
      <c r="F39" s="769">
        <v>17300</v>
      </c>
      <c r="G39" s="1926">
        <v>4.4999999999999998E-2</v>
      </c>
      <c r="H39" s="1927">
        <v>4.4999999999999998E-2</v>
      </c>
      <c r="I39" s="1928">
        <v>4.4999999999999998E-2</v>
      </c>
      <c r="J39" s="1811"/>
      <c r="K39" s="1787">
        <f t="shared" ref="K39:M40" si="20">CEILING(K36*0.3,100)</f>
        <v>14500</v>
      </c>
      <c r="L39" s="1787">
        <f t="shared" si="20"/>
        <v>15900</v>
      </c>
      <c r="M39" s="1788">
        <f t="shared" si="20"/>
        <v>18000</v>
      </c>
      <c r="N39" s="1651"/>
      <c r="O39" s="1644">
        <f t="shared" ref="O39:O48" si="21">+K39-D39</f>
        <v>700</v>
      </c>
      <c r="P39" s="1644">
        <f t="shared" ref="P39:P48" si="22">+L39-E39</f>
        <v>700</v>
      </c>
      <c r="Q39" s="1645">
        <f t="shared" ref="Q39:Q46" si="23">+M39-F39</f>
        <v>700</v>
      </c>
      <c r="S39" s="2862"/>
      <c r="T39" s="1818" t="str">
        <f t="shared" si="6"/>
        <v>Matrimonial o Doble</v>
      </c>
      <c r="U39" s="978"/>
      <c r="V39" s="614"/>
      <c r="W39" s="614"/>
      <c r="X39" s="615"/>
      <c r="Y39" s="1854">
        <f>SUM(U39:X39)</f>
        <v>0</v>
      </c>
    </row>
    <row r="40" spans="1:27" x14ac:dyDescent="0.35">
      <c r="A40" s="2874"/>
      <c r="B40" s="896" t="s">
        <v>62</v>
      </c>
      <c r="C40" s="779"/>
      <c r="D40" s="768">
        <v>14500</v>
      </c>
      <c r="E40" s="768">
        <v>16000</v>
      </c>
      <c r="F40" s="769">
        <v>18100</v>
      </c>
      <c r="G40" s="1926">
        <v>4.4999999999999998E-2</v>
      </c>
      <c r="H40" s="1927">
        <v>4.4999999999999998E-2</v>
      </c>
      <c r="I40" s="1928">
        <v>4.4999999999999998E-2</v>
      </c>
      <c r="J40" s="1811"/>
      <c r="K40" s="1787">
        <f t="shared" si="20"/>
        <v>15200</v>
      </c>
      <c r="L40" s="1787">
        <f t="shared" si="20"/>
        <v>16700</v>
      </c>
      <c r="M40" s="1788">
        <f t="shared" si="20"/>
        <v>18900</v>
      </c>
      <c r="N40" s="1651"/>
      <c r="O40" s="1644">
        <f t="shared" si="21"/>
        <v>700</v>
      </c>
      <c r="P40" s="1644">
        <f t="shared" si="22"/>
        <v>700</v>
      </c>
      <c r="Q40" s="1645">
        <f t="shared" si="23"/>
        <v>800</v>
      </c>
      <c r="S40" s="2862"/>
      <c r="T40" s="1818" t="str">
        <f t="shared" si="6"/>
        <v>Cuádruple</v>
      </c>
      <c r="U40" s="978"/>
      <c r="V40" s="614"/>
      <c r="W40" s="614"/>
      <c r="X40" s="615"/>
      <c r="Y40" s="1854">
        <f>SUM(U40:X40)</f>
        <v>0</v>
      </c>
    </row>
    <row r="41" spans="1:27" x14ac:dyDescent="0.35">
      <c r="A41" s="2874"/>
      <c r="B41" s="894" t="s">
        <v>63</v>
      </c>
      <c r="C41" s="779"/>
      <c r="D41" s="768">
        <v>259700</v>
      </c>
      <c r="E41" s="768">
        <v>313400</v>
      </c>
      <c r="F41" s="769">
        <v>365200</v>
      </c>
      <c r="G41" s="1926">
        <v>4.4999999999999998E-2</v>
      </c>
      <c r="H41" s="1927">
        <v>4.4999999999999998E-2</v>
      </c>
      <c r="I41" s="1928">
        <v>4.4999999999999998E-2</v>
      </c>
      <c r="J41" s="1811"/>
      <c r="K41" s="1809">
        <f>CEILING(D41*(1+$G41),100)</f>
        <v>271400</v>
      </c>
      <c r="L41" s="1809">
        <f t="shared" ref="L41:M41" si="24">CEILING(E41*(1+$G41),100)</f>
        <v>327600</v>
      </c>
      <c r="M41" s="1810">
        <f t="shared" si="24"/>
        <v>381700</v>
      </c>
      <c r="N41" s="1651"/>
      <c r="O41" s="1759">
        <f t="shared" si="21"/>
        <v>11700</v>
      </c>
      <c r="P41" s="1759">
        <f t="shared" si="22"/>
        <v>14200</v>
      </c>
      <c r="Q41" s="1760">
        <f t="shared" si="23"/>
        <v>16500</v>
      </c>
      <c r="S41" s="2862"/>
      <c r="T41" s="1818" t="str">
        <f t="shared" si="6"/>
        <v>Salón Comedor (Hasta 50p)</v>
      </c>
      <c r="U41" s="978"/>
      <c r="V41" s="614">
        <v>2</v>
      </c>
      <c r="W41" s="614">
        <v>1</v>
      </c>
      <c r="X41" s="615"/>
      <c r="Y41" s="1854">
        <f>SUM(U41:X41)</f>
        <v>3</v>
      </c>
    </row>
    <row r="42" spans="1:27" x14ac:dyDescent="0.35">
      <c r="A42" s="2874"/>
      <c r="B42" s="894" t="s">
        <v>64</v>
      </c>
      <c r="C42" s="779"/>
      <c r="D42" s="1956">
        <v>4600</v>
      </c>
      <c r="E42" s="1956">
        <v>5500</v>
      </c>
      <c r="F42" s="1957">
        <v>6800</v>
      </c>
      <c r="G42" s="1958">
        <v>4.4999999999999998E-2</v>
      </c>
      <c r="H42" s="1959">
        <v>4.4999999999999998E-2</v>
      </c>
      <c r="I42" s="1960">
        <v>4.4999999999999998E-2</v>
      </c>
      <c r="J42" s="1961"/>
      <c r="K42" s="1962">
        <f>CEILING(D42*(1+$G42),100)</f>
        <v>4900</v>
      </c>
      <c r="L42" s="1962">
        <f t="shared" ref="L42:L44" si="25">CEILING(E42*(1+$G42),100)</f>
        <v>5800</v>
      </c>
      <c r="M42" s="1963">
        <f t="shared" ref="M42:M43" si="26">CEILING(F42*(1+$G42),100)</f>
        <v>7200</v>
      </c>
      <c r="N42" s="1651"/>
      <c r="O42" s="1759">
        <f t="shared" si="21"/>
        <v>300</v>
      </c>
      <c r="P42" s="1759">
        <f t="shared" si="22"/>
        <v>300</v>
      </c>
      <c r="Q42" s="1760">
        <f t="shared" si="23"/>
        <v>400</v>
      </c>
      <c r="S42" s="2862"/>
      <c r="T42" s="1818" t="str">
        <f t="shared" si="6"/>
        <v>Salón Comedor (P/Adicional)</v>
      </c>
      <c r="U42" s="978"/>
      <c r="V42" s="614"/>
      <c r="W42" s="614"/>
      <c r="X42" s="615"/>
      <c r="Y42" s="1854">
        <f>SUM(U42:X42)</f>
        <v>0</v>
      </c>
    </row>
    <row r="43" spans="1:27" x14ac:dyDescent="0.35">
      <c r="A43" s="2874"/>
      <c r="B43" s="894" t="s">
        <v>65</v>
      </c>
      <c r="C43" s="779"/>
      <c r="D43" s="768">
        <v>117100</v>
      </c>
      <c r="E43" s="768">
        <v>141500</v>
      </c>
      <c r="F43" s="769">
        <v>151900</v>
      </c>
      <c r="G43" s="1926">
        <v>4.4999999999999998E-2</v>
      </c>
      <c r="H43" s="1927">
        <v>4.4999999999999998E-2</v>
      </c>
      <c r="I43" s="1928">
        <v>4.4999999999999998E-2</v>
      </c>
      <c r="J43" s="1811"/>
      <c r="K43" s="1809">
        <f t="shared" ref="K43:K44" si="27">CEILING(D43*(1+$G43),100)</f>
        <v>122400</v>
      </c>
      <c r="L43" s="1809">
        <f t="shared" si="25"/>
        <v>147900</v>
      </c>
      <c r="M43" s="1810">
        <f t="shared" si="26"/>
        <v>158800</v>
      </c>
      <c r="N43" s="1651"/>
      <c r="O43" s="1759">
        <f t="shared" si="21"/>
        <v>5300</v>
      </c>
      <c r="P43" s="1759">
        <f t="shared" si="22"/>
        <v>6400</v>
      </c>
      <c r="Q43" s="1760">
        <f t="shared" si="23"/>
        <v>6900</v>
      </c>
      <c r="S43" s="2862"/>
      <c r="T43" s="1818" t="str">
        <f t="shared" si="6"/>
        <v>Sala Multiuso (Hasta 25p)</v>
      </c>
      <c r="U43" s="978"/>
      <c r="V43" s="614">
        <v>4</v>
      </c>
      <c r="W43" s="614">
        <v>1</v>
      </c>
      <c r="X43" s="615"/>
      <c r="Y43" s="1854">
        <f>SUM(U43:X43)</f>
        <v>5</v>
      </c>
    </row>
    <row r="44" spans="1:27" ht="15" thickBot="1" x14ac:dyDescent="0.4">
      <c r="A44" s="2875"/>
      <c r="B44" s="897" t="s">
        <v>66</v>
      </c>
      <c r="C44" s="517"/>
      <c r="D44" s="1948">
        <v>2900</v>
      </c>
      <c r="E44" s="1948">
        <v>3900</v>
      </c>
      <c r="F44" s="1949">
        <v>9500</v>
      </c>
      <c r="G44" s="1950">
        <v>4.4999999999999998E-2</v>
      </c>
      <c r="H44" s="1951">
        <v>4.4999999999999998E-2</v>
      </c>
      <c r="I44" s="1952">
        <v>4.4999999999999998E-2</v>
      </c>
      <c r="J44" s="1953"/>
      <c r="K44" s="1954">
        <f t="shared" si="27"/>
        <v>3100</v>
      </c>
      <c r="L44" s="1954">
        <f t="shared" si="25"/>
        <v>4100</v>
      </c>
      <c r="M44" s="1955">
        <f>CEILING(F44*(1+$G44),100)</f>
        <v>10000</v>
      </c>
      <c r="N44" s="1665"/>
      <c r="O44" s="1762">
        <f t="shared" si="21"/>
        <v>200</v>
      </c>
      <c r="P44" s="1762">
        <f t="shared" si="22"/>
        <v>200</v>
      </c>
      <c r="Q44" s="1763">
        <f t="shared" si="23"/>
        <v>500</v>
      </c>
      <c r="S44" s="2876"/>
      <c r="T44" s="1823" t="str">
        <f t="shared" si="6"/>
        <v>Sala Multiuso (P/Adicional))</v>
      </c>
      <c r="U44" s="979"/>
      <c r="V44" s="614"/>
      <c r="W44" s="614"/>
      <c r="X44" s="615"/>
      <c r="Y44" s="1859">
        <f t="shared" si="19"/>
        <v>0</v>
      </c>
    </row>
    <row r="45" spans="1:27" x14ac:dyDescent="0.35">
      <c r="A45" s="2877" t="s">
        <v>67</v>
      </c>
      <c r="B45" s="887" t="s">
        <v>68</v>
      </c>
      <c r="C45" s="81"/>
      <c r="D45" s="63">
        <v>8400</v>
      </c>
      <c r="E45" s="63">
        <v>9300</v>
      </c>
      <c r="F45" s="76">
        <v>10500</v>
      </c>
      <c r="G45" s="1918">
        <v>4.4999999999999998E-2</v>
      </c>
      <c r="H45" s="1919">
        <v>4.4999999999999998E-2</v>
      </c>
      <c r="I45" s="1920">
        <v>4.4999999999999998E-2</v>
      </c>
      <c r="J45" s="82"/>
      <c r="K45" s="63">
        <f>CEILING($D45*(1+$G45),100)</f>
        <v>8800</v>
      </c>
      <c r="L45" s="63">
        <f>CEILING($E45*(1+$H45),100)</f>
        <v>9800</v>
      </c>
      <c r="M45" s="1753">
        <f>CEILING($F45*(1+$I45),100)</f>
        <v>11000</v>
      </c>
      <c r="N45" s="1663"/>
      <c r="O45" s="765">
        <f t="shared" si="21"/>
        <v>400</v>
      </c>
      <c r="P45" s="765">
        <f t="shared" si="22"/>
        <v>500</v>
      </c>
      <c r="Q45" s="766">
        <f t="shared" si="23"/>
        <v>500</v>
      </c>
      <c r="S45" s="2861" t="str">
        <f>+A45</f>
        <v>Piscina C.R. Los Maitenes (Alto)</v>
      </c>
      <c r="T45" s="1816" t="str">
        <f t="shared" ref="T45:T67" si="28">+B45</f>
        <v>Piscina adulto</v>
      </c>
      <c r="U45" s="980"/>
      <c r="V45" s="65"/>
      <c r="W45" s="65"/>
      <c r="X45" s="66"/>
      <c r="Y45" s="1853">
        <f>SUM(U45:X45)</f>
        <v>0</v>
      </c>
    </row>
    <row r="46" spans="1:27" ht="15" thickBot="1" x14ac:dyDescent="0.4">
      <c r="A46" s="2878"/>
      <c r="B46" s="898" t="s">
        <v>69</v>
      </c>
      <c r="C46" s="71"/>
      <c r="D46" s="72">
        <v>4400</v>
      </c>
      <c r="E46" s="72">
        <v>4800</v>
      </c>
      <c r="F46" s="77">
        <v>5400</v>
      </c>
      <c r="G46" s="1930">
        <v>4.4999999999999998E-2</v>
      </c>
      <c r="H46" s="1931">
        <v>4.4999999999999998E-2</v>
      </c>
      <c r="I46" s="1932">
        <v>4.4999999999999998E-2</v>
      </c>
      <c r="J46" s="78"/>
      <c r="K46" s="72">
        <f>CEILING($D46*(1+$G46),100)</f>
        <v>4600</v>
      </c>
      <c r="L46" s="72">
        <f>CEILING($E46*(1+$H46),100)</f>
        <v>5100</v>
      </c>
      <c r="M46" s="1756">
        <f>CEILING($F46*(1+$I46),100)</f>
        <v>5700</v>
      </c>
      <c r="N46" s="1664"/>
      <c r="O46" s="1653">
        <f t="shared" si="21"/>
        <v>200</v>
      </c>
      <c r="P46" s="1653">
        <f t="shared" si="22"/>
        <v>300</v>
      </c>
      <c r="Q46" s="1654">
        <f t="shared" si="23"/>
        <v>300</v>
      </c>
      <c r="S46" s="2864"/>
      <c r="T46" s="1822" t="str">
        <f t="shared" si="28"/>
        <v>Piscina niño</v>
      </c>
      <c r="U46" s="974"/>
      <c r="V46" s="74"/>
      <c r="W46" s="74"/>
      <c r="X46" s="75"/>
      <c r="Y46" s="1857">
        <f>SUM(U46:X46)</f>
        <v>0</v>
      </c>
      <c r="AA46" t="s">
        <v>355</v>
      </c>
    </row>
    <row r="47" spans="1:27" x14ac:dyDescent="0.35">
      <c r="A47" s="2877" t="s">
        <v>70</v>
      </c>
      <c r="B47" s="887" t="s">
        <v>68</v>
      </c>
      <c r="C47" s="81"/>
      <c r="D47" s="63">
        <v>8400</v>
      </c>
      <c r="E47" s="63">
        <v>9300</v>
      </c>
      <c r="F47" s="64">
        <v>10500</v>
      </c>
      <c r="G47" s="1918">
        <v>4.4999999999999998E-2</v>
      </c>
      <c r="H47" s="1919">
        <v>4.4999999999999998E-2</v>
      </c>
      <c r="I47" s="1920">
        <v>4.4999999999999998E-2</v>
      </c>
      <c r="J47" s="81"/>
      <c r="K47" s="63">
        <f>CEILING($D47*(1+$G47),100)</f>
        <v>8800</v>
      </c>
      <c r="L47" s="63">
        <f>CEILING($E47*(1+$H47),100)</f>
        <v>9800</v>
      </c>
      <c r="M47" s="1753">
        <f>CEILING($F47*(1+$I47),100)</f>
        <v>11000</v>
      </c>
      <c r="N47" s="1663"/>
      <c r="O47" s="765">
        <f t="shared" si="21"/>
        <v>400</v>
      </c>
      <c r="P47" s="765">
        <f t="shared" si="22"/>
        <v>500</v>
      </c>
      <c r="Q47" s="766">
        <f>+M47-F47</f>
        <v>500</v>
      </c>
      <c r="S47" s="2861" t="str">
        <f>+A47</f>
        <v>Piscina C.R. Los Maitenes (Bajo)</v>
      </c>
      <c r="T47" s="1816" t="str">
        <f t="shared" si="28"/>
        <v>Piscina adulto</v>
      </c>
      <c r="U47" s="980"/>
      <c r="V47" s="65"/>
      <c r="W47" s="65"/>
      <c r="X47" s="66"/>
      <c r="Y47" s="1853">
        <f>SUM(U47:X47)</f>
        <v>0</v>
      </c>
    </row>
    <row r="48" spans="1:27" ht="15" thickBot="1" x14ac:dyDescent="0.4">
      <c r="A48" s="2878"/>
      <c r="B48" s="898" t="s">
        <v>69</v>
      </c>
      <c r="C48" s="640"/>
      <c r="D48" s="585">
        <v>4400</v>
      </c>
      <c r="E48" s="585">
        <v>4800</v>
      </c>
      <c r="F48" s="641">
        <v>5400</v>
      </c>
      <c r="G48" s="1930">
        <v>4.4999999999999998E-2</v>
      </c>
      <c r="H48" s="1931">
        <v>4.4999999999999998E-2</v>
      </c>
      <c r="I48" s="1932">
        <v>4.4999999999999998E-2</v>
      </c>
      <c r="J48" s="640"/>
      <c r="K48" s="585">
        <f>CEILING($D48*(1+$G48),100)</f>
        <v>4600</v>
      </c>
      <c r="L48" s="585">
        <f>CEILING($E48*(1+$H48),100)</f>
        <v>5100</v>
      </c>
      <c r="M48" s="1761">
        <f>CEILING($F48*(1+$I48),100)</f>
        <v>5700</v>
      </c>
      <c r="N48" s="1664"/>
      <c r="O48" s="1653">
        <f t="shared" si="21"/>
        <v>200</v>
      </c>
      <c r="P48" s="1653">
        <f t="shared" si="22"/>
        <v>300</v>
      </c>
      <c r="Q48" s="1654">
        <f>+M48-F48</f>
        <v>300</v>
      </c>
      <c r="S48" s="2864"/>
      <c r="T48" s="1822" t="str">
        <f t="shared" si="28"/>
        <v>Piscina niño</v>
      </c>
      <c r="U48" s="974"/>
      <c r="V48" s="74"/>
      <c r="W48" s="74"/>
      <c r="X48" s="75"/>
      <c r="Y48" s="1857">
        <f>SUM(U48:X48)</f>
        <v>0</v>
      </c>
    </row>
    <row r="49" spans="1:27" x14ac:dyDescent="0.35">
      <c r="A49" s="2868" t="s">
        <v>71</v>
      </c>
      <c r="B49" s="899" t="s">
        <v>362</v>
      </c>
      <c r="C49" s="650">
        <v>15000</v>
      </c>
      <c r="D49" s="651">
        <v>23000</v>
      </c>
      <c r="E49" s="651">
        <v>25300</v>
      </c>
      <c r="F49" s="652">
        <v>28700</v>
      </c>
      <c r="G49" s="1918">
        <v>4.4999999999999998E-2</v>
      </c>
      <c r="H49" s="1919">
        <v>4.4999999999999998E-2</v>
      </c>
      <c r="I49" s="1920">
        <v>4.4999999999999998E-2</v>
      </c>
      <c r="J49" s="650">
        <f t="shared" si="15"/>
        <v>15700</v>
      </c>
      <c r="K49" s="723">
        <f t="shared" si="16"/>
        <v>24100</v>
      </c>
      <c r="L49" s="723">
        <f t="shared" si="17"/>
        <v>26500</v>
      </c>
      <c r="M49" s="1764">
        <f t="shared" si="18"/>
        <v>30000</v>
      </c>
      <c r="N49" s="764">
        <f t="shared" ref="N49:O79" si="29">+J49-C49</f>
        <v>700</v>
      </c>
      <c r="O49" s="765">
        <f t="shared" si="29"/>
        <v>1100</v>
      </c>
      <c r="P49" s="765">
        <f t="shared" ref="P49:P79" si="30">+L49-E49</f>
        <v>1200</v>
      </c>
      <c r="Q49" s="766">
        <f t="shared" ref="Q49:Q79" si="31">+M49-F49</f>
        <v>1300</v>
      </c>
      <c r="S49" s="2871" t="str">
        <f>+A49</f>
        <v>C. R. Las Salinas</v>
      </c>
      <c r="T49" s="1816" t="str">
        <f t="shared" si="28"/>
        <v>Quincho (8p)</v>
      </c>
      <c r="U49" s="839">
        <v>665</v>
      </c>
      <c r="V49" s="840">
        <v>76</v>
      </c>
      <c r="W49" s="840">
        <v>6</v>
      </c>
      <c r="X49" s="508"/>
      <c r="Y49" s="1853">
        <f>SUM(U49:X49)</f>
        <v>747</v>
      </c>
    </row>
    <row r="50" spans="1:27" x14ac:dyDescent="0.35">
      <c r="A50" s="2869"/>
      <c r="B50" s="900" t="s">
        <v>73</v>
      </c>
      <c r="C50" s="653"/>
      <c r="D50" s="654">
        <v>3800</v>
      </c>
      <c r="E50" s="654">
        <v>4200</v>
      </c>
      <c r="F50" s="655">
        <v>4800</v>
      </c>
      <c r="G50" s="1926">
        <v>4.4999999999999998E-2</v>
      </c>
      <c r="H50" s="1927">
        <v>4.4999999999999998E-2</v>
      </c>
      <c r="I50" s="1928">
        <v>4.4999999999999998E-2</v>
      </c>
      <c r="J50" s="831"/>
      <c r="K50" s="826">
        <f t="shared" si="16"/>
        <v>4000</v>
      </c>
      <c r="L50" s="826">
        <f t="shared" si="17"/>
        <v>4400</v>
      </c>
      <c r="M50" s="1765">
        <f t="shared" si="18"/>
        <v>5100</v>
      </c>
      <c r="N50" s="1651"/>
      <c r="O50" s="1644">
        <f t="shared" si="29"/>
        <v>200</v>
      </c>
      <c r="P50" s="1644">
        <f t="shared" si="30"/>
        <v>200</v>
      </c>
      <c r="Q50" s="1645">
        <f t="shared" si="31"/>
        <v>300</v>
      </c>
      <c r="S50" s="2872"/>
      <c r="T50" s="1824" t="str">
        <f t="shared" si="28"/>
        <v>Quincho (P/Adicional)</v>
      </c>
      <c r="U50" s="981"/>
      <c r="V50" s="842">
        <v>0</v>
      </c>
      <c r="W50" s="638"/>
      <c r="X50" s="639"/>
      <c r="Y50" s="1860">
        <f t="shared" ref="Y50:Y62" si="32">SUM(U50:X50)</f>
        <v>0</v>
      </c>
    </row>
    <row r="51" spans="1:27" x14ac:dyDescent="0.35">
      <c r="A51" s="2869"/>
      <c r="B51" s="901" t="s">
        <v>363</v>
      </c>
      <c r="C51" s="653"/>
      <c r="D51" s="654">
        <v>63000</v>
      </c>
      <c r="E51" s="654">
        <v>69300</v>
      </c>
      <c r="F51" s="655">
        <v>78600</v>
      </c>
      <c r="G51" s="1926">
        <v>4.4999999999999998E-2</v>
      </c>
      <c r="H51" s="1927">
        <v>4.4999999999999998E-2</v>
      </c>
      <c r="I51" s="1928">
        <v>4.4999999999999998E-2</v>
      </c>
      <c r="J51" s="831"/>
      <c r="K51" s="826">
        <f t="shared" si="16"/>
        <v>65900</v>
      </c>
      <c r="L51" s="826">
        <f t="shared" si="17"/>
        <v>72500</v>
      </c>
      <c r="M51" s="1765">
        <f>CEILING($F51*(1+$I51),100)</f>
        <v>82200</v>
      </c>
      <c r="N51" s="1651"/>
      <c r="O51" s="1644">
        <f t="shared" si="29"/>
        <v>2900</v>
      </c>
      <c r="P51" s="1644">
        <f t="shared" si="30"/>
        <v>3200</v>
      </c>
      <c r="Q51" s="1645">
        <f t="shared" si="31"/>
        <v>3600</v>
      </c>
      <c r="S51" s="2872"/>
      <c r="T51" s="1825" t="str">
        <f t="shared" si="28"/>
        <v>Quincho (Fechas especiales)</v>
      </c>
      <c r="U51" s="981"/>
      <c r="V51" s="842">
        <v>0</v>
      </c>
      <c r="W51" s="638"/>
      <c r="X51" s="639"/>
      <c r="Y51" s="1860">
        <f t="shared" si="32"/>
        <v>0</v>
      </c>
    </row>
    <row r="52" spans="1:27" x14ac:dyDescent="0.35">
      <c r="A52" s="2869"/>
      <c r="B52" s="902" t="s">
        <v>357</v>
      </c>
      <c r="C52" s="643"/>
      <c r="D52" s="1771">
        <v>420000</v>
      </c>
      <c r="E52" s="1826"/>
      <c r="F52" s="1827"/>
      <c r="G52" s="1926">
        <v>4.4999999999999998E-2</v>
      </c>
      <c r="H52" s="1927">
        <v>4.4999999999999998E-2</v>
      </c>
      <c r="I52" s="1928">
        <v>4.4999999999999998E-2</v>
      </c>
      <c r="J52" s="832"/>
      <c r="K52" s="828">
        <f>CEILING($D52*(1+$G52),100)</f>
        <v>438900</v>
      </c>
      <c r="L52" s="827">
        <f t="shared" si="17"/>
        <v>0</v>
      </c>
      <c r="M52" s="1766"/>
      <c r="N52" s="1651"/>
      <c r="O52" s="1644">
        <f t="shared" si="29"/>
        <v>18900</v>
      </c>
      <c r="P52" s="1757">
        <f t="shared" si="30"/>
        <v>0</v>
      </c>
      <c r="Q52" s="1758"/>
      <c r="S52" s="2872"/>
      <c r="T52" s="1824" t="str">
        <f t="shared" si="28"/>
        <v>Salón N° 1 Valor Reparticiones (0-120 personas)</v>
      </c>
      <c r="U52" s="981"/>
      <c r="V52" s="842">
        <v>36</v>
      </c>
      <c r="W52" s="982"/>
      <c r="X52" s="983"/>
      <c r="Y52" s="1860">
        <f t="shared" si="32"/>
        <v>36</v>
      </c>
    </row>
    <row r="53" spans="1:27" x14ac:dyDescent="0.35">
      <c r="A53" s="2869"/>
      <c r="B53" s="902" t="s">
        <v>358</v>
      </c>
      <c r="C53" s="643"/>
      <c r="D53" s="1771">
        <v>630000</v>
      </c>
      <c r="E53" s="719"/>
      <c r="F53" s="720"/>
      <c r="G53" s="1926">
        <v>4.4999999999999998E-2</v>
      </c>
      <c r="H53" s="1927">
        <v>4.4999999999999998E-2</v>
      </c>
      <c r="I53" s="1928">
        <v>4.4999999999999998E-2</v>
      </c>
      <c r="J53" s="832"/>
      <c r="K53" s="828">
        <f t="shared" ref="K53:K59" si="33">CEILING($D53*(1+$G53),100)</f>
        <v>658400</v>
      </c>
      <c r="L53" s="827">
        <f t="shared" si="17"/>
        <v>0</v>
      </c>
      <c r="M53" s="1766"/>
      <c r="N53" s="1651"/>
      <c r="O53" s="1644">
        <f t="shared" si="29"/>
        <v>28400</v>
      </c>
      <c r="P53" s="1757">
        <f t="shared" si="30"/>
        <v>0</v>
      </c>
      <c r="Q53" s="1758"/>
      <c r="S53" s="2872"/>
      <c r="T53" s="1824" t="str">
        <f t="shared" si="28"/>
        <v>Salón N° 1 Valor Reparticiones (121-200 personas)</v>
      </c>
      <c r="U53" s="981"/>
      <c r="V53" s="842">
        <v>6</v>
      </c>
      <c r="W53" s="982"/>
      <c r="X53" s="983"/>
      <c r="Y53" s="1860">
        <f t="shared" si="32"/>
        <v>6</v>
      </c>
    </row>
    <row r="54" spans="1:27" x14ac:dyDescent="0.35">
      <c r="A54" s="2869"/>
      <c r="B54" s="902" t="s">
        <v>356</v>
      </c>
      <c r="C54" s="643"/>
      <c r="D54" s="644">
        <v>1260000</v>
      </c>
      <c r="E54" s="644">
        <v>1386000</v>
      </c>
      <c r="F54" s="645">
        <v>1570800</v>
      </c>
      <c r="G54" s="1926">
        <v>4.4999999999999998E-2</v>
      </c>
      <c r="H54" s="1927">
        <v>4.4999999999999998E-2</v>
      </c>
      <c r="I54" s="1928">
        <v>4.4999999999999998E-2</v>
      </c>
      <c r="J54" s="832"/>
      <c r="K54" s="828">
        <f>CEILING(D54*(1+G54),100)</f>
        <v>1316700</v>
      </c>
      <c r="L54" s="828">
        <f t="shared" ref="L54:M54" si="34">CEILING(E54*(1+H54),100)</f>
        <v>1448400</v>
      </c>
      <c r="M54" s="1767">
        <f t="shared" si="34"/>
        <v>1641500</v>
      </c>
      <c r="N54" s="1651"/>
      <c r="O54" s="1644">
        <f t="shared" si="29"/>
        <v>56700</v>
      </c>
      <c r="P54" s="1644">
        <f t="shared" si="30"/>
        <v>62400</v>
      </c>
      <c r="Q54" s="1645">
        <f t="shared" si="31"/>
        <v>70700</v>
      </c>
      <c r="S54" s="2872"/>
      <c r="T54" s="1824" t="str">
        <f t="shared" si="28"/>
        <v>Salón N° 1 Eventos (0 -200 personas)</v>
      </c>
      <c r="U54" s="981"/>
      <c r="V54" s="842">
        <v>30</v>
      </c>
      <c r="W54" s="638"/>
      <c r="X54" s="639"/>
      <c r="Y54" s="1860">
        <f t="shared" si="32"/>
        <v>30</v>
      </c>
    </row>
    <row r="55" spans="1:27" x14ac:dyDescent="0.35">
      <c r="A55" s="2869"/>
      <c r="B55" s="902" t="s">
        <v>364</v>
      </c>
      <c r="C55" s="643"/>
      <c r="D55" s="644">
        <v>2520000</v>
      </c>
      <c r="E55" s="719">
        <v>0</v>
      </c>
      <c r="F55" s="720"/>
      <c r="G55" s="1926">
        <v>4.4999999999999998E-2</v>
      </c>
      <c r="H55" s="1927">
        <v>4.4999999999999998E-2</v>
      </c>
      <c r="I55" s="1928">
        <v>4.4999999999999998E-2</v>
      </c>
      <c r="J55" s="832"/>
      <c r="K55" s="828">
        <f t="shared" si="33"/>
        <v>2633400</v>
      </c>
      <c r="L55" s="827"/>
      <c r="M55" s="1766"/>
      <c r="N55" s="1651"/>
      <c r="O55" s="1644">
        <f t="shared" si="29"/>
        <v>113400</v>
      </c>
      <c r="P55" s="1644">
        <f t="shared" si="30"/>
        <v>0</v>
      </c>
      <c r="Q55" s="1645">
        <f t="shared" si="31"/>
        <v>0</v>
      </c>
      <c r="S55" s="2872"/>
      <c r="T55" s="1824" t="str">
        <f t="shared" si="28"/>
        <v>Salón N° 1 Fechas especiales (0 -200 personas)</v>
      </c>
      <c r="U55" s="981"/>
      <c r="V55" s="842">
        <v>0</v>
      </c>
      <c r="W55" s="982"/>
      <c r="X55" s="983"/>
      <c r="Y55" s="1860">
        <f t="shared" si="32"/>
        <v>0</v>
      </c>
      <c r="AA55" s="1828"/>
    </row>
    <row r="56" spans="1:27" x14ac:dyDescent="0.35">
      <c r="A56" s="2869"/>
      <c r="B56" s="903" t="s">
        <v>366</v>
      </c>
      <c r="C56" s="643"/>
      <c r="D56" s="644">
        <v>157500</v>
      </c>
      <c r="E56" s="644">
        <v>173300</v>
      </c>
      <c r="F56" s="645">
        <v>196400</v>
      </c>
      <c r="G56" s="1926">
        <v>4.4999999999999998E-2</v>
      </c>
      <c r="H56" s="1927">
        <v>4.4999999999999998E-2</v>
      </c>
      <c r="I56" s="1928">
        <v>4.4999999999999998E-2</v>
      </c>
      <c r="J56" s="832"/>
      <c r="K56" s="828">
        <f>CEILING(D56*(1+G56),100)</f>
        <v>164600</v>
      </c>
      <c r="L56" s="828">
        <f t="shared" ref="L56:M56" si="35">CEILING(E56*(1+H56),100)</f>
        <v>181100</v>
      </c>
      <c r="M56" s="1767">
        <f t="shared" si="35"/>
        <v>205300</v>
      </c>
      <c r="N56" s="1651"/>
      <c r="O56" s="1644">
        <f t="shared" si="29"/>
        <v>7100</v>
      </c>
      <c r="P56" s="1644">
        <f t="shared" si="30"/>
        <v>7800</v>
      </c>
      <c r="Q56" s="1645">
        <f t="shared" si="31"/>
        <v>8900</v>
      </c>
      <c r="S56" s="2872"/>
      <c r="T56" s="1824" t="str">
        <f t="shared" si="28"/>
        <v>Terraza AM+PM</v>
      </c>
      <c r="U56" s="981"/>
      <c r="V56" s="842">
        <v>0</v>
      </c>
      <c r="W56" s="638"/>
      <c r="X56" s="639"/>
      <c r="Y56" s="1860">
        <f t="shared" si="32"/>
        <v>0</v>
      </c>
    </row>
    <row r="57" spans="1:27" x14ac:dyDescent="0.35">
      <c r="A57" s="2869"/>
      <c r="B57" s="904" t="s">
        <v>359</v>
      </c>
      <c r="C57" s="646"/>
      <c r="D57" s="647">
        <v>157500</v>
      </c>
      <c r="E57" s="647">
        <v>173300</v>
      </c>
      <c r="F57" s="648">
        <v>196400</v>
      </c>
      <c r="G57" s="1926">
        <v>4.4999999999999998E-2</v>
      </c>
      <c r="H57" s="1927">
        <v>4.4999999999999998E-2</v>
      </c>
      <c r="I57" s="1928">
        <v>4.4999999999999998E-2</v>
      </c>
      <c r="J57" s="833"/>
      <c r="K57" s="830">
        <f>CEILING(D57*(1+G57),100)</f>
        <v>164600</v>
      </c>
      <c r="L57" s="830">
        <f t="shared" ref="L57:M58" si="36">CEILING(E57*(1+H57),100)</f>
        <v>181100</v>
      </c>
      <c r="M57" s="1769">
        <f t="shared" si="36"/>
        <v>205300</v>
      </c>
      <c r="N57" s="1651"/>
      <c r="O57" s="1644">
        <f t="shared" si="29"/>
        <v>7100</v>
      </c>
      <c r="P57" s="1644">
        <f t="shared" si="30"/>
        <v>7800</v>
      </c>
      <c r="Q57" s="1645">
        <f t="shared" si="31"/>
        <v>8900</v>
      </c>
      <c r="S57" s="2872"/>
      <c r="T57" s="1824" t="str">
        <f t="shared" si="28"/>
        <v>Salón N° 2 Eventos AM</v>
      </c>
      <c r="U57" s="981"/>
      <c r="V57" s="842">
        <v>0</v>
      </c>
      <c r="W57" s="638"/>
      <c r="X57" s="639"/>
      <c r="Y57" s="1860">
        <f t="shared" si="32"/>
        <v>0</v>
      </c>
      <c r="AA57" t="s">
        <v>354</v>
      </c>
    </row>
    <row r="58" spans="1:27" x14ac:dyDescent="0.35">
      <c r="A58" s="2869"/>
      <c r="B58" s="904" t="s">
        <v>360</v>
      </c>
      <c r="C58" s="646"/>
      <c r="D58" s="647">
        <v>210000</v>
      </c>
      <c r="E58" s="647">
        <v>231000</v>
      </c>
      <c r="F58" s="648">
        <v>261800</v>
      </c>
      <c r="G58" s="1926">
        <v>4.4999999999999998E-2</v>
      </c>
      <c r="H58" s="1927">
        <v>4.4999999999999998E-2</v>
      </c>
      <c r="I58" s="1928">
        <v>4.4999999999999998E-2</v>
      </c>
      <c r="J58" s="833"/>
      <c r="K58" s="830">
        <f>CEILING(D58*(1+G58),100)</f>
        <v>219500</v>
      </c>
      <c r="L58" s="830">
        <f t="shared" si="36"/>
        <v>241400</v>
      </c>
      <c r="M58" s="1769">
        <f t="shared" si="36"/>
        <v>273600</v>
      </c>
      <c r="N58" s="1651"/>
      <c r="O58" s="1644">
        <f t="shared" si="29"/>
        <v>9500</v>
      </c>
      <c r="P58" s="1644">
        <f t="shared" si="30"/>
        <v>10400</v>
      </c>
      <c r="Q58" s="1645">
        <f t="shared" si="31"/>
        <v>11800</v>
      </c>
      <c r="S58" s="2872"/>
      <c r="T58" s="1824" t="str">
        <f t="shared" si="28"/>
        <v>Salón N° 2 Eventos PM</v>
      </c>
      <c r="U58" s="981"/>
      <c r="V58" s="842">
        <v>62</v>
      </c>
      <c r="W58" s="638"/>
      <c r="X58" s="639"/>
      <c r="Y58" s="1860">
        <f t="shared" si="32"/>
        <v>62</v>
      </c>
    </row>
    <row r="59" spans="1:27" x14ac:dyDescent="0.35">
      <c r="A59" s="2869"/>
      <c r="B59" s="904" t="s">
        <v>365</v>
      </c>
      <c r="C59" s="646"/>
      <c r="D59" s="647">
        <v>0</v>
      </c>
      <c r="E59" s="721"/>
      <c r="F59" s="722"/>
      <c r="G59" s="1926">
        <v>4.4999999999999998E-2</v>
      </c>
      <c r="H59" s="1927">
        <v>4.4999999999999998E-2</v>
      </c>
      <c r="I59" s="1928">
        <v>4.4999999999999998E-2</v>
      </c>
      <c r="J59" s="833"/>
      <c r="K59" s="830">
        <f t="shared" si="33"/>
        <v>0</v>
      </c>
      <c r="L59" s="829"/>
      <c r="M59" s="1768"/>
      <c r="N59" s="1651"/>
      <c r="O59" s="1644">
        <f t="shared" si="29"/>
        <v>0</v>
      </c>
      <c r="P59" s="1757"/>
      <c r="Q59" s="1758"/>
      <c r="S59" s="2872"/>
      <c r="T59" s="1824" t="str">
        <f t="shared" si="28"/>
        <v>Salón N° 2 Fechas Especiales</v>
      </c>
      <c r="U59" s="981"/>
      <c r="V59" s="842">
        <v>1</v>
      </c>
      <c r="W59" s="982"/>
      <c r="X59" s="983"/>
      <c r="Y59" s="1860">
        <f t="shared" si="32"/>
        <v>1</v>
      </c>
    </row>
    <row r="60" spans="1:27" x14ac:dyDescent="0.35">
      <c r="A60" s="2869"/>
      <c r="B60" s="905" t="s">
        <v>331</v>
      </c>
      <c r="C60" s="583"/>
      <c r="D60" s="543">
        <v>16100</v>
      </c>
      <c r="E60" s="543">
        <v>17700</v>
      </c>
      <c r="F60" s="544">
        <v>20100</v>
      </c>
      <c r="G60" s="1926">
        <v>4.4999999999999998E-2</v>
      </c>
      <c r="H60" s="1927">
        <v>4.4999999999999998E-2</v>
      </c>
      <c r="I60" s="1928">
        <v>4.4999999999999998E-2</v>
      </c>
      <c r="J60" s="773"/>
      <c r="K60" s="768">
        <f t="shared" ref="K60:K62" si="37">CEILING($D60*(1+$G60),100)</f>
        <v>16900</v>
      </c>
      <c r="L60" s="768">
        <f t="shared" si="17"/>
        <v>18500</v>
      </c>
      <c r="M60" s="1754">
        <f t="shared" si="18"/>
        <v>21100</v>
      </c>
      <c r="N60" s="1651"/>
      <c r="O60" s="1644">
        <f t="shared" si="29"/>
        <v>800</v>
      </c>
      <c r="P60" s="1644">
        <f t="shared" si="30"/>
        <v>800</v>
      </c>
      <c r="Q60" s="1645">
        <f t="shared" si="31"/>
        <v>1000</v>
      </c>
      <c r="S60" s="2872"/>
      <c r="T60" s="1824" t="str">
        <f t="shared" si="28"/>
        <v>Cancha Fútbol (L a V, diurno)</v>
      </c>
      <c r="U60" s="981"/>
      <c r="V60" s="842">
        <v>14</v>
      </c>
      <c r="W60" s="842"/>
      <c r="X60" s="639"/>
      <c r="Y60" s="1860">
        <f t="shared" si="32"/>
        <v>14</v>
      </c>
    </row>
    <row r="61" spans="1:27" x14ac:dyDescent="0.35">
      <c r="A61" s="2869"/>
      <c r="B61" s="905" t="s">
        <v>332</v>
      </c>
      <c r="C61" s="583"/>
      <c r="D61" s="543">
        <v>21500</v>
      </c>
      <c r="E61" s="543">
        <v>23600</v>
      </c>
      <c r="F61" s="544">
        <v>26800</v>
      </c>
      <c r="G61" s="1926">
        <v>4.4999999999999998E-2</v>
      </c>
      <c r="H61" s="1927">
        <v>4.4999999999999998E-2</v>
      </c>
      <c r="I61" s="1928">
        <v>4.4999999999999998E-2</v>
      </c>
      <c r="J61" s="773"/>
      <c r="K61" s="768">
        <f t="shared" si="37"/>
        <v>22500</v>
      </c>
      <c r="L61" s="768">
        <f t="shared" si="17"/>
        <v>24700</v>
      </c>
      <c r="M61" s="1754">
        <f t="shared" si="18"/>
        <v>28100</v>
      </c>
      <c r="N61" s="1651"/>
      <c r="O61" s="1644">
        <f t="shared" si="29"/>
        <v>1000</v>
      </c>
      <c r="P61" s="1644">
        <f t="shared" si="30"/>
        <v>1100</v>
      </c>
      <c r="Q61" s="1645">
        <f t="shared" si="31"/>
        <v>1300</v>
      </c>
      <c r="S61" s="2872"/>
      <c r="T61" s="1824" t="str">
        <f t="shared" si="28"/>
        <v>Cancha Fútbol (L a V, nocturno)</v>
      </c>
      <c r="U61" s="981"/>
      <c r="V61" s="842">
        <v>20</v>
      </c>
      <c r="W61" s="842"/>
      <c r="X61" s="639"/>
      <c r="Y61" s="1860">
        <f t="shared" si="32"/>
        <v>20</v>
      </c>
    </row>
    <row r="62" spans="1:27" ht="15" thickBot="1" x14ac:dyDescent="0.4">
      <c r="A62" s="2870"/>
      <c r="B62" s="905" t="s">
        <v>333</v>
      </c>
      <c r="C62" s="584"/>
      <c r="D62" s="506">
        <v>21500</v>
      </c>
      <c r="E62" s="506">
        <v>23600</v>
      </c>
      <c r="F62" s="507">
        <v>26800</v>
      </c>
      <c r="G62" s="1930">
        <v>4.4999999999999998E-2</v>
      </c>
      <c r="H62" s="1931">
        <v>4.4999999999999998E-2</v>
      </c>
      <c r="I62" s="1932">
        <v>4.4999999999999998E-2</v>
      </c>
      <c r="J62" s="584"/>
      <c r="K62" s="506">
        <f t="shared" si="37"/>
        <v>22500</v>
      </c>
      <c r="L62" s="506">
        <f t="shared" si="17"/>
        <v>24700</v>
      </c>
      <c r="M62" s="1756">
        <f t="shared" si="18"/>
        <v>28100</v>
      </c>
      <c r="N62" s="1664"/>
      <c r="O62" s="1653">
        <f t="shared" si="29"/>
        <v>1000</v>
      </c>
      <c r="P62" s="1653">
        <f t="shared" si="30"/>
        <v>1100</v>
      </c>
      <c r="Q62" s="1654">
        <f t="shared" si="31"/>
        <v>1300</v>
      </c>
      <c r="S62" s="2873"/>
      <c r="T62" s="1824" t="str">
        <f t="shared" si="28"/>
        <v>Cancha Fútbol (Fin de semana y festivos)</v>
      </c>
      <c r="U62" s="984"/>
      <c r="V62" s="509">
        <v>55</v>
      </c>
      <c r="W62" s="509"/>
      <c r="X62" s="510"/>
      <c r="Y62" s="1860">
        <f t="shared" si="32"/>
        <v>55</v>
      </c>
    </row>
    <row r="63" spans="1:27" x14ac:dyDescent="0.35">
      <c r="A63" s="2877" t="s">
        <v>75</v>
      </c>
      <c r="B63" s="887" t="s">
        <v>68</v>
      </c>
      <c r="C63" s="642"/>
      <c r="D63" s="636">
        <v>8100</v>
      </c>
      <c r="E63" s="636">
        <v>8900</v>
      </c>
      <c r="F63" s="637">
        <v>10100</v>
      </c>
      <c r="G63" s="1918">
        <v>4.4999999999999998E-2</v>
      </c>
      <c r="H63" s="1919">
        <v>4.4999999999999998E-2</v>
      </c>
      <c r="I63" s="1920">
        <v>4.4999999999999998E-2</v>
      </c>
      <c r="J63" s="825"/>
      <c r="K63" s="777">
        <f>CEILING($D63*(1+$G63),100)</f>
        <v>8500</v>
      </c>
      <c r="L63" s="777">
        <f>CEILING($E63*(1+$H63),100)</f>
        <v>9400</v>
      </c>
      <c r="M63" s="1770">
        <f>CEILING($F63*(1+$I63),100)</f>
        <v>10600</v>
      </c>
      <c r="N63" s="1663"/>
      <c r="O63" s="765">
        <f t="shared" si="29"/>
        <v>400</v>
      </c>
      <c r="P63" s="765">
        <f t="shared" si="30"/>
        <v>500</v>
      </c>
      <c r="Q63" s="766">
        <f t="shared" si="31"/>
        <v>500</v>
      </c>
      <c r="S63" s="2888" t="str">
        <f>+A63</f>
        <v>Piscina C.R. Las Salinas</v>
      </c>
      <c r="T63" s="1816" t="str">
        <f t="shared" si="28"/>
        <v>Piscina adulto</v>
      </c>
      <c r="U63" s="980"/>
      <c r="V63" s="840">
        <v>0</v>
      </c>
      <c r="W63" s="65"/>
      <c r="X63" s="66"/>
      <c r="Y63" s="1853">
        <f>SUM(U63:X63)</f>
        <v>0</v>
      </c>
    </row>
    <row r="64" spans="1:27" ht="15" thickBot="1" x14ac:dyDescent="0.4">
      <c r="A64" s="2878"/>
      <c r="B64" s="898" t="s">
        <v>69</v>
      </c>
      <c r="C64" s="1665"/>
      <c r="D64" s="1666">
        <v>4100</v>
      </c>
      <c r="E64" s="1666">
        <v>4600</v>
      </c>
      <c r="F64" s="1667">
        <v>5200</v>
      </c>
      <c r="G64" s="1926">
        <v>4.4999999999999998E-2</v>
      </c>
      <c r="H64" s="1927">
        <v>4.4999999999999998E-2</v>
      </c>
      <c r="I64" s="1928">
        <v>4.4999999999999998E-2</v>
      </c>
      <c r="J64" s="584"/>
      <c r="K64" s="506">
        <f>CEILING($D64*(1+$G64),100)</f>
        <v>4300</v>
      </c>
      <c r="L64" s="506">
        <f>CEILING($E64*(1+$H64),100)</f>
        <v>4900</v>
      </c>
      <c r="M64" s="1756">
        <f>CEILING($F64*(1+$I64),100)</f>
        <v>5500</v>
      </c>
      <c r="N64" s="1664"/>
      <c r="O64" s="1653">
        <f t="shared" si="29"/>
        <v>200</v>
      </c>
      <c r="P64" s="1653">
        <f t="shared" si="30"/>
        <v>300</v>
      </c>
      <c r="Q64" s="1654">
        <f t="shared" si="31"/>
        <v>300</v>
      </c>
      <c r="S64" s="2889"/>
      <c r="T64" s="1822" t="str">
        <f t="shared" si="28"/>
        <v>Piscina niño</v>
      </c>
      <c r="U64" s="974"/>
      <c r="V64" s="509">
        <v>0</v>
      </c>
      <c r="W64" s="74"/>
      <c r="X64" s="75"/>
      <c r="Y64" s="1857">
        <f>SUM(U64:X64)</f>
        <v>0</v>
      </c>
    </row>
    <row r="65" spans="1:25" x14ac:dyDescent="0.35">
      <c r="A65" s="2877" t="s">
        <v>76</v>
      </c>
      <c r="B65" s="887" t="s">
        <v>77</v>
      </c>
      <c r="C65" s="1794">
        <v>25000</v>
      </c>
      <c r="D65" s="515">
        <v>38400</v>
      </c>
      <c r="E65" s="515">
        <v>42200</v>
      </c>
      <c r="F65" s="505">
        <v>47800</v>
      </c>
      <c r="G65" s="1926">
        <v>4.4999999999999998E-2</v>
      </c>
      <c r="H65" s="1927">
        <v>4.4999999999999998E-2</v>
      </c>
      <c r="I65" s="1928">
        <v>4.4999999999999998E-2</v>
      </c>
      <c r="J65" s="1794">
        <f>IF(OR(C65=0,C65=""),0,CEILING(K65*0.65,100))</f>
        <v>26200</v>
      </c>
      <c r="K65" s="515">
        <f t="shared" si="16"/>
        <v>40200</v>
      </c>
      <c r="L65" s="515">
        <f t="shared" si="17"/>
        <v>44100</v>
      </c>
      <c r="M65" s="505">
        <f t="shared" si="18"/>
        <v>50000</v>
      </c>
      <c r="N65" s="764">
        <f t="shared" si="29"/>
        <v>1200</v>
      </c>
      <c r="O65" s="765">
        <f t="shared" si="29"/>
        <v>1800</v>
      </c>
      <c r="P65" s="765">
        <f t="shared" si="30"/>
        <v>1900</v>
      </c>
      <c r="Q65" s="766">
        <f t="shared" si="31"/>
        <v>2200</v>
      </c>
      <c r="S65" s="2861" t="str">
        <f>+A65</f>
        <v>C. R. Ralunco</v>
      </c>
      <c r="T65" s="1816" t="str">
        <f t="shared" si="28"/>
        <v>Camping ( 5p antiguo)</v>
      </c>
      <c r="U65" s="839">
        <v>251</v>
      </c>
      <c r="V65" s="840">
        <v>44</v>
      </c>
      <c r="W65" s="840">
        <v>215</v>
      </c>
      <c r="X65" s="1971">
        <v>71</v>
      </c>
      <c r="Y65" s="1861">
        <f>SUM(U65:X65)</f>
        <v>581</v>
      </c>
    </row>
    <row r="66" spans="1:25" x14ac:dyDescent="0.35">
      <c r="A66" s="2882"/>
      <c r="B66" s="905" t="s">
        <v>78</v>
      </c>
      <c r="C66" s="1789">
        <v>28300</v>
      </c>
      <c r="D66" s="1787">
        <v>43400</v>
      </c>
      <c r="E66" s="1787">
        <v>47800</v>
      </c>
      <c r="F66" s="1788">
        <v>54100</v>
      </c>
      <c r="G66" s="1926">
        <v>4.4999999999999998E-2</v>
      </c>
      <c r="H66" s="1927">
        <v>4.4999999999999998E-2</v>
      </c>
      <c r="I66" s="1928">
        <v>4.4999999999999998E-2</v>
      </c>
      <c r="J66" s="1789">
        <f t="shared" si="15"/>
        <v>29600</v>
      </c>
      <c r="K66" s="1787">
        <f t="shared" si="16"/>
        <v>45400</v>
      </c>
      <c r="L66" s="1787">
        <f t="shared" si="17"/>
        <v>50000</v>
      </c>
      <c r="M66" s="1788">
        <f t="shared" si="18"/>
        <v>56600</v>
      </c>
      <c r="N66" s="1643">
        <f t="shared" si="29"/>
        <v>1300</v>
      </c>
      <c r="O66" s="1644">
        <f t="shared" si="29"/>
        <v>2000</v>
      </c>
      <c r="P66" s="1644">
        <f t="shared" si="30"/>
        <v>2200</v>
      </c>
      <c r="Q66" s="1645">
        <f t="shared" si="31"/>
        <v>2500</v>
      </c>
      <c r="S66" s="2862"/>
      <c r="T66" s="1824" t="str">
        <f t="shared" si="28"/>
        <v>Camping (5 p nuevo)</v>
      </c>
      <c r="U66" s="1969">
        <v>819</v>
      </c>
      <c r="V66" s="1966">
        <v>110</v>
      </c>
      <c r="W66" s="1966">
        <v>243</v>
      </c>
      <c r="X66" s="1972">
        <v>83</v>
      </c>
      <c r="Y66" s="1862">
        <f t="shared" ref="Y66:Y70" si="38">SUM(U66:X66)</f>
        <v>1255</v>
      </c>
    </row>
    <row r="67" spans="1:25" x14ac:dyDescent="0.35">
      <c r="A67" s="2882"/>
      <c r="B67" s="905" t="s">
        <v>55</v>
      </c>
      <c r="C67" s="1790"/>
      <c r="D67" s="1791">
        <v>14600</v>
      </c>
      <c r="E67" s="1791">
        <v>16100</v>
      </c>
      <c r="F67" s="1792">
        <v>18200</v>
      </c>
      <c r="G67" s="1926">
        <v>4.4999999999999998E-2</v>
      </c>
      <c r="H67" s="1927">
        <v>4.4999999999999998E-2</v>
      </c>
      <c r="I67" s="1928">
        <v>4.4999999999999998E-2</v>
      </c>
      <c r="J67" s="1790"/>
      <c r="K67" s="1791">
        <f t="shared" si="16"/>
        <v>15300</v>
      </c>
      <c r="L67" s="1791">
        <f t="shared" si="17"/>
        <v>16900</v>
      </c>
      <c r="M67" s="1792">
        <f t="shared" si="18"/>
        <v>19100</v>
      </c>
      <c r="N67" s="1643">
        <f t="shared" si="29"/>
        <v>0</v>
      </c>
      <c r="O67" s="1644">
        <f t="shared" si="29"/>
        <v>700</v>
      </c>
      <c r="P67" s="1644">
        <f t="shared" si="30"/>
        <v>800</v>
      </c>
      <c r="Q67" s="1645">
        <f t="shared" si="31"/>
        <v>900</v>
      </c>
      <c r="S67" s="2862"/>
      <c r="T67" s="1824" t="str">
        <f t="shared" si="28"/>
        <v>Camping (P/Adicional)</v>
      </c>
      <c r="U67" s="1969"/>
      <c r="V67" s="1966"/>
      <c r="W67" s="1966"/>
      <c r="X67" s="1972"/>
      <c r="Y67" s="1862">
        <f t="shared" si="38"/>
        <v>0</v>
      </c>
    </row>
    <row r="68" spans="1:25" x14ac:dyDescent="0.35">
      <c r="A68" s="2882"/>
      <c r="B68" s="905" t="s">
        <v>373</v>
      </c>
      <c r="C68" s="1786">
        <v>52200</v>
      </c>
      <c r="D68" s="1787">
        <v>80300</v>
      </c>
      <c r="E68" s="1787">
        <v>88300</v>
      </c>
      <c r="F68" s="1788">
        <v>100100</v>
      </c>
      <c r="G68" s="1926">
        <v>4.4999999999999998E-2</v>
      </c>
      <c r="H68" s="1927">
        <v>4.4999999999999998E-2</v>
      </c>
      <c r="I68" s="1928">
        <v>4.4999999999999998E-2</v>
      </c>
      <c r="J68" s="1786">
        <f>IF(OR(C68=0,C68=""),0,CEILING(K68*0.65,100))</f>
        <v>54600</v>
      </c>
      <c r="K68" s="1787">
        <f>CEILING($D68*(1+$G68),100)</f>
        <v>84000</v>
      </c>
      <c r="L68" s="1787">
        <f>CEILING($E68*(1+$H68),100)</f>
        <v>92300</v>
      </c>
      <c r="M68" s="1788">
        <f>CEILING($F68*(1+$I68),100)</f>
        <v>104700</v>
      </c>
      <c r="N68" s="1643">
        <f t="shared" si="29"/>
        <v>2400</v>
      </c>
      <c r="O68" s="1644">
        <f t="shared" si="29"/>
        <v>3700</v>
      </c>
      <c r="P68" s="1644">
        <f t="shared" si="30"/>
        <v>4000</v>
      </c>
      <c r="Q68" s="1645">
        <f t="shared" si="31"/>
        <v>4600</v>
      </c>
      <c r="S68" s="2862"/>
      <c r="T68" s="1824" t="str">
        <f t="shared" ref="T68:T95" si="39">+B68</f>
        <v>Cabaña</v>
      </c>
      <c r="U68" s="1969">
        <v>655</v>
      </c>
      <c r="V68" s="1966">
        <v>17</v>
      </c>
      <c r="W68" s="1966">
        <v>70</v>
      </c>
      <c r="X68" s="1967">
        <v>27</v>
      </c>
      <c r="Y68" s="1862">
        <f>SUM(U68:X68)</f>
        <v>769</v>
      </c>
    </row>
    <row r="69" spans="1:25" x14ac:dyDescent="0.35">
      <c r="A69" s="2882"/>
      <c r="B69" s="1863" t="s">
        <v>46</v>
      </c>
      <c r="C69" s="1790"/>
      <c r="D69" s="1793"/>
      <c r="E69" s="1793"/>
      <c r="F69" s="1795"/>
      <c r="G69" s="1936"/>
      <c r="H69" s="1937"/>
      <c r="I69" s="1938"/>
      <c r="J69" s="1790"/>
      <c r="K69" s="1793"/>
      <c r="L69" s="1793"/>
      <c r="M69" s="1795"/>
      <c r="N69" s="1650"/>
      <c r="O69" s="1757"/>
      <c r="P69" s="1757"/>
      <c r="Q69" s="1758"/>
      <c r="S69" s="2862"/>
      <c r="T69" s="1864" t="str">
        <f t="shared" si="39"/>
        <v>Uso por tránsito/ Early check-in/Late check-out</v>
      </c>
      <c r="U69" s="975"/>
      <c r="V69" s="985"/>
      <c r="W69" s="985"/>
      <c r="X69" s="986"/>
      <c r="Y69" s="987"/>
    </row>
    <row r="70" spans="1:25" ht="15" thickBot="1" x14ac:dyDescent="0.4">
      <c r="A70" s="2878"/>
      <c r="B70" s="892" t="s">
        <v>373</v>
      </c>
      <c r="C70" s="1662"/>
      <c r="D70" s="1653">
        <f>CEILING(D68*0.3,100)</f>
        <v>24100</v>
      </c>
      <c r="E70" s="1653">
        <f>CEILING(E68*0.3,100)</f>
        <v>26500</v>
      </c>
      <c r="F70" s="1654">
        <v>30100</v>
      </c>
      <c r="G70" s="1930">
        <v>4.4999999999999998E-2</v>
      </c>
      <c r="H70" s="1931">
        <v>4.4999999999999998E-2</v>
      </c>
      <c r="I70" s="1932">
        <v>4.4999999999999998E-2</v>
      </c>
      <c r="J70" s="1662"/>
      <c r="K70" s="1653">
        <f>CEILING(K68*0.3,100)</f>
        <v>25200</v>
      </c>
      <c r="L70" s="1653">
        <f>CEILING(L68*0.3,100)</f>
        <v>27700</v>
      </c>
      <c r="M70" s="1654">
        <f>CEILING(M68*0.3,100)</f>
        <v>31500</v>
      </c>
      <c r="N70" s="1662"/>
      <c r="O70" s="1653">
        <f t="shared" si="29"/>
        <v>1100</v>
      </c>
      <c r="P70" s="1653">
        <f t="shared" si="30"/>
        <v>1200</v>
      </c>
      <c r="Q70" s="1654">
        <f t="shared" si="31"/>
        <v>1400</v>
      </c>
      <c r="S70" s="2876"/>
      <c r="T70" s="1823" t="str">
        <f t="shared" si="39"/>
        <v>Cabaña</v>
      </c>
      <c r="U70" s="988"/>
      <c r="V70" s="79"/>
      <c r="W70" s="79"/>
      <c r="X70" s="501"/>
      <c r="Y70" s="1865">
        <f t="shared" si="38"/>
        <v>0</v>
      </c>
    </row>
    <row r="71" spans="1:25" x14ac:dyDescent="0.35">
      <c r="A71" s="2877" t="s">
        <v>79</v>
      </c>
      <c r="B71" s="908" t="s">
        <v>68</v>
      </c>
      <c r="C71" s="1772"/>
      <c r="D71" s="1872"/>
      <c r="E71" s="1872"/>
      <c r="F71" s="1873"/>
      <c r="G71" s="1933"/>
      <c r="H71" s="1934"/>
      <c r="I71" s="1935"/>
      <c r="J71" s="93"/>
      <c r="K71" s="1876"/>
      <c r="L71" s="1876"/>
      <c r="M71" s="1877"/>
      <c r="N71" s="1688"/>
      <c r="O71" s="1879"/>
      <c r="P71" s="1879"/>
      <c r="Q71" s="1880"/>
      <c r="S71" s="2885" t="str">
        <f>+A71</f>
        <v>Piscina C.R. Ralunco</v>
      </c>
      <c r="T71" s="1816" t="str">
        <f t="shared" si="39"/>
        <v>Piscina adulto</v>
      </c>
      <c r="U71" s="989"/>
      <c r="V71" s="990"/>
      <c r="W71" s="990"/>
      <c r="X71" s="991"/>
      <c r="Y71" s="1853">
        <f>SUM(U71:X71)</f>
        <v>0</v>
      </c>
    </row>
    <row r="72" spans="1:25" ht="15" thickBot="1" x14ac:dyDescent="0.4">
      <c r="A72" s="2878"/>
      <c r="B72" s="909" t="s">
        <v>69</v>
      </c>
      <c r="C72" s="92"/>
      <c r="D72" s="1874"/>
      <c r="E72" s="1874"/>
      <c r="F72" s="1875"/>
      <c r="G72" s="1893"/>
      <c r="H72" s="1894"/>
      <c r="I72" s="1895"/>
      <c r="J72" s="92"/>
      <c r="K72" s="1874"/>
      <c r="L72" s="1874"/>
      <c r="M72" s="1878"/>
      <c r="N72" s="1662"/>
      <c r="O72" s="1881"/>
      <c r="P72" s="1881"/>
      <c r="Q72" s="1882"/>
      <c r="S72" s="2887"/>
      <c r="T72" s="1822" t="str">
        <f t="shared" si="39"/>
        <v>Piscina niño</v>
      </c>
      <c r="U72" s="992"/>
      <c r="V72" s="993"/>
      <c r="W72" s="993"/>
      <c r="X72" s="994"/>
      <c r="Y72" s="1857">
        <f>SUM(U72:X72)</f>
        <v>0</v>
      </c>
    </row>
    <row r="73" spans="1:25" x14ac:dyDescent="0.35">
      <c r="A73" s="2877" t="s">
        <v>80</v>
      </c>
      <c r="B73" s="887" t="s">
        <v>43</v>
      </c>
      <c r="C73" s="62">
        <v>25900</v>
      </c>
      <c r="D73" s="63">
        <v>39700</v>
      </c>
      <c r="E73" s="63">
        <v>43700</v>
      </c>
      <c r="F73" s="64">
        <v>49500</v>
      </c>
      <c r="G73" s="1918">
        <v>4.4999999999999998E-2</v>
      </c>
      <c r="H73" s="1919">
        <v>4.4999999999999998E-2</v>
      </c>
      <c r="I73" s="1920">
        <v>4.4999999999999998E-2</v>
      </c>
      <c r="J73" s="62">
        <f>IF(OR(C73=0,C73=""),0,CEILING(K73*0.65,100))</f>
        <v>27000</v>
      </c>
      <c r="K73" s="63">
        <f>CEILING($D73*(1+$G73),100)</f>
        <v>41500</v>
      </c>
      <c r="L73" s="63">
        <f t="shared" ref="L73:L88" si="40">CEILING($E73*(1+$H73),100)</f>
        <v>45700</v>
      </c>
      <c r="M73" s="1753">
        <f t="shared" ref="M73:M88" si="41">CEILING($F73*(1+$I73),100)</f>
        <v>51800</v>
      </c>
      <c r="N73" s="764">
        <f t="shared" si="29"/>
        <v>1100</v>
      </c>
      <c r="O73" s="765">
        <f t="shared" si="29"/>
        <v>1800</v>
      </c>
      <c r="P73" s="765">
        <f t="shared" si="30"/>
        <v>2000</v>
      </c>
      <c r="Q73" s="766">
        <f t="shared" si="31"/>
        <v>2300</v>
      </c>
      <c r="S73" s="2888" t="str">
        <f>+A73</f>
        <v>C. H. Las Salinas</v>
      </c>
      <c r="T73" s="1816" t="str">
        <f t="shared" si="39"/>
        <v>Simple</v>
      </c>
      <c r="U73" s="839">
        <v>821</v>
      </c>
      <c r="V73" s="840">
        <v>233</v>
      </c>
      <c r="W73" s="840">
        <v>17</v>
      </c>
      <c r="X73" s="841">
        <v>0</v>
      </c>
      <c r="Y73" s="1853">
        <f>SUM(U73:X73)</f>
        <v>1071</v>
      </c>
    </row>
    <row r="74" spans="1:25" x14ac:dyDescent="0.35">
      <c r="A74" s="2882"/>
      <c r="B74" s="905" t="s">
        <v>45</v>
      </c>
      <c r="C74" s="67">
        <v>33200</v>
      </c>
      <c r="D74" s="83">
        <v>51000</v>
      </c>
      <c r="E74" s="83">
        <v>56100</v>
      </c>
      <c r="F74" s="84">
        <v>63500</v>
      </c>
      <c r="G74" s="1926">
        <v>4.4999999999999998E-2</v>
      </c>
      <c r="H74" s="1927">
        <v>4.4999999999999998E-2</v>
      </c>
      <c r="I74" s="1928">
        <v>4.4999999999999998E-2</v>
      </c>
      <c r="J74" s="67">
        <f t="shared" ref="J74:J82" si="42">IF(OR(C74=0,C74=""),0,CEILING(K74*0.65,100))</f>
        <v>34700</v>
      </c>
      <c r="K74" s="83">
        <f>CEILING($D74*(1+$G74),100)</f>
        <v>53300</v>
      </c>
      <c r="L74" s="83">
        <f>CEILING($E74*(1+$H74),100)</f>
        <v>58700</v>
      </c>
      <c r="M74" s="1754">
        <f t="shared" si="41"/>
        <v>66400</v>
      </c>
      <c r="N74" s="1643">
        <f>+J74-C74</f>
        <v>1500</v>
      </c>
      <c r="O74" s="1644">
        <f t="shared" si="29"/>
        <v>2300</v>
      </c>
      <c r="P74" s="1644">
        <f t="shared" si="30"/>
        <v>2600</v>
      </c>
      <c r="Q74" s="1645">
        <f>+M74-F74</f>
        <v>2900</v>
      </c>
      <c r="S74" s="2891"/>
      <c r="T74" s="1824" t="str">
        <f t="shared" si="39"/>
        <v>Matrimonial o Doble</v>
      </c>
      <c r="U74" s="1969">
        <v>1245</v>
      </c>
      <c r="V74" s="1966">
        <v>671</v>
      </c>
      <c r="W74" s="1966">
        <v>27</v>
      </c>
      <c r="X74" s="1967">
        <v>17</v>
      </c>
      <c r="Y74" s="1860">
        <f>SUM(U74:X74)</f>
        <v>1960</v>
      </c>
    </row>
    <row r="75" spans="1:25" x14ac:dyDescent="0.35">
      <c r="A75" s="2890"/>
      <c r="B75" s="910" t="s">
        <v>369</v>
      </c>
      <c r="C75" s="696"/>
      <c r="D75" s="699">
        <v>6800</v>
      </c>
      <c r="E75" s="697"/>
      <c r="F75" s="698"/>
      <c r="G75" s="1939">
        <v>4.4999999999999998E-2</v>
      </c>
      <c r="H75" s="1896"/>
      <c r="I75" s="1897"/>
      <c r="J75" s="70"/>
      <c r="K75" s="83">
        <f t="shared" ref="K75:K76" si="43">CEILING($D75*(1+$G75),100)</f>
        <v>7200</v>
      </c>
      <c r="L75" s="90"/>
      <c r="M75" s="1755"/>
      <c r="N75" s="1651"/>
      <c r="O75" s="1644">
        <f t="shared" si="29"/>
        <v>400</v>
      </c>
      <c r="P75" s="1757"/>
      <c r="Q75" s="1758"/>
      <c r="S75" s="2892"/>
      <c r="T75" s="1830" t="str">
        <f t="shared" si="39"/>
        <v>Simple (BLANCA ESTELA)</v>
      </c>
      <c r="U75" s="708"/>
      <c r="V75" s="1973">
        <v>122</v>
      </c>
      <c r="W75" s="709"/>
      <c r="X75" s="710"/>
      <c r="Y75" s="1860">
        <f t="shared" ref="Y75:Y76" si="44">SUM(U75:X75)</f>
        <v>122</v>
      </c>
    </row>
    <row r="76" spans="1:25" x14ac:dyDescent="0.35">
      <c r="A76" s="2890"/>
      <c r="B76" s="910" t="s">
        <v>370</v>
      </c>
      <c r="C76" s="696"/>
      <c r="D76" s="699">
        <v>13500</v>
      </c>
      <c r="E76" s="697"/>
      <c r="F76" s="698"/>
      <c r="G76" s="1939">
        <v>4.4999999999999998E-2</v>
      </c>
      <c r="H76" s="1896"/>
      <c r="I76" s="1897"/>
      <c r="J76" s="70"/>
      <c r="K76" s="83">
        <f t="shared" si="43"/>
        <v>14200</v>
      </c>
      <c r="L76" s="90"/>
      <c r="M76" s="1755"/>
      <c r="N76" s="1651"/>
      <c r="O76" s="1644">
        <f t="shared" si="29"/>
        <v>700</v>
      </c>
      <c r="P76" s="1757"/>
      <c r="Q76" s="1758"/>
      <c r="S76" s="2892"/>
      <c r="T76" s="1830" t="str">
        <f t="shared" si="39"/>
        <v>Matrimonial o Doble (BLANCA ESTELA)</v>
      </c>
      <c r="U76" s="708"/>
      <c r="V76" s="1973">
        <v>230</v>
      </c>
      <c r="W76" s="709"/>
      <c r="X76" s="710"/>
      <c r="Y76" s="1860">
        <f t="shared" si="44"/>
        <v>230</v>
      </c>
    </row>
    <row r="77" spans="1:25" x14ac:dyDescent="0.35">
      <c r="A77" s="2882"/>
      <c r="B77" s="1863" t="s">
        <v>46</v>
      </c>
      <c r="C77" s="69"/>
      <c r="D77" s="88"/>
      <c r="E77" s="88"/>
      <c r="F77" s="89"/>
      <c r="G77" s="1898"/>
      <c r="H77" s="1899"/>
      <c r="I77" s="1900"/>
      <c r="J77" s="69"/>
      <c r="K77" s="90"/>
      <c r="L77" s="90"/>
      <c r="M77" s="1755"/>
      <c r="N77" s="1650"/>
      <c r="O77" s="1644">
        <f t="shared" si="29"/>
        <v>0</v>
      </c>
      <c r="P77" s="1757"/>
      <c r="Q77" s="1758"/>
      <c r="S77" s="2891"/>
      <c r="T77" s="1864" t="str">
        <f t="shared" si="39"/>
        <v>Uso por tránsito/ Early check-in/Late check-out</v>
      </c>
      <c r="U77" s="975"/>
      <c r="V77" s="985"/>
      <c r="W77" s="985"/>
      <c r="X77" s="995"/>
      <c r="Y77" s="996"/>
    </row>
    <row r="78" spans="1:25" x14ac:dyDescent="0.35">
      <c r="A78" s="2882"/>
      <c r="B78" s="907" t="s">
        <v>43</v>
      </c>
      <c r="C78" s="69"/>
      <c r="D78" s="83">
        <v>12000</v>
      </c>
      <c r="E78" s="83">
        <v>13200</v>
      </c>
      <c r="F78" s="84">
        <v>14900</v>
      </c>
      <c r="G78" s="1898"/>
      <c r="H78" s="1899"/>
      <c r="I78" s="1900"/>
      <c r="J78" s="69"/>
      <c r="K78" s="83">
        <f t="shared" ref="K78:M79" si="45">CEILING(K73*0.3,100)</f>
        <v>12500</v>
      </c>
      <c r="L78" s="83">
        <f t="shared" si="45"/>
        <v>13800</v>
      </c>
      <c r="M78" s="1754">
        <f t="shared" si="45"/>
        <v>15600</v>
      </c>
      <c r="N78" s="1650"/>
      <c r="O78" s="1644">
        <f t="shared" si="29"/>
        <v>500</v>
      </c>
      <c r="P78" s="1644">
        <f t="shared" si="30"/>
        <v>600</v>
      </c>
      <c r="Q78" s="1645">
        <f>+M78-F78</f>
        <v>700</v>
      </c>
      <c r="S78" s="2891"/>
      <c r="T78" s="1824" t="str">
        <f t="shared" si="39"/>
        <v>Simple</v>
      </c>
      <c r="U78" s="975"/>
      <c r="V78" s="1966">
        <v>55</v>
      </c>
      <c r="W78" s="1966">
        <v>4</v>
      </c>
      <c r="X78" s="1967">
        <v>0</v>
      </c>
      <c r="Y78" s="1860">
        <f>SUM(U78:X78)</f>
        <v>59</v>
      </c>
    </row>
    <row r="79" spans="1:25" ht="15" thickBot="1" x14ac:dyDescent="0.4">
      <c r="A79" s="2882"/>
      <c r="B79" s="907" t="s">
        <v>45</v>
      </c>
      <c r="C79" s="69"/>
      <c r="D79" s="83">
        <v>15300</v>
      </c>
      <c r="E79" s="83">
        <v>16900</v>
      </c>
      <c r="F79" s="84">
        <v>19100</v>
      </c>
      <c r="G79" s="1898"/>
      <c r="H79" s="1899"/>
      <c r="I79" s="1900"/>
      <c r="J79" s="69"/>
      <c r="K79" s="83">
        <f t="shared" si="45"/>
        <v>16000</v>
      </c>
      <c r="L79" s="83">
        <f t="shared" si="45"/>
        <v>17700</v>
      </c>
      <c r="M79" s="1754">
        <f t="shared" si="45"/>
        <v>20000</v>
      </c>
      <c r="N79" s="1662"/>
      <c r="O79" s="1653">
        <f t="shared" si="29"/>
        <v>700</v>
      </c>
      <c r="P79" s="1653">
        <f t="shared" si="30"/>
        <v>800</v>
      </c>
      <c r="Q79" s="1654">
        <f t="shared" si="31"/>
        <v>900</v>
      </c>
      <c r="S79" s="2891"/>
      <c r="T79" s="1824" t="str">
        <f t="shared" si="39"/>
        <v>Matrimonial o Doble</v>
      </c>
      <c r="U79" s="975"/>
      <c r="V79" s="1966">
        <v>75</v>
      </c>
      <c r="W79" s="1966">
        <v>17</v>
      </c>
      <c r="X79" s="1967">
        <v>0</v>
      </c>
      <c r="Y79" s="1860">
        <f>SUM(U79:X79)</f>
        <v>92</v>
      </c>
    </row>
    <row r="80" spans="1:25" x14ac:dyDescent="0.35">
      <c r="A80" s="2877" t="s">
        <v>81</v>
      </c>
      <c r="B80" s="887" t="s">
        <v>51</v>
      </c>
      <c r="C80" s="62">
        <v>58700</v>
      </c>
      <c r="D80" s="63">
        <v>90300</v>
      </c>
      <c r="E80" s="63">
        <v>99400</v>
      </c>
      <c r="F80" s="64">
        <v>112600</v>
      </c>
      <c r="G80" s="1918">
        <v>4.4999999999999998E-2</v>
      </c>
      <c r="H80" s="1919">
        <v>4.4999999999999998E-2</v>
      </c>
      <c r="I80" s="1920">
        <v>4.4999999999999998E-2</v>
      </c>
      <c r="J80" s="62">
        <f>IF(OR(C80=0,C80=""),0,CEILING(K80*0.65,100))</f>
        <v>61400</v>
      </c>
      <c r="K80" s="63">
        <f>CEILING($D80*(1+$G80),100)</f>
        <v>94400</v>
      </c>
      <c r="L80" s="63">
        <f t="shared" si="40"/>
        <v>103900</v>
      </c>
      <c r="M80" s="64">
        <f t="shared" si="41"/>
        <v>117700</v>
      </c>
      <c r="N80" s="62">
        <f>+J80-C80</f>
        <v>2700</v>
      </c>
      <c r="O80" s="63">
        <f>K80-D80</f>
        <v>4100</v>
      </c>
      <c r="P80" s="63">
        <f>+L80-E80</f>
        <v>4500</v>
      </c>
      <c r="Q80" s="64">
        <f>M80-F80</f>
        <v>5100</v>
      </c>
      <c r="S80" s="2861" t="str">
        <f>+A80</f>
        <v>Cabanas Papudo</v>
      </c>
      <c r="T80" s="1816" t="str">
        <f t="shared" si="39"/>
        <v>Cabaña Chica</v>
      </c>
      <c r="U80" s="839">
        <v>290</v>
      </c>
      <c r="V80" s="840">
        <v>13</v>
      </c>
      <c r="W80" s="65"/>
      <c r="X80" s="66"/>
      <c r="Y80" s="1853">
        <f>SUM(U80:X80)</f>
        <v>303</v>
      </c>
    </row>
    <row r="81" spans="1:25" x14ac:dyDescent="0.35">
      <c r="A81" s="2882"/>
      <c r="B81" s="905" t="s">
        <v>52</v>
      </c>
      <c r="C81" s="67">
        <v>64700</v>
      </c>
      <c r="D81" s="83">
        <v>99500</v>
      </c>
      <c r="E81" s="83">
        <v>109400</v>
      </c>
      <c r="F81" s="84">
        <v>124000</v>
      </c>
      <c r="G81" s="1926">
        <v>4.4999999999999998E-2</v>
      </c>
      <c r="H81" s="1927">
        <v>4.4999999999999998E-2</v>
      </c>
      <c r="I81" s="1928">
        <v>4.4999999999999998E-2</v>
      </c>
      <c r="J81" s="67">
        <f t="shared" si="42"/>
        <v>67600</v>
      </c>
      <c r="K81" s="83">
        <f t="shared" ref="K81:K87" si="46">CEILING($D81*(1+$G81),100)</f>
        <v>104000</v>
      </c>
      <c r="L81" s="83">
        <f t="shared" si="40"/>
        <v>114400</v>
      </c>
      <c r="M81" s="84">
        <f t="shared" si="41"/>
        <v>129600</v>
      </c>
      <c r="N81" s="67">
        <f>+J81-C81</f>
        <v>2900</v>
      </c>
      <c r="O81" s="83">
        <f>K81-D81</f>
        <v>4500</v>
      </c>
      <c r="P81" s="83">
        <f>+L81-E81</f>
        <v>5000</v>
      </c>
      <c r="Q81" s="84">
        <f>M81-F81</f>
        <v>5600</v>
      </c>
      <c r="S81" s="2862"/>
      <c r="T81" s="1824" t="str">
        <f t="shared" si="39"/>
        <v>Cabaña Grande</v>
      </c>
      <c r="U81" s="1969">
        <v>486</v>
      </c>
      <c r="V81" s="1966">
        <v>51</v>
      </c>
      <c r="W81" s="1966">
        <v>20</v>
      </c>
      <c r="X81" s="87"/>
      <c r="Y81" s="1860">
        <f t="shared" ref="Y81:Y87" si="47">SUM(U81:X81)</f>
        <v>557</v>
      </c>
    </row>
    <row r="82" spans="1:25" x14ac:dyDescent="0.35">
      <c r="A82" s="2882"/>
      <c r="B82" s="905" t="s">
        <v>82</v>
      </c>
      <c r="C82" s="67">
        <v>66700</v>
      </c>
      <c r="D82" s="83">
        <v>102600</v>
      </c>
      <c r="E82" s="88">
        <v>0</v>
      </c>
      <c r="F82" s="89">
        <v>0</v>
      </c>
      <c r="G82" s="1926">
        <v>4.4999999999999998E-2</v>
      </c>
      <c r="H82" s="1927">
        <v>4.4999999999999998E-2</v>
      </c>
      <c r="I82" s="1928">
        <v>4.4999999999999998E-2</v>
      </c>
      <c r="J82" s="67">
        <f t="shared" si="42"/>
        <v>69800</v>
      </c>
      <c r="K82" s="83">
        <f t="shared" si="46"/>
        <v>107300</v>
      </c>
      <c r="L82" s="88"/>
      <c r="M82" s="89"/>
      <c r="N82" s="67">
        <f>+J82-C82</f>
        <v>3100</v>
      </c>
      <c r="O82" s="83">
        <f>K82-D82</f>
        <v>4700</v>
      </c>
      <c r="P82" s="88"/>
      <c r="Q82" s="89"/>
      <c r="S82" s="2862"/>
      <c r="T82" s="1824" t="str">
        <f t="shared" si="39"/>
        <v>Cabaña Superior</v>
      </c>
      <c r="U82" s="1969">
        <v>84</v>
      </c>
      <c r="V82" s="1966">
        <v>0</v>
      </c>
      <c r="W82" s="985"/>
      <c r="X82" s="995"/>
      <c r="Y82" s="1860">
        <f t="shared" si="47"/>
        <v>84</v>
      </c>
    </row>
    <row r="83" spans="1:25" x14ac:dyDescent="0.35">
      <c r="A83" s="2882"/>
      <c r="B83" s="1863" t="s">
        <v>46</v>
      </c>
      <c r="C83" s="69"/>
      <c r="D83" s="88"/>
      <c r="E83" s="88"/>
      <c r="F83" s="89"/>
      <c r="G83" s="1901"/>
      <c r="H83" s="1902"/>
      <c r="I83" s="1903"/>
      <c r="J83" s="69"/>
      <c r="K83" s="90"/>
      <c r="L83" s="90"/>
      <c r="M83" s="91"/>
      <c r="N83" s="69"/>
      <c r="O83" s="90"/>
      <c r="P83" s="90"/>
      <c r="Q83" s="91"/>
      <c r="S83" s="2862"/>
      <c r="T83" s="1864" t="str">
        <f t="shared" si="39"/>
        <v>Uso por tránsito/ Early check-in/Late check-out</v>
      </c>
      <c r="U83" s="975"/>
      <c r="V83" s="985"/>
      <c r="W83" s="985"/>
      <c r="X83" s="995"/>
      <c r="Y83" s="996"/>
    </row>
    <row r="84" spans="1:25" x14ac:dyDescent="0.35">
      <c r="A84" s="2882"/>
      <c r="B84" s="907" t="s">
        <v>51</v>
      </c>
      <c r="C84" s="69"/>
      <c r="D84" s="83">
        <v>27100</v>
      </c>
      <c r="E84" s="83">
        <v>29900</v>
      </c>
      <c r="F84" s="84">
        <v>33800</v>
      </c>
      <c r="G84" s="1898"/>
      <c r="H84" s="1899"/>
      <c r="I84" s="1900"/>
      <c r="J84" s="69"/>
      <c r="K84" s="83">
        <f t="shared" ref="K84:M85" si="48">CEILING(K80*0.3,100)</f>
        <v>28400</v>
      </c>
      <c r="L84" s="83">
        <f t="shared" si="48"/>
        <v>31200</v>
      </c>
      <c r="M84" s="84">
        <f t="shared" si="48"/>
        <v>35400</v>
      </c>
      <c r="N84" s="69"/>
      <c r="O84" s="83">
        <f t="shared" ref="O84:O92" si="49">K84-D84</f>
        <v>1300</v>
      </c>
      <c r="P84" s="83">
        <f>+L84-E84</f>
        <v>1300</v>
      </c>
      <c r="Q84" s="84">
        <f>M84-F84</f>
        <v>1600</v>
      </c>
      <c r="S84" s="2862"/>
      <c r="T84" s="1824" t="str">
        <f t="shared" si="39"/>
        <v>Cabaña Chica</v>
      </c>
      <c r="U84" s="975"/>
      <c r="V84" s="86"/>
      <c r="W84" s="86"/>
      <c r="X84" s="87"/>
      <c r="Y84" s="1860">
        <f>SUM(U84:X84)</f>
        <v>0</v>
      </c>
    </row>
    <row r="85" spans="1:25" x14ac:dyDescent="0.35">
      <c r="A85" s="2882"/>
      <c r="B85" s="907" t="s">
        <v>52</v>
      </c>
      <c r="C85" s="69"/>
      <c r="D85" s="83">
        <v>29900</v>
      </c>
      <c r="E85" s="83">
        <v>32900</v>
      </c>
      <c r="F85" s="84">
        <v>37200</v>
      </c>
      <c r="G85" s="1898"/>
      <c r="H85" s="1899"/>
      <c r="I85" s="1900"/>
      <c r="J85" s="69"/>
      <c r="K85" s="83">
        <f t="shared" si="48"/>
        <v>31200</v>
      </c>
      <c r="L85" s="83">
        <f t="shared" si="48"/>
        <v>34400</v>
      </c>
      <c r="M85" s="84">
        <f t="shared" si="48"/>
        <v>38900</v>
      </c>
      <c r="N85" s="69"/>
      <c r="O85" s="83">
        <f t="shared" si="49"/>
        <v>1300</v>
      </c>
      <c r="P85" s="83">
        <f>+L85-E85</f>
        <v>1500</v>
      </c>
      <c r="Q85" s="84">
        <f>M85-F85</f>
        <v>1700</v>
      </c>
      <c r="S85" s="2862"/>
      <c r="T85" s="1824" t="str">
        <f t="shared" si="39"/>
        <v>Cabaña Grande</v>
      </c>
      <c r="U85" s="975"/>
      <c r="V85" s="86"/>
      <c r="W85" s="86"/>
      <c r="X85" s="87"/>
      <c r="Y85" s="1860">
        <f>SUM(U85:X85)</f>
        <v>0</v>
      </c>
    </row>
    <row r="86" spans="1:25" x14ac:dyDescent="0.35">
      <c r="A86" s="2882"/>
      <c r="B86" s="907" t="s">
        <v>82</v>
      </c>
      <c r="C86" s="69"/>
      <c r="D86" s="83">
        <v>30800</v>
      </c>
      <c r="E86" s="88"/>
      <c r="F86" s="89"/>
      <c r="G86" s="1898"/>
      <c r="H86" s="1899"/>
      <c r="I86" s="1900"/>
      <c r="J86" s="69"/>
      <c r="K86" s="83">
        <f>CEILING(K82*0.3,100)</f>
        <v>32200</v>
      </c>
      <c r="L86" s="88"/>
      <c r="M86" s="89"/>
      <c r="N86" s="69"/>
      <c r="O86" s="83">
        <f t="shared" si="49"/>
        <v>1400</v>
      </c>
      <c r="P86" s="88"/>
      <c r="Q86" s="89"/>
      <c r="S86" s="2862"/>
      <c r="T86" s="1824" t="str">
        <f t="shared" si="39"/>
        <v>Cabaña Superior</v>
      </c>
      <c r="U86" s="975"/>
      <c r="V86" s="86"/>
      <c r="W86" s="985"/>
      <c r="X86" s="995"/>
      <c r="Y86" s="1860">
        <f>SUM(U86:X86)</f>
        <v>0</v>
      </c>
    </row>
    <row r="87" spans="1:25" ht="15" thickBot="1" x14ac:dyDescent="0.4">
      <c r="A87" s="2878"/>
      <c r="B87" s="898" t="s">
        <v>50</v>
      </c>
      <c r="C87" s="94">
        <v>7000</v>
      </c>
      <c r="D87" s="72">
        <v>10700</v>
      </c>
      <c r="E87" s="72">
        <v>11700</v>
      </c>
      <c r="F87" s="73">
        <v>13300</v>
      </c>
      <c r="G87" s="582">
        <v>4.4999999999999998E-2</v>
      </c>
      <c r="H87" s="1940">
        <v>4.4999999999999998E-2</v>
      </c>
      <c r="I87" s="1941">
        <v>4.4999999999999998E-2</v>
      </c>
      <c r="J87" s="94">
        <f>IF(OR(C87=0,C87=""),0,CEILING(K87*0.65,100))</f>
        <v>7300</v>
      </c>
      <c r="K87" s="72">
        <f t="shared" si="46"/>
        <v>11200</v>
      </c>
      <c r="L87" s="72">
        <f>CEILING($E87*(1+$H87),100)</f>
        <v>12300</v>
      </c>
      <c r="M87" s="73">
        <f t="shared" si="41"/>
        <v>13900</v>
      </c>
      <c r="N87" s="94">
        <f>+J87-C87</f>
        <v>300</v>
      </c>
      <c r="O87" s="72">
        <f t="shared" si="49"/>
        <v>500</v>
      </c>
      <c r="P87" s="72">
        <f t="shared" ref="P87:P92" si="50">+L87-E87</f>
        <v>600</v>
      </c>
      <c r="Q87" s="73">
        <f t="shared" ref="Q87:Q92" si="51">M87-F87</f>
        <v>600</v>
      </c>
      <c r="S87" s="2864"/>
      <c r="T87" s="1822" t="str">
        <f t="shared" si="39"/>
        <v>Persona adicional</v>
      </c>
      <c r="U87" s="95"/>
      <c r="V87" s="74"/>
      <c r="W87" s="74"/>
      <c r="X87" s="75"/>
      <c r="Y87" s="1857">
        <f t="shared" si="47"/>
        <v>0</v>
      </c>
    </row>
    <row r="88" spans="1:25" ht="18.75" customHeight="1" x14ac:dyDescent="0.35">
      <c r="A88" s="2877" t="s">
        <v>83</v>
      </c>
      <c r="B88" s="887" t="s">
        <v>84</v>
      </c>
      <c r="C88" s="93"/>
      <c r="D88" s="63">
        <v>340700</v>
      </c>
      <c r="E88" s="63">
        <v>374700</v>
      </c>
      <c r="F88" s="64">
        <v>424700</v>
      </c>
      <c r="G88" s="1942">
        <v>4.4999999999999998E-2</v>
      </c>
      <c r="H88" s="1943">
        <v>4.4999999999999998E-2</v>
      </c>
      <c r="I88" s="1944">
        <v>4.4999999999999998E-2</v>
      </c>
      <c r="J88" s="93"/>
      <c r="K88" s="63">
        <f>CEILING($D88*(1+$G88),100)</f>
        <v>356100</v>
      </c>
      <c r="L88" s="63">
        <f t="shared" si="40"/>
        <v>391600</v>
      </c>
      <c r="M88" s="64">
        <f t="shared" si="41"/>
        <v>443900</v>
      </c>
      <c r="N88" s="93"/>
      <c r="O88" s="63">
        <f t="shared" si="49"/>
        <v>15400</v>
      </c>
      <c r="P88" s="63">
        <f t="shared" si="50"/>
        <v>16900</v>
      </c>
      <c r="Q88" s="64">
        <f t="shared" si="51"/>
        <v>19200</v>
      </c>
      <c r="S88" s="2871" t="str">
        <f>+A88</f>
        <v>Residencia Universitaria Recreo</v>
      </c>
      <c r="T88" s="1816" t="str">
        <f t="shared" si="39"/>
        <v>Simple Recreo</v>
      </c>
      <c r="U88" s="989"/>
      <c r="V88" s="840">
        <v>24</v>
      </c>
      <c r="W88" s="840">
        <v>20</v>
      </c>
      <c r="X88" s="66"/>
      <c r="Y88" s="1853">
        <f>SUM(U88:X88)</f>
        <v>44</v>
      </c>
    </row>
    <row r="89" spans="1:25" ht="15" thickBot="1" x14ac:dyDescent="0.4">
      <c r="A89" s="2878"/>
      <c r="B89" s="898" t="s">
        <v>85</v>
      </c>
      <c r="C89" s="92"/>
      <c r="D89" s="72">
        <v>262100</v>
      </c>
      <c r="E89" s="72">
        <v>288300</v>
      </c>
      <c r="F89" s="73">
        <v>326800</v>
      </c>
      <c r="G89" s="582">
        <v>4.4999999999999998E-2</v>
      </c>
      <c r="H89" s="1940">
        <v>4.4999999999999998E-2</v>
      </c>
      <c r="I89" s="1941">
        <v>4.4999999999999998E-2</v>
      </c>
      <c r="J89" s="92"/>
      <c r="K89" s="72">
        <f>CEILING($D89*(1+$G89),100)</f>
        <v>273900</v>
      </c>
      <c r="L89" s="72">
        <f>CEILING($E89*(1+$H89),100)</f>
        <v>301300</v>
      </c>
      <c r="M89" s="73">
        <f>CEILING($F89*(1+$I89),100)</f>
        <v>341600</v>
      </c>
      <c r="N89" s="92"/>
      <c r="O89" s="72">
        <f t="shared" si="49"/>
        <v>11800</v>
      </c>
      <c r="P89" s="72">
        <f t="shared" si="50"/>
        <v>13000</v>
      </c>
      <c r="Q89" s="73">
        <f t="shared" si="51"/>
        <v>14800</v>
      </c>
      <c r="S89" s="2872"/>
      <c r="T89" s="1823" t="str">
        <f t="shared" si="39"/>
        <v>Doble Recreo</v>
      </c>
      <c r="U89" s="988"/>
      <c r="V89" s="1974">
        <v>15</v>
      </c>
      <c r="W89" s="1974">
        <v>20</v>
      </c>
      <c r="X89" s="80"/>
      <c r="Y89" s="1859">
        <f>SUM(U89:X89)</f>
        <v>35</v>
      </c>
    </row>
    <row r="90" spans="1:25" x14ac:dyDescent="0.35">
      <c r="A90" s="2883" t="s">
        <v>86</v>
      </c>
      <c r="B90" s="911" t="s">
        <v>87</v>
      </c>
      <c r="C90" s="514"/>
      <c r="D90" s="515">
        <v>340700</v>
      </c>
      <c r="E90" s="515">
        <v>374700</v>
      </c>
      <c r="F90" s="505">
        <v>424700</v>
      </c>
      <c r="G90" s="1918">
        <v>4.4999999999999998E-2</v>
      </c>
      <c r="H90" s="1919">
        <v>4.4999999999999998E-2</v>
      </c>
      <c r="I90" s="1920">
        <v>4.4999999999999998E-2</v>
      </c>
      <c r="J90" s="514"/>
      <c r="K90" s="515">
        <f>CEILING($D90*(1+$G90),100)</f>
        <v>356100</v>
      </c>
      <c r="L90" s="515">
        <f>CEILING($E90*(1+$H90),100)</f>
        <v>391600</v>
      </c>
      <c r="M90" s="505">
        <f>CEILING($F90*(1+$I90),100)</f>
        <v>443900</v>
      </c>
      <c r="N90" s="514"/>
      <c r="O90" s="515">
        <f t="shared" si="49"/>
        <v>15400</v>
      </c>
      <c r="P90" s="515">
        <f t="shared" si="50"/>
        <v>16900</v>
      </c>
      <c r="Q90" s="505">
        <f t="shared" si="51"/>
        <v>19200</v>
      </c>
      <c r="S90" s="2885" t="str">
        <f>+A90</f>
        <v>Residencia Universitaria Las Salinas</v>
      </c>
      <c r="T90" s="1831" t="str">
        <f t="shared" si="39"/>
        <v>Simple Las Salinas</v>
      </c>
      <c r="U90" s="997"/>
      <c r="V90" s="840">
        <v>18</v>
      </c>
      <c r="W90" s="840"/>
      <c r="X90" s="508"/>
      <c r="Y90" s="1866">
        <f>SUM(U90:X90)</f>
        <v>18</v>
      </c>
    </row>
    <row r="91" spans="1:25" x14ac:dyDescent="0.35">
      <c r="A91" s="2884"/>
      <c r="B91" s="905" t="s">
        <v>88</v>
      </c>
      <c r="C91" s="516"/>
      <c r="D91" s="83">
        <v>262100</v>
      </c>
      <c r="E91" s="83">
        <v>288300</v>
      </c>
      <c r="F91" s="84">
        <v>326800</v>
      </c>
      <c r="G91" s="1926">
        <v>4.4999999999999998E-2</v>
      </c>
      <c r="H91" s="1927">
        <v>4.4999999999999998E-2</v>
      </c>
      <c r="I91" s="1928">
        <v>4.4999999999999998E-2</v>
      </c>
      <c r="J91" s="516"/>
      <c r="K91" s="83">
        <f>CEILING($D91*(1+$G91),100)</f>
        <v>273900</v>
      </c>
      <c r="L91" s="83">
        <f>CEILING($E91*(1+$H91),100)</f>
        <v>301300</v>
      </c>
      <c r="M91" s="84">
        <f>CEILING($F91*(1+$I91),100)</f>
        <v>341600</v>
      </c>
      <c r="N91" s="516"/>
      <c r="O91" s="83">
        <f t="shared" si="49"/>
        <v>11800</v>
      </c>
      <c r="P91" s="83">
        <f t="shared" si="50"/>
        <v>13000</v>
      </c>
      <c r="Q91" s="84">
        <f t="shared" si="51"/>
        <v>14800</v>
      </c>
      <c r="S91" s="2886"/>
      <c r="T91" s="1825" t="str">
        <f t="shared" si="39"/>
        <v>Doble Las Salinas</v>
      </c>
      <c r="U91" s="998"/>
      <c r="V91" s="1966">
        <v>15</v>
      </c>
      <c r="W91" s="1966"/>
      <c r="X91" s="87"/>
      <c r="Y91" s="1860">
        <f>SUM(U91:X91)</f>
        <v>15</v>
      </c>
    </row>
    <row r="92" spans="1:25" x14ac:dyDescent="0.35">
      <c r="A92" s="2884"/>
      <c r="B92" s="905" t="s">
        <v>89</v>
      </c>
      <c r="C92" s="516"/>
      <c r="D92" s="83">
        <v>97300</v>
      </c>
      <c r="E92" s="83">
        <v>107000</v>
      </c>
      <c r="F92" s="84">
        <v>121300</v>
      </c>
      <c r="G92" s="1926">
        <v>4.4999999999999998E-2</v>
      </c>
      <c r="H92" s="1927">
        <v>4.4999999999999998E-2</v>
      </c>
      <c r="I92" s="1928">
        <v>4.4999999999999998E-2</v>
      </c>
      <c r="J92" s="516"/>
      <c r="K92" s="83">
        <f>CEILING($D92*(1+$G92),100)</f>
        <v>101700</v>
      </c>
      <c r="L92" s="83">
        <f>CEILING($E92*(1+$H92),100)</f>
        <v>111900</v>
      </c>
      <c r="M92" s="84">
        <f>CEILING($F92*(1+$I92),100)</f>
        <v>126800</v>
      </c>
      <c r="N92" s="516"/>
      <c r="O92" s="83">
        <f t="shared" si="49"/>
        <v>4400</v>
      </c>
      <c r="P92" s="83">
        <f t="shared" si="50"/>
        <v>4900</v>
      </c>
      <c r="Q92" s="84">
        <f t="shared" si="51"/>
        <v>5500</v>
      </c>
      <c r="S92" s="2886"/>
      <c r="T92" s="1825" t="str">
        <f t="shared" si="39"/>
        <v>Anexo Cabañas Punta Osas</v>
      </c>
      <c r="U92" s="85">
        <v>17</v>
      </c>
      <c r="V92" s="1966">
        <v>10</v>
      </c>
      <c r="W92" s="1966"/>
      <c r="X92" s="87"/>
      <c r="Y92" s="1860">
        <f>SUM(U92:X92)</f>
        <v>27</v>
      </c>
    </row>
    <row r="93" spans="1:25" x14ac:dyDescent="0.35">
      <c r="A93" s="2884"/>
      <c r="B93" s="1863" t="s">
        <v>46</v>
      </c>
      <c r="C93" s="516"/>
      <c r="D93" s="88"/>
      <c r="E93" s="88"/>
      <c r="F93" s="89"/>
      <c r="G93" s="1904"/>
      <c r="H93" s="1899"/>
      <c r="I93" s="1900"/>
      <c r="J93" s="516"/>
      <c r="K93" s="90"/>
      <c r="L93" s="90"/>
      <c r="M93" s="91"/>
      <c r="N93" s="516"/>
      <c r="O93" s="90"/>
      <c r="P93" s="90"/>
      <c r="Q93" s="91"/>
      <c r="S93" s="2886"/>
      <c r="T93" s="1825" t="str">
        <f t="shared" si="39"/>
        <v>Uso por tránsito/ Early check-in/Late check-out</v>
      </c>
      <c r="U93" s="998"/>
      <c r="V93" s="985"/>
      <c r="W93" s="985"/>
      <c r="X93" s="995"/>
      <c r="Y93" s="996"/>
    </row>
    <row r="94" spans="1:25" ht="15" thickBot="1" x14ac:dyDescent="0.4">
      <c r="A94" s="2875"/>
      <c r="B94" s="912" t="s">
        <v>89</v>
      </c>
      <c r="C94" s="517"/>
      <c r="D94" s="506">
        <v>97300</v>
      </c>
      <c r="E94" s="506">
        <v>107000</v>
      </c>
      <c r="F94" s="507">
        <v>121300</v>
      </c>
      <c r="G94" s="1905"/>
      <c r="H94" s="1906"/>
      <c r="I94" s="1907"/>
      <c r="J94" s="716"/>
      <c r="K94" s="717">
        <f>CEILING(K92*0.3,100)</f>
        <v>30600</v>
      </c>
      <c r="L94" s="717">
        <f>CEILING(L92*0.3,100)</f>
        <v>33600</v>
      </c>
      <c r="M94" s="718">
        <f>CEILING(M92*0.3,100)</f>
        <v>38100</v>
      </c>
      <c r="N94" s="716"/>
      <c r="O94" s="717">
        <f>K94-D94</f>
        <v>-66700</v>
      </c>
      <c r="P94" s="717">
        <f>+L94-E94</f>
        <v>-73400</v>
      </c>
      <c r="Q94" s="718">
        <f t="shared" ref="Q94:Q96" si="52">M94-F94</f>
        <v>-83200</v>
      </c>
      <c r="S94" s="2887"/>
      <c r="T94" s="913" t="str">
        <f t="shared" si="39"/>
        <v>Anexo Cabañas Punta Osas</v>
      </c>
      <c r="U94" s="999"/>
      <c r="V94" s="509"/>
      <c r="W94" s="509"/>
      <c r="X94" s="510"/>
      <c r="Y94" s="1867">
        <f t="shared" ref="Y94" si="53">SUM(U94:X94)</f>
        <v>0</v>
      </c>
    </row>
    <row r="95" spans="1:25" ht="15" thickBot="1" x14ac:dyDescent="0.4">
      <c r="A95" s="1832" t="s">
        <v>347</v>
      </c>
      <c r="B95" s="917" t="s">
        <v>349</v>
      </c>
      <c r="C95" s="724"/>
      <c r="D95" s="725">
        <v>1457400</v>
      </c>
      <c r="E95" s="725">
        <v>1603200</v>
      </c>
      <c r="F95" s="726">
        <v>1816900</v>
      </c>
      <c r="G95" s="1945">
        <v>4.4999999999999998E-2</v>
      </c>
      <c r="H95" s="1946">
        <v>4.4999999999999998E-2</v>
      </c>
      <c r="I95" s="1947">
        <v>4.4999999999999998E-2</v>
      </c>
      <c r="J95" s="96"/>
      <c r="K95" s="97">
        <f>CEILING($D95*(1+$G95),100)</f>
        <v>1523000</v>
      </c>
      <c r="L95" s="97">
        <f>CEILING($E95*(1+$H95),100)</f>
        <v>1675400</v>
      </c>
      <c r="M95" s="727">
        <f t="shared" ref="M95:M96" si="54">CEILING($F95*(1+$I95),100)</f>
        <v>1898700</v>
      </c>
      <c r="N95" s="96"/>
      <c r="O95" s="97">
        <f>K95-D95</f>
        <v>65600</v>
      </c>
      <c r="P95" s="97">
        <f>+L95-E95</f>
        <v>72200</v>
      </c>
      <c r="Q95" s="727">
        <f t="shared" si="52"/>
        <v>81800</v>
      </c>
      <c r="S95" s="1829" t="str">
        <f>A95</f>
        <v>Vista Mar</v>
      </c>
      <c r="T95" s="917" t="str">
        <f t="shared" si="39"/>
        <v>Departamento</v>
      </c>
      <c r="U95" s="728"/>
      <c r="V95" s="840">
        <v>27</v>
      </c>
      <c r="W95" s="840">
        <v>38</v>
      </c>
      <c r="X95" s="841">
        <v>12</v>
      </c>
      <c r="Y95" s="1868">
        <f>SUM(U95:X95)</f>
        <v>77</v>
      </c>
    </row>
    <row r="96" spans="1:25" x14ac:dyDescent="0.35">
      <c r="A96" s="2893" t="s">
        <v>372</v>
      </c>
      <c r="B96" s="2895" t="s">
        <v>373</v>
      </c>
      <c r="C96" s="2905">
        <v>59300</v>
      </c>
      <c r="D96" s="2903">
        <v>91100</v>
      </c>
      <c r="E96" s="2903">
        <v>100200</v>
      </c>
      <c r="F96" s="2903">
        <v>113500</v>
      </c>
      <c r="G96" s="2897">
        <v>4.4999999999999998E-2</v>
      </c>
      <c r="H96" s="2899">
        <v>4.4999999999999998E-2</v>
      </c>
      <c r="I96" s="2901">
        <v>4.4999999999999998E-2</v>
      </c>
      <c r="J96" s="2911">
        <f>IF(OR(C96=0,C96=""),0,CEILING(K96*0.65,100))</f>
        <v>61900</v>
      </c>
      <c r="K96" s="2907">
        <f>CEILING($D96*(1+$G96),100)</f>
        <v>95200</v>
      </c>
      <c r="L96" s="2907">
        <f>CEILING($E96*(1+$H96),100)</f>
        <v>104800</v>
      </c>
      <c r="M96" s="2909">
        <f t="shared" si="54"/>
        <v>118700</v>
      </c>
      <c r="N96" s="2915">
        <f>+J96-C96</f>
        <v>2600</v>
      </c>
      <c r="O96" s="2913">
        <f t="shared" ref="O96" si="55">K96-D96</f>
        <v>4100</v>
      </c>
      <c r="P96" s="2913">
        <f>L96-E96</f>
        <v>4600</v>
      </c>
      <c r="Q96" s="2931">
        <f t="shared" si="52"/>
        <v>5200</v>
      </c>
      <c r="S96" s="2921" t="str">
        <f>A96</f>
        <v>Cabaña Isla de Pascua</v>
      </c>
      <c r="T96" s="2923" t="str">
        <f>B96</f>
        <v>Cabaña</v>
      </c>
      <c r="U96" s="2925">
        <v>101</v>
      </c>
      <c r="V96" s="2927">
        <v>19</v>
      </c>
      <c r="W96" s="2929"/>
      <c r="X96" s="2917"/>
      <c r="Y96" s="2919">
        <f>SUM(U96:X97)</f>
        <v>120</v>
      </c>
    </row>
    <row r="97" spans="1:25" ht="15" thickBot="1" x14ac:dyDescent="0.4">
      <c r="A97" s="2894"/>
      <c r="B97" s="2896"/>
      <c r="C97" s="2906"/>
      <c r="D97" s="2904"/>
      <c r="E97" s="2904"/>
      <c r="F97" s="2904"/>
      <c r="G97" s="2898"/>
      <c r="H97" s="2900"/>
      <c r="I97" s="2902"/>
      <c r="J97" s="2912"/>
      <c r="K97" s="2908"/>
      <c r="L97" s="2908"/>
      <c r="M97" s="2910"/>
      <c r="N97" s="2916"/>
      <c r="O97" s="2914"/>
      <c r="P97" s="2914"/>
      <c r="Q97" s="2932"/>
      <c r="S97" s="2922"/>
      <c r="T97" s="2924"/>
      <c r="U97" s="2926"/>
      <c r="V97" s="2928"/>
      <c r="W97" s="2930"/>
      <c r="X97" s="2918"/>
      <c r="Y97" s="2920"/>
    </row>
  </sheetData>
  <sheetProtection algorithmName="SHA-512" hashValue="hKaDxrRWz/QuG1CqIKadT/BJbvQmOimxrDhflhiceVX5AwW1muraARzW4VEHGyKhDT7GaVBsroOU53i3c5xy9w==" saltValue="qC+7FLE89U+nZVGlxgNMXA==" spinCount="100000" sheet="1" objects="1" scenarios="1"/>
  <mergeCells count="65">
    <mergeCell ref="N96:N97"/>
    <mergeCell ref="X96:X97"/>
    <mergeCell ref="Y96:Y97"/>
    <mergeCell ref="S96:S97"/>
    <mergeCell ref="T96:T97"/>
    <mergeCell ref="U96:U97"/>
    <mergeCell ref="V96:V97"/>
    <mergeCell ref="W96:W97"/>
    <mergeCell ref="P96:P97"/>
    <mergeCell ref="Q96:Q97"/>
    <mergeCell ref="A73:A79"/>
    <mergeCell ref="S73:S79"/>
    <mergeCell ref="A96:A97"/>
    <mergeCell ref="B96:B97"/>
    <mergeCell ref="G96:G97"/>
    <mergeCell ref="H96:H97"/>
    <mergeCell ref="I96:I97"/>
    <mergeCell ref="D96:D97"/>
    <mergeCell ref="E96:E97"/>
    <mergeCell ref="F96:F97"/>
    <mergeCell ref="C96:C97"/>
    <mergeCell ref="K96:K97"/>
    <mergeCell ref="L96:L97"/>
    <mergeCell ref="M96:M97"/>
    <mergeCell ref="J96:J97"/>
    <mergeCell ref="O96:O97"/>
    <mergeCell ref="A63:A64"/>
    <mergeCell ref="S63:S64"/>
    <mergeCell ref="A65:A70"/>
    <mergeCell ref="S65:S70"/>
    <mergeCell ref="A71:A72"/>
    <mergeCell ref="S71:S72"/>
    <mergeCell ref="A80:A87"/>
    <mergeCell ref="S80:S87"/>
    <mergeCell ref="A88:A89"/>
    <mergeCell ref="S88:S89"/>
    <mergeCell ref="A90:A94"/>
    <mergeCell ref="S90:S94"/>
    <mergeCell ref="A49:A62"/>
    <mergeCell ref="S49:S62"/>
    <mergeCell ref="A28:A44"/>
    <mergeCell ref="S28:S44"/>
    <mergeCell ref="A45:A46"/>
    <mergeCell ref="S45:S46"/>
    <mergeCell ref="A47:A48"/>
    <mergeCell ref="S47:S48"/>
    <mergeCell ref="C38:F38"/>
    <mergeCell ref="Y10:Y11"/>
    <mergeCell ref="A12:A21"/>
    <mergeCell ref="S12:S21"/>
    <mergeCell ref="A22:A27"/>
    <mergeCell ref="S22:S27"/>
    <mergeCell ref="N10:Q10"/>
    <mergeCell ref="D5:E5"/>
    <mergeCell ref="F5:G5"/>
    <mergeCell ref="A8:C8"/>
    <mergeCell ref="S8:U8"/>
    <mergeCell ref="A10:A11"/>
    <mergeCell ref="B10:B11"/>
    <mergeCell ref="C10:F10"/>
    <mergeCell ref="G10:I10"/>
    <mergeCell ref="J10:M10"/>
    <mergeCell ref="S10:S11"/>
    <mergeCell ref="T10:T11"/>
    <mergeCell ref="U10:X10"/>
  </mergeCells>
  <hyperlinks>
    <hyperlink ref="A8:C8" location="'B) Reajuste Tarifas y Ocupación'!A1" display="TABLA 3: REAJUSTE DE TARIFAS POR PRESTACIÓN Y SEGMENTO" xr:uid="{00000000-0004-0000-0300-000000000000}"/>
    <hyperlink ref="S8:U8" location="'Índice Tablas'!A1" display="TABLA 4: METAS DE OCUPACIÓN POR PRESTACIÓN Y SEGMENTO" xr:uid="{00000000-0004-0000-0300-000001000000}"/>
  </hyperlinks>
  <pageMargins left="0.7" right="0.7" top="0.75" bottom="0.75" header="0.3" footer="0.3"/>
  <pageSetup paperSize="9" orientation="portrait" r:id="rId1"/>
  <ignoredErrors>
    <ignoredError sqref="P88:P94 P9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7"/>
  <sheetViews>
    <sheetView workbookViewId="0">
      <selection activeCell="P93" sqref="P93"/>
    </sheetView>
  </sheetViews>
  <sheetFormatPr baseColWidth="10" defaultRowHeight="14.5" x14ac:dyDescent="0.35"/>
  <cols>
    <col min="9" max="10" width="11.81640625" bestFit="1" customWidth="1"/>
  </cols>
  <sheetData>
    <row r="1" spans="1:10" ht="15" customHeight="1" x14ac:dyDescent="0.35">
      <c r="A1" s="1869" t="s">
        <v>40</v>
      </c>
      <c r="B1" s="1869" t="s">
        <v>27</v>
      </c>
      <c r="C1" s="1869" t="s">
        <v>28</v>
      </c>
      <c r="D1" s="1869" t="s">
        <v>29</v>
      </c>
      <c r="F1">
        <v>1.19</v>
      </c>
    </row>
    <row r="2" spans="1:10" x14ac:dyDescent="0.35">
      <c r="A2" s="1869">
        <v>58000</v>
      </c>
      <c r="B2" s="1869">
        <v>89200</v>
      </c>
      <c r="C2" s="1869">
        <v>98100</v>
      </c>
      <c r="D2" s="1869">
        <v>111100</v>
      </c>
      <c r="F2" s="856">
        <f t="shared" ref="F2:F33" si="0">C2/$F$1</f>
        <v>82436.97478991597</v>
      </c>
      <c r="G2" s="856">
        <f t="shared" ref="G2:G33" si="1">D2/$F$1</f>
        <v>93361.344537815137</v>
      </c>
      <c r="I2" t="b">
        <f>F2&gt;B2</f>
        <v>0</v>
      </c>
      <c r="J2" t="b">
        <f>G2&gt;B2</f>
        <v>1</v>
      </c>
    </row>
    <row r="3" spans="1:10" ht="15" customHeight="1" x14ac:dyDescent="0.35">
      <c r="A3" s="1869">
        <v>40000</v>
      </c>
      <c r="B3" s="1869">
        <v>61500</v>
      </c>
      <c r="C3" s="1869">
        <v>67700</v>
      </c>
      <c r="D3" s="1869">
        <v>76800</v>
      </c>
      <c r="F3" s="856">
        <f t="shared" si="0"/>
        <v>56890.756302521011</v>
      </c>
      <c r="G3" s="856">
        <f t="shared" si="1"/>
        <v>64537.815126050424</v>
      </c>
      <c r="I3" t="b">
        <f>F3&gt;B3</f>
        <v>0</v>
      </c>
      <c r="J3" t="b">
        <f t="shared" ref="J3:J5" si="2">G3&gt;B3</f>
        <v>1</v>
      </c>
    </row>
    <row r="4" spans="1:10" ht="15" customHeight="1" x14ac:dyDescent="0.35">
      <c r="A4" s="1869">
        <v>54100</v>
      </c>
      <c r="B4" s="1869">
        <v>83100</v>
      </c>
      <c r="C4" s="1869">
        <v>91500</v>
      </c>
      <c r="D4" s="1869">
        <v>103600</v>
      </c>
      <c r="F4" s="856">
        <f t="shared" si="0"/>
        <v>76890.756302521011</v>
      </c>
      <c r="G4" s="856">
        <f t="shared" si="1"/>
        <v>87058.823529411762</v>
      </c>
      <c r="I4" t="b">
        <f>F4&gt;B4</f>
        <v>0</v>
      </c>
      <c r="J4" t="b">
        <f t="shared" si="2"/>
        <v>1</v>
      </c>
    </row>
    <row r="5" spans="1:10" ht="15" customHeight="1" x14ac:dyDescent="0.35">
      <c r="A5" s="1869">
        <v>48900</v>
      </c>
      <c r="B5" s="1869">
        <v>75100</v>
      </c>
      <c r="C5" s="1869">
        <v>82500</v>
      </c>
      <c r="D5" s="1869">
        <v>93600</v>
      </c>
      <c r="F5" s="856">
        <f t="shared" si="0"/>
        <v>69327.731092436981</v>
      </c>
      <c r="G5" s="856">
        <f t="shared" si="1"/>
        <v>78655.462184873948</v>
      </c>
      <c r="I5" t="b">
        <f t="shared" ref="I5:I64" si="3">F5&gt;B5</f>
        <v>0</v>
      </c>
      <c r="J5" t="b">
        <f t="shared" si="2"/>
        <v>1</v>
      </c>
    </row>
    <row r="6" spans="1:10" ht="15" customHeight="1" x14ac:dyDescent="0.35">
      <c r="A6" s="1869">
        <v>19200</v>
      </c>
      <c r="B6" s="1869">
        <v>29500</v>
      </c>
      <c r="C6" s="1869"/>
      <c r="D6" s="1869"/>
      <c r="F6" s="856">
        <f t="shared" si="0"/>
        <v>0</v>
      </c>
      <c r="G6" s="856">
        <f t="shared" si="1"/>
        <v>0</v>
      </c>
    </row>
    <row r="7" spans="1:10" ht="15" customHeight="1" x14ac:dyDescent="0.35">
      <c r="A7" s="1869"/>
      <c r="B7" s="1869"/>
      <c r="C7" s="1869"/>
      <c r="D7" s="1869"/>
      <c r="F7" s="856">
        <f t="shared" si="0"/>
        <v>0</v>
      </c>
      <c r="G7" s="856">
        <f t="shared" si="1"/>
        <v>0</v>
      </c>
    </row>
    <row r="8" spans="1:10" ht="15" customHeight="1" x14ac:dyDescent="0.35">
      <c r="A8" s="1869"/>
      <c r="B8" s="1869">
        <v>26800</v>
      </c>
      <c r="C8" s="1869">
        <v>29500</v>
      </c>
      <c r="D8" s="1869">
        <v>33400</v>
      </c>
      <c r="F8" s="856">
        <f t="shared" si="0"/>
        <v>24789.915966386554</v>
      </c>
      <c r="G8" s="856">
        <f t="shared" si="1"/>
        <v>28067.226890756305</v>
      </c>
      <c r="I8" t="b">
        <f t="shared" si="3"/>
        <v>0</v>
      </c>
      <c r="J8" t="b">
        <f t="shared" ref="J8:J41" si="4">G8&gt;B8</f>
        <v>1</v>
      </c>
    </row>
    <row r="9" spans="1:10" ht="15" customHeight="1" x14ac:dyDescent="0.35">
      <c r="A9" s="1869" t="s">
        <v>512</v>
      </c>
      <c r="B9" s="1869">
        <v>18500</v>
      </c>
      <c r="C9" s="1869">
        <v>20400</v>
      </c>
      <c r="D9" s="1869">
        <v>23100</v>
      </c>
      <c r="F9" s="856">
        <f t="shared" si="0"/>
        <v>17142.857142857145</v>
      </c>
      <c r="G9" s="856">
        <f t="shared" si="1"/>
        <v>19411.764705882353</v>
      </c>
      <c r="I9" t="b">
        <f t="shared" si="3"/>
        <v>0</v>
      </c>
      <c r="J9" t="b">
        <f t="shared" si="4"/>
        <v>1</v>
      </c>
    </row>
    <row r="10" spans="1:10" ht="15" customHeight="1" x14ac:dyDescent="0.35">
      <c r="A10" s="1869"/>
      <c r="B10" s="1869">
        <v>25000</v>
      </c>
      <c r="C10" s="1869">
        <v>27500</v>
      </c>
      <c r="D10" s="1869">
        <v>31100</v>
      </c>
      <c r="F10" s="856">
        <f t="shared" si="0"/>
        <v>23109.243697478993</v>
      </c>
      <c r="G10" s="856">
        <f t="shared" si="1"/>
        <v>26134.453781512606</v>
      </c>
      <c r="I10" t="b">
        <f t="shared" si="3"/>
        <v>0</v>
      </c>
      <c r="J10" t="b">
        <f t="shared" si="4"/>
        <v>1</v>
      </c>
    </row>
    <row r="11" spans="1:10" ht="15" customHeight="1" x14ac:dyDescent="0.35">
      <c r="A11" s="1869"/>
      <c r="B11" s="1869">
        <v>22600</v>
      </c>
      <c r="C11" s="1869">
        <v>24800</v>
      </c>
      <c r="D11" s="1869">
        <v>28100</v>
      </c>
      <c r="F11" s="856">
        <f t="shared" si="0"/>
        <v>20840.336134453781</v>
      </c>
      <c r="G11" s="856">
        <f t="shared" si="1"/>
        <v>23613.44537815126</v>
      </c>
      <c r="I11" t="b">
        <f t="shared" si="3"/>
        <v>0</v>
      </c>
      <c r="J11" t="b">
        <f t="shared" si="4"/>
        <v>1</v>
      </c>
    </row>
    <row r="12" spans="1:10" ht="15.75" customHeight="1" x14ac:dyDescent="0.35">
      <c r="A12" s="1869">
        <v>58900</v>
      </c>
      <c r="B12" s="1869">
        <v>90500</v>
      </c>
      <c r="C12" s="1869">
        <v>99500</v>
      </c>
      <c r="D12" s="1869">
        <v>112800</v>
      </c>
      <c r="F12" s="856">
        <f t="shared" si="0"/>
        <v>83613.445378151271</v>
      </c>
      <c r="G12" s="856">
        <f t="shared" si="1"/>
        <v>94789.915966386558</v>
      </c>
      <c r="I12" t="b">
        <f t="shared" si="3"/>
        <v>0</v>
      </c>
      <c r="J12" t="b">
        <f t="shared" si="4"/>
        <v>1</v>
      </c>
    </row>
    <row r="13" spans="1:10" ht="15" customHeight="1" x14ac:dyDescent="0.35">
      <c r="A13" s="1869">
        <v>71700</v>
      </c>
      <c r="B13" s="1869">
        <v>110200</v>
      </c>
      <c r="C13" s="1869">
        <v>121200</v>
      </c>
      <c r="D13" s="1869">
        <v>137300</v>
      </c>
      <c r="F13" s="856">
        <f t="shared" si="0"/>
        <v>101848.73949579832</v>
      </c>
      <c r="G13" s="856">
        <f t="shared" si="1"/>
        <v>115378.15126050421</v>
      </c>
      <c r="I13" t="b">
        <f t="shared" si="3"/>
        <v>0</v>
      </c>
      <c r="J13" t="b">
        <f t="shared" si="4"/>
        <v>1</v>
      </c>
    </row>
    <row r="14" spans="1:10" ht="15" customHeight="1" x14ac:dyDescent="0.35">
      <c r="A14" s="1869">
        <v>7500</v>
      </c>
      <c r="B14" s="1869">
        <v>11500</v>
      </c>
      <c r="C14" s="1869">
        <v>12700</v>
      </c>
      <c r="D14" s="1869">
        <v>14400</v>
      </c>
      <c r="F14" s="856">
        <f t="shared" si="0"/>
        <v>10672.268907563026</v>
      </c>
      <c r="G14" s="856">
        <f t="shared" si="1"/>
        <v>12100.840336134454</v>
      </c>
      <c r="I14" t="b">
        <f t="shared" si="3"/>
        <v>0</v>
      </c>
      <c r="J14" t="b">
        <f t="shared" si="4"/>
        <v>1</v>
      </c>
    </row>
    <row r="15" spans="1:10" ht="15" customHeight="1" x14ac:dyDescent="0.35">
      <c r="A15" s="1869"/>
      <c r="B15" s="1869"/>
      <c r="C15" s="1869"/>
      <c r="D15" s="1869"/>
      <c r="F15" s="856">
        <f t="shared" si="0"/>
        <v>0</v>
      </c>
      <c r="G15" s="856">
        <f t="shared" si="1"/>
        <v>0</v>
      </c>
    </row>
    <row r="16" spans="1:10" ht="15" customHeight="1" x14ac:dyDescent="0.35">
      <c r="A16" s="1869"/>
      <c r="B16" s="1869">
        <v>27200</v>
      </c>
      <c r="C16" s="1869">
        <v>29900</v>
      </c>
      <c r="D16" s="1869">
        <v>33900</v>
      </c>
      <c r="F16" s="856">
        <f t="shared" si="0"/>
        <v>25126.050420168067</v>
      </c>
      <c r="G16" s="856">
        <f t="shared" si="1"/>
        <v>28487.394957983193</v>
      </c>
      <c r="I16" t="b">
        <f t="shared" si="3"/>
        <v>0</v>
      </c>
      <c r="J16" t="b">
        <f t="shared" si="4"/>
        <v>1</v>
      </c>
    </row>
    <row r="17" spans="1:10" ht="15" customHeight="1" x14ac:dyDescent="0.35">
      <c r="A17" s="1869"/>
      <c r="B17" s="1869">
        <v>33100</v>
      </c>
      <c r="C17" s="1869">
        <v>36400</v>
      </c>
      <c r="D17" s="1869">
        <v>41200</v>
      </c>
      <c r="F17" s="856">
        <f t="shared" si="0"/>
        <v>30588.235294117647</v>
      </c>
      <c r="G17" s="856">
        <f t="shared" si="1"/>
        <v>34621.848739495799</v>
      </c>
      <c r="I17" t="b">
        <f t="shared" si="3"/>
        <v>0</v>
      </c>
      <c r="J17" t="b">
        <f t="shared" si="4"/>
        <v>1</v>
      </c>
    </row>
    <row r="18" spans="1:10" ht="15.75" customHeight="1" x14ac:dyDescent="0.35">
      <c r="A18" s="1869">
        <v>25500</v>
      </c>
      <c r="B18" s="1869">
        <v>39100</v>
      </c>
      <c r="C18" s="1869">
        <v>43100</v>
      </c>
      <c r="D18" s="1869">
        <v>48900</v>
      </c>
      <c r="F18" s="856">
        <f t="shared" si="0"/>
        <v>36218.487394957985</v>
      </c>
      <c r="G18" s="856">
        <f t="shared" si="1"/>
        <v>41092.436974789918</v>
      </c>
      <c r="I18" t="b">
        <f t="shared" si="3"/>
        <v>0</v>
      </c>
      <c r="J18" t="b">
        <f t="shared" si="4"/>
        <v>1</v>
      </c>
    </row>
    <row r="19" spans="1:10" ht="15" customHeight="1" x14ac:dyDescent="0.35">
      <c r="A19" s="1869">
        <v>5200</v>
      </c>
      <c r="B19" s="1869">
        <v>7900</v>
      </c>
      <c r="C19" s="1869">
        <v>8700</v>
      </c>
      <c r="D19" s="1869">
        <v>9800</v>
      </c>
      <c r="F19" s="856">
        <f t="shared" si="0"/>
        <v>7310.9243697478996</v>
      </c>
      <c r="G19" s="856">
        <f t="shared" si="1"/>
        <v>8235.2941176470595</v>
      </c>
      <c r="I19" t="b">
        <f t="shared" si="3"/>
        <v>0</v>
      </c>
      <c r="J19" t="b">
        <f t="shared" si="4"/>
        <v>1</v>
      </c>
    </row>
    <row r="20" spans="1:10" ht="15" customHeight="1" x14ac:dyDescent="0.35">
      <c r="A20" s="1869">
        <v>15300</v>
      </c>
      <c r="B20" s="1869">
        <v>23500</v>
      </c>
      <c r="C20" s="1869">
        <v>25900</v>
      </c>
      <c r="D20" s="1869">
        <v>29200</v>
      </c>
      <c r="F20" s="856">
        <f t="shared" si="0"/>
        <v>21764.705882352941</v>
      </c>
      <c r="G20" s="856">
        <f t="shared" si="1"/>
        <v>24537.81512605042</v>
      </c>
      <c r="I20" t="b">
        <f t="shared" si="3"/>
        <v>0</v>
      </c>
      <c r="J20" t="b">
        <f t="shared" si="4"/>
        <v>1</v>
      </c>
    </row>
    <row r="21" spans="1:10" ht="15" customHeight="1" x14ac:dyDescent="0.35">
      <c r="A21" s="1869">
        <v>30200</v>
      </c>
      <c r="B21" s="1869">
        <v>46400</v>
      </c>
      <c r="C21" s="1869">
        <v>51000</v>
      </c>
      <c r="D21" s="1869">
        <v>57800</v>
      </c>
      <c r="F21" s="856">
        <f t="shared" si="0"/>
        <v>42857.142857142862</v>
      </c>
      <c r="G21" s="856">
        <f t="shared" si="1"/>
        <v>48571.428571428572</v>
      </c>
      <c r="I21" t="b">
        <f t="shared" si="3"/>
        <v>0</v>
      </c>
      <c r="J21" t="b">
        <f t="shared" si="4"/>
        <v>1</v>
      </c>
    </row>
    <row r="22" spans="1:10" ht="15" customHeight="1" x14ac:dyDescent="0.35">
      <c r="A22" s="1869"/>
      <c r="B22" s="1869">
        <v>57600</v>
      </c>
      <c r="C22" s="1869">
        <v>63400</v>
      </c>
      <c r="D22" s="1869">
        <v>71700</v>
      </c>
      <c r="F22" s="856">
        <f t="shared" si="0"/>
        <v>53277.310924369747</v>
      </c>
      <c r="G22" s="856">
        <f t="shared" si="1"/>
        <v>60252.100840336134</v>
      </c>
      <c r="I22" t="b">
        <f t="shared" si="3"/>
        <v>0</v>
      </c>
      <c r="J22" t="b">
        <f t="shared" si="4"/>
        <v>1</v>
      </c>
    </row>
    <row r="23" spans="1:10" ht="15" customHeight="1" x14ac:dyDescent="0.35">
      <c r="A23" s="1869"/>
      <c r="B23" s="1869">
        <v>114600</v>
      </c>
      <c r="C23" s="1869">
        <v>126000</v>
      </c>
      <c r="D23" s="1869">
        <v>142800</v>
      </c>
      <c r="F23" s="856">
        <f t="shared" si="0"/>
        <v>105882.35294117648</v>
      </c>
      <c r="G23" s="856">
        <f t="shared" si="1"/>
        <v>120000</v>
      </c>
      <c r="I23" t="b">
        <f t="shared" si="3"/>
        <v>0</v>
      </c>
      <c r="J23" t="b">
        <f t="shared" si="4"/>
        <v>1</v>
      </c>
    </row>
    <row r="24" spans="1:10" ht="15" customHeight="1" x14ac:dyDescent="0.35">
      <c r="A24" s="1869"/>
      <c r="B24" s="1869">
        <v>215600</v>
      </c>
      <c r="C24" s="1869">
        <v>237200</v>
      </c>
      <c r="D24" s="1869">
        <v>268700</v>
      </c>
      <c r="F24" s="856">
        <f t="shared" si="0"/>
        <v>199327.731092437</v>
      </c>
      <c r="G24" s="856">
        <f t="shared" si="1"/>
        <v>225798.31932773109</v>
      </c>
      <c r="I24" t="b">
        <f t="shared" si="3"/>
        <v>0</v>
      </c>
      <c r="J24" t="b">
        <f t="shared" si="4"/>
        <v>1</v>
      </c>
    </row>
    <row r="25" spans="1:10" ht="15" customHeight="1" x14ac:dyDescent="0.35">
      <c r="A25" s="1869"/>
      <c r="B25" s="1869">
        <v>4600</v>
      </c>
      <c r="C25" s="1869">
        <v>5100</v>
      </c>
      <c r="D25" s="1869">
        <v>5700</v>
      </c>
      <c r="F25" s="856">
        <f t="shared" si="0"/>
        <v>4285.7142857142862</v>
      </c>
      <c r="G25" s="856">
        <f t="shared" si="1"/>
        <v>4789.9159663865548</v>
      </c>
      <c r="I25" t="b">
        <f t="shared" si="3"/>
        <v>0</v>
      </c>
      <c r="J25" t="b">
        <f t="shared" si="4"/>
        <v>1</v>
      </c>
    </row>
    <row r="26" spans="1:10" ht="15" customHeight="1" x14ac:dyDescent="0.35">
      <c r="A26" s="1869">
        <v>31300</v>
      </c>
      <c r="B26" s="1869">
        <v>48100</v>
      </c>
      <c r="C26" s="1869">
        <v>52900</v>
      </c>
      <c r="D26" s="1869">
        <v>60000</v>
      </c>
      <c r="F26" s="856">
        <f t="shared" si="0"/>
        <v>44453.781512605041</v>
      </c>
      <c r="G26" s="856">
        <f t="shared" si="1"/>
        <v>50420.168067226892</v>
      </c>
      <c r="I26" t="b">
        <f t="shared" si="3"/>
        <v>0</v>
      </c>
      <c r="J26" t="b">
        <f t="shared" si="4"/>
        <v>1</v>
      </c>
    </row>
    <row r="27" spans="1:10" ht="15" customHeight="1" x14ac:dyDescent="0.35">
      <c r="A27" s="1869">
        <v>32800</v>
      </c>
      <c r="B27" s="1869">
        <v>50400</v>
      </c>
      <c r="C27" s="1869">
        <v>55500</v>
      </c>
      <c r="D27" s="1869">
        <v>62900</v>
      </c>
      <c r="F27" s="856">
        <f t="shared" si="0"/>
        <v>46638.655462184877</v>
      </c>
      <c r="G27" s="856">
        <f t="shared" si="1"/>
        <v>52857.142857142862</v>
      </c>
      <c r="I27" t="b">
        <f t="shared" si="3"/>
        <v>0</v>
      </c>
      <c r="J27" t="b">
        <f t="shared" si="4"/>
        <v>1</v>
      </c>
    </row>
    <row r="28" spans="1:10" ht="15" customHeight="1" x14ac:dyDescent="0.35">
      <c r="A28" s="1869"/>
      <c r="B28" s="1869"/>
      <c r="C28" s="1869"/>
      <c r="D28" s="1869"/>
      <c r="F28" s="856">
        <f t="shared" si="0"/>
        <v>0</v>
      </c>
      <c r="G28" s="856">
        <f t="shared" si="1"/>
        <v>0</v>
      </c>
    </row>
    <row r="29" spans="1:10" ht="15" customHeight="1" x14ac:dyDescent="0.35">
      <c r="A29" s="1869"/>
      <c r="B29" s="1869">
        <v>14500</v>
      </c>
      <c r="C29" s="1869">
        <v>15900</v>
      </c>
      <c r="D29" s="1869">
        <v>18000</v>
      </c>
      <c r="F29" s="856">
        <f t="shared" si="0"/>
        <v>13361.344537815126</v>
      </c>
      <c r="G29" s="856">
        <f t="shared" si="1"/>
        <v>15126.050420168069</v>
      </c>
      <c r="I29" t="b">
        <f t="shared" si="3"/>
        <v>0</v>
      </c>
      <c r="J29" t="b">
        <f t="shared" si="4"/>
        <v>1</v>
      </c>
    </row>
    <row r="30" spans="1:10" ht="15" customHeight="1" x14ac:dyDescent="0.35">
      <c r="A30" s="1869"/>
      <c r="B30" s="1869">
        <v>15200</v>
      </c>
      <c r="C30" s="1869">
        <v>16700</v>
      </c>
      <c r="D30" s="1869">
        <v>18900</v>
      </c>
      <c r="F30" s="856">
        <f t="shared" si="0"/>
        <v>14033.613445378152</v>
      </c>
      <c r="G30" s="856">
        <f t="shared" si="1"/>
        <v>15882.352941176472</v>
      </c>
      <c r="I30" t="b">
        <f t="shared" si="3"/>
        <v>0</v>
      </c>
      <c r="J30" t="b">
        <f t="shared" si="4"/>
        <v>1</v>
      </c>
    </row>
    <row r="31" spans="1:10" ht="15" customHeight="1" x14ac:dyDescent="0.35">
      <c r="A31" s="1869"/>
      <c r="B31" s="1915">
        <v>271400</v>
      </c>
      <c r="C31" s="1915">
        <v>327600</v>
      </c>
      <c r="D31" s="1915">
        <v>381700</v>
      </c>
      <c r="E31" s="1916"/>
      <c r="F31" s="1917">
        <f t="shared" si="0"/>
        <v>275294.11764705885</v>
      </c>
      <c r="G31" s="1917">
        <f t="shared" si="1"/>
        <v>320756.30252100842</v>
      </c>
      <c r="H31" s="1916"/>
      <c r="I31" t="b">
        <f t="shared" si="3"/>
        <v>1</v>
      </c>
      <c r="J31" t="b">
        <f t="shared" si="4"/>
        <v>1</v>
      </c>
    </row>
    <row r="32" spans="1:10" ht="15" customHeight="1" x14ac:dyDescent="0.35">
      <c r="A32" s="1869"/>
      <c r="B32" s="1915">
        <v>5800</v>
      </c>
      <c r="C32" s="1915">
        <v>7200</v>
      </c>
      <c r="D32" s="1915">
        <v>4900</v>
      </c>
      <c r="E32" s="1916"/>
      <c r="F32" s="1917">
        <f t="shared" si="0"/>
        <v>6050.4201680672268</v>
      </c>
      <c r="G32" s="1917">
        <f t="shared" si="1"/>
        <v>4117.6470588235297</v>
      </c>
      <c r="H32" s="1916"/>
      <c r="I32" t="b">
        <f t="shared" si="3"/>
        <v>1</v>
      </c>
      <c r="J32" t="b">
        <f t="shared" si="4"/>
        <v>0</v>
      </c>
    </row>
    <row r="33" spans="1:10" ht="15" customHeight="1" x14ac:dyDescent="0.35">
      <c r="A33" s="1869"/>
      <c r="B33" s="1915">
        <v>122400</v>
      </c>
      <c r="C33" s="1915">
        <v>147900</v>
      </c>
      <c r="D33" s="1915">
        <v>158800</v>
      </c>
      <c r="E33" s="1916"/>
      <c r="F33" s="1917">
        <f t="shared" si="0"/>
        <v>124285.71428571429</v>
      </c>
      <c r="G33" s="1917">
        <f t="shared" si="1"/>
        <v>133445.37815126052</v>
      </c>
      <c r="H33" s="1916"/>
      <c r="I33" t="b">
        <f t="shared" si="3"/>
        <v>1</v>
      </c>
      <c r="J33" t="b">
        <f t="shared" si="4"/>
        <v>1</v>
      </c>
    </row>
    <row r="34" spans="1:10" ht="15" customHeight="1" x14ac:dyDescent="0.35">
      <c r="A34" s="1869"/>
      <c r="B34" s="1915">
        <v>3100</v>
      </c>
      <c r="C34" s="1915">
        <v>4100</v>
      </c>
      <c r="D34" s="1915">
        <v>10000</v>
      </c>
      <c r="E34" s="1916"/>
      <c r="F34" s="1917">
        <f t="shared" ref="F34:F65" si="5">C34/$F$1</f>
        <v>3445.3781512605042</v>
      </c>
      <c r="G34" s="1917">
        <f t="shared" ref="G34:G65" si="6">D34/$F$1</f>
        <v>8403.361344537816</v>
      </c>
      <c r="H34" s="1916"/>
      <c r="I34" t="b">
        <f t="shared" si="3"/>
        <v>1</v>
      </c>
      <c r="J34" t="b">
        <f t="shared" si="4"/>
        <v>1</v>
      </c>
    </row>
    <row r="35" spans="1:10" ht="15.75" customHeight="1" x14ac:dyDescent="0.35">
      <c r="A35" s="1869"/>
      <c r="B35" s="1869">
        <v>8800</v>
      </c>
      <c r="C35" s="1869">
        <v>9800</v>
      </c>
      <c r="D35" s="1869">
        <v>11000</v>
      </c>
      <c r="F35" s="856">
        <f t="shared" si="5"/>
        <v>8235.2941176470595</v>
      </c>
      <c r="G35" s="856">
        <f t="shared" si="6"/>
        <v>9243.6974789915967</v>
      </c>
      <c r="I35" t="b">
        <f>F35&gt;B35</f>
        <v>0</v>
      </c>
      <c r="J35" t="b">
        <f t="shared" si="4"/>
        <v>1</v>
      </c>
    </row>
    <row r="36" spans="1:10" ht="15" customHeight="1" x14ac:dyDescent="0.35">
      <c r="A36" s="1869"/>
      <c r="B36" s="1869">
        <v>4600</v>
      </c>
      <c r="C36" s="1869">
        <v>5100</v>
      </c>
      <c r="D36" s="1869">
        <v>5700</v>
      </c>
      <c r="F36" s="856">
        <f t="shared" si="5"/>
        <v>4285.7142857142862</v>
      </c>
      <c r="G36" s="856">
        <f t="shared" si="6"/>
        <v>4789.9159663865548</v>
      </c>
      <c r="I36" t="b">
        <f t="shared" si="3"/>
        <v>0</v>
      </c>
      <c r="J36" t="b">
        <f t="shared" si="4"/>
        <v>1</v>
      </c>
    </row>
    <row r="37" spans="1:10" ht="15.75" customHeight="1" x14ac:dyDescent="0.35">
      <c r="A37" s="1869"/>
      <c r="B37" s="1869">
        <v>8800</v>
      </c>
      <c r="C37" s="1869">
        <v>9800</v>
      </c>
      <c r="D37" s="1869">
        <v>11000</v>
      </c>
      <c r="F37" s="856">
        <f t="shared" si="5"/>
        <v>8235.2941176470595</v>
      </c>
      <c r="G37" s="856">
        <f t="shared" si="6"/>
        <v>9243.6974789915967</v>
      </c>
      <c r="I37" t="b">
        <f t="shared" si="3"/>
        <v>0</v>
      </c>
      <c r="J37" t="b">
        <f t="shared" si="4"/>
        <v>1</v>
      </c>
    </row>
    <row r="38" spans="1:10" ht="15" customHeight="1" x14ac:dyDescent="0.35">
      <c r="A38" s="1869"/>
      <c r="B38" s="1869">
        <v>4600</v>
      </c>
      <c r="C38" s="1869">
        <v>5100</v>
      </c>
      <c r="D38" s="1869">
        <v>5700</v>
      </c>
      <c r="F38" s="856">
        <f t="shared" si="5"/>
        <v>4285.7142857142862</v>
      </c>
      <c r="G38" s="856">
        <f t="shared" si="6"/>
        <v>4789.9159663865548</v>
      </c>
      <c r="I38" t="b">
        <f t="shared" si="3"/>
        <v>0</v>
      </c>
      <c r="J38" t="b">
        <f t="shared" si="4"/>
        <v>1</v>
      </c>
    </row>
    <row r="39" spans="1:10" ht="15.75" customHeight="1" x14ac:dyDescent="0.35">
      <c r="A39" s="1869">
        <v>15700</v>
      </c>
      <c r="B39" s="1869">
        <v>24100</v>
      </c>
      <c r="C39" s="1869">
        <v>26500</v>
      </c>
      <c r="D39" s="1869">
        <v>30000</v>
      </c>
      <c r="F39" s="856">
        <f t="shared" si="5"/>
        <v>22268.907563025212</v>
      </c>
      <c r="G39" s="856">
        <f t="shared" si="6"/>
        <v>25210.084033613446</v>
      </c>
      <c r="I39" t="b">
        <f t="shared" si="3"/>
        <v>0</v>
      </c>
      <c r="J39" t="b">
        <f t="shared" si="4"/>
        <v>1</v>
      </c>
    </row>
    <row r="40" spans="1:10" ht="15" customHeight="1" x14ac:dyDescent="0.35">
      <c r="A40" s="1869"/>
      <c r="B40" s="1869">
        <v>4000</v>
      </c>
      <c r="C40" s="1869">
        <v>4400</v>
      </c>
      <c r="D40" s="1869">
        <v>5100</v>
      </c>
      <c r="F40" s="856">
        <f t="shared" si="5"/>
        <v>3697.4789915966389</v>
      </c>
      <c r="G40" s="856">
        <f t="shared" si="6"/>
        <v>4285.7142857142862</v>
      </c>
      <c r="I40" t="b">
        <f t="shared" si="3"/>
        <v>0</v>
      </c>
      <c r="J40" t="b">
        <f t="shared" si="4"/>
        <v>1</v>
      </c>
    </row>
    <row r="41" spans="1:10" ht="15" customHeight="1" x14ac:dyDescent="0.35">
      <c r="A41" s="1869"/>
      <c r="B41" s="1869">
        <v>65900</v>
      </c>
      <c r="C41" s="1869">
        <v>72500</v>
      </c>
      <c r="D41" s="1869">
        <v>82200</v>
      </c>
      <c r="F41" s="856">
        <f t="shared" si="5"/>
        <v>60924.36974789916</v>
      </c>
      <c r="G41" s="856">
        <f t="shared" si="6"/>
        <v>69075.630252100847</v>
      </c>
      <c r="I41" t="b">
        <f t="shared" si="3"/>
        <v>0</v>
      </c>
      <c r="J41" t="b">
        <f t="shared" si="4"/>
        <v>1</v>
      </c>
    </row>
    <row r="42" spans="1:10" ht="15" customHeight="1" x14ac:dyDescent="0.35">
      <c r="A42" s="1869"/>
      <c r="B42" s="1869">
        <v>438900</v>
      </c>
      <c r="C42" s="1869">
        <v>0</v>
      </c>
      <c r="D42" s="1869"/>
      <c r="F42" s="856">
        <f t="shared" si="5"/>
        <v>0</v>
      </c>
      <c r="G42" s="856">
        <f t="shared" si="6"/>
        <v>0</v>
      </c>
    </row>
    <row r="43" spans="1:10" ht="15" customHeight="1" x14ac:dyDescent="0.35">
      <c r="A43" s="1869"/>
      <c r="B43" s="1869">
        <v>658400</v>
      </c>
      <c r="C43" s="1869">
        <v>0</v>
      </c>
      <c r="D43" s="1869"/>
      <c r="F43" s="856">
        <f t="shared" si="5"/>
        <v>0</v>
      </c>
      <c r="G43" s="856">
        <f t="shared" si="6"/>
        <v>0</v>
      </c>
    </row>
    <row r="44" spans="1:10" ht="15" customHeight="1" x14ac:dyDescent="0.35">
      <c r="A44" s="1869"/>
      <c r="B44" s="1869">
        <v>1316700</v>
      </c>
      <c r="C44" s="1869">
        <v>1448400</v>
      </c>
      <c r="D44" s="1869">
        <v>1641500</v>
      </c>
      <c r="F44" s="856">
        <f t="shared" si="5"/>
        <v>1217142.8571428573</v>
      </c>
      <c r="G44" s="856">
        <f t="shared" si="6"/>
        <v>1379411.7647058824</v>
      </c>
      <c r="I44" t="b">
        <f t="shared" si="3"/>
        <v>0</v>
      </c>
      <c r="J44" t="b">
        <f t="shared" ref="J44" si="7">G44&gt;B44</f>
        <v>1</v>
      </c>
    </row>
    <row r="45" spans="1:10" ht="15" customHeight="1" x14ac:dyDescent="0.35">
      <c r="A45" s="1869"/>
      <c r="B45" s="1869">
        <v>2633400</v>
      </c>
      <c r="C45" s="1869"/>
      <c r="D45" s="1869"/>
      <c r="F45" s="856">
        <f t="shared" si="5"/>
        <v>0</v>
      </c>
      <c r="G45" s="856">
        <f t="shared" si="6"/>
        <v>0</v>
      </c>
    </row>
    <row r="46" spans="1:10" ht="15" customHeight="1" x14ac:dyDescent="0.35">
      <c r="A46" s="1869"/>
      <c r="B46" s="1869">
        <v>164600</v>
      </c>
      <c r="C46" s="1869">
        <v>181100</v>
      </c>
      <c r="D46" s="1869">
        <v>205300</v>
      </c>
      <c r="F46" s="856">
        <f t="shared" si="5"/>
        <v>152184.87394957984</v>
      </c>
      <c r="G46" s="856">
        <f t="shared" si="6"/>
        <v>172521.00840336134</v>
      </c>
      <c r="I46" t="b">
        <f t="shared" si="3"/>
        <v>0</v>
      </c>
      <c r="J46" t="b">
        <f t="shared" ref="J46:J48" si="8">G46&gt;B46</f>
        <v>1</v>
      </c>
    </row>
    <row r="47" spans="1:10" ht="15" customHeight="1" x14ac:dyDescent="0.35">
      <c r="A47" s="1869"/>
      <c r="B47" s="1869">
        <v>164600</v>
      </c>
      <c r="C47" s="1869">
        <v>181100</v>
      </c>
      <c r="D47" s="1869">
        <v>205300</v>
      </c>
      <c r="F47" s="856">
        <f t="shared" si="5"/>
        <v>152184.87394957984</v>
      </c>
      <c r="G47" s="856">
        <f t="shared" si="6"/>
        <v>172521.00840336134</v>
      </c>
      <c r="I47" t="b">
        <f t="shared" si="3"/>
        <v>0</v>
      </c>
      <c r="J47" t="b">
        <f t="shared" si="8"/>
        <v>1</v>
      </c>
    </row>
    <row r="48" spans="1:10" ht="15" customHeight="1" x14ac:dyDescent="0.35">
      <c r="A48" s="1869"/>
      <c r="B48" s="1869">
        <v>219500</v>
      </c>
      <c r="C48" s="1869">
        <v>241400</v>
      </c>
      <c r="D48" s="1869">
        <v>273600</v>
      </c>
      <c r="F48" s="856">
        <f t="shared" si="5"/>
        <v>202857.14285714287</v>
      </c>
      <c r="G48" s="856">
        <f t="shared" si="6"/>
        <v>229915.96638655465</v>
      </c>
      <c r="I48" t="b">
        <f t="shared" si="3"/>
        <v>0</v>
      </c>
      <c r="J48" t="b">
        <f t="shared" si="8"/>
        <v>1</v>
      </c>
    </row>
    <row r="49" spans="1:10" ht="15" customHeight="1" x14ac:dyDescent="0.35">
      <c r="A49" s="1869"/>
      <c r="B49" s="1869">
        <v>0</v>
      </c>
      <c r="C49" s="1869"/>
      <c r="D49" s="1869"/>
      <c r="F49" s="856">
        <f t="shared" si="5"/>
        <v>0</v>
      </c>
      <c r="G49" s="856">
        <f t="shared" si="6"/>
        <v>0</v>
      </c>
    </row>
    <row r="50" spans="1:10" ht="15" customHeight="1" x14ac:dyDescent="0.35">
      <c r="A50" s="1869"/>
      <c r="B50" s="1869">
        <v>16900</v>
      </c>
      <c r="C50" s="1869">
        <v>18500</v>
      </c>
      <c r="D50" s="1869">
        <v>21100</v>
      </c>
      <c r="F50" s="856">
        <f t="shared" si="5"/>
        <v>15546.218487394959</v>
      </c>
      <c r="G50" s="856">
        <f t="shared" si="6"/>
        <v>17731.092436974792</v>
      </c>
      <c r="I50" t="b">
        <f t="shared" si="3"/>
        <v>0</v>
      </c>
      <c r="J50" t="b">
        <f t="shared" ref="J50:J58" si="9">G50&gt;B50</f>
        <v>1</v>
      </c>
    </row>
    <row r="51" spans="1:10" ht="15.75" customHeight="1" x14ac:dyDescent="0.35">
      <c r="A51" s="1869"/>
      <c r="B51" s="1869">
        <v>22500</v>
      </c>
      <c r="C51" s="1869">
        <v>24700</v>
      </c>
      <c r="D51" s="1869">
        <v>28100</v>
      </c>
      <c r="F51" s="856">
        <f t="shared" si="5"/>
        <v>20756.302521008405</v>
      </c>
      <c r="G51" s="856">
        <f t="shared" si="6"/>
        <v>23613.44537815126</v>
      </c>
      <c r="I51" t="b">
        <f t="shared" si="3"/>
        <v>0</v>
      </c>
      <c r="J51" t="b">
        <f t="shared" si="9"/>
        <v>1</v>
      </c>
    </row>
    <row r="52" spans="1:10" ht="15" customHeight="1" x14ac:dyDescent="0.35">
      <c r="A52" s="1869"/>
      <c r="B52" s="1869">
        <v>22500</v>
      </c>
      <c r="C52" s="1869">
        <v>24700</v>
      </c>
      <c r="D52" s="1869">
        <v>28100</v>
      </c>
      <c r="F52" s="856">
        <f t="shared" si="5"/>
        <v>20756.302521008405</v>
      </c>
      <c r="G52" s="856">
        <f t="shared" si="6"/>
        <v>23613.44537815126</v>
      </c>
      <c r="I52" t="b">
        <f t="shared" si="3"/>
        <v>0</v>
      </c>
      <c r="J52" t="b">
        <f t="shared" si="9"/>
        <v>1</v>
      </c>
    </row>
    <row r="53" spans="1:10" ht="15.75" customHeight="1" x14ac:dyDescent="0.35">
      <c r="A53" s="1869"/>
      <c r="B53" s="1869">
        <v>8500</v>
      </c>
      <c r="C53" s="1869">
        <v>9400</v>
      </c>
      <c r="D53" s="1869">
        <v>10600</v>
      </c>
      <c r="F53" s="856">
        <f t="shared" si="5"/>
        <v>7899.1596638655465</v>
      </c>
      <c r="G53" s="856">
        <f t="shared" si="6"/>
        <v>8907.5630252100837</v>
      </c>
      <c r="I53" t="b">
        <f t="shared" si="3"/>
        <v>0</v>
      </c>
      <c r="J53" t="b">
        <f t="shared" si="9"/>
        <v>1</v>
      </c>
    </row>
    <row r="54" spans="1:10" ht="15" customHeight="1" x14ac:dyDescent="0.35">
      <c r="A54" s="1869"/>
      <c r="B54" s="1869">
        <v>4300</v>
      </c>
      <c r="C54" s="1869">
        <v>4900</v>
      </c>
      <c r="D54" s="1869">
        <v>5500</v>
      </c>
      <c r="F54" s="856">
        <f t="shared" si="5"/>
        <v>4117.6470588235297</v>
      </c>
      <c r="G54" s="856">
        <f t="shared" si="6"/>
        <v>4621.8487394957983</v>
      </c>
      <c r="I54" t="b">
        <f t="shared" si="3"/>
        <v>0</v>
      </c>
      <c r="J54" t="b">
        <f t="shared" si="9"/>
        <v>1</v>
      </c>
    </row>
    <row r="55" spans="1:10" ht="15" customHeight="1" x14ac:dyDescent="0.35">
      <c r="A55" s="1869">
        <v>26200</v>
      </c>
      <c r="B55" s="1869">
        <v>40200</v>
      </c>
      <c r="C55" s="1869">
        <v>44100</v>
      </c>
      <c r="D55" s="1869">
        <v>50000</v>
      </c>
      <c r="F55" s="856">
        <f t="shared" si="5"/>
        <v>37058.823529411769</v>
      </c>
      <c r="G55" s="856">
        <f t="shared" si="6"/>
        <v>42016.806722689078</v>
      </c>
      <c r="I55" t="b">
        <f t="shared" si="3"/>
        <v>0</v>
      </c>
      <c r="J55" t="b">
        <f t="shared" si="9"/>
        <v>1</v>
      </c>
    </row>
    <row r="56" spans="1:10" ht="15" customHeight="1" x14ac:dyDescent="0.35">
      <c r="A56" s="1869">
        <v>29600</v>
      </c>
      <c r="B56" s="1869">
        <v>45400</v>
      </c>
      <c r="C56" s="1869">
        <v>50000</v>
      </c>
      <c r="D56" s="1869">
        <v>56600</v>
      </c>
      <c r="F56" s="856">
        <f t="shared" si="5"/>
        <v>42016.806722689078</v>
      </c>
      <c r="G56" s="856">
        <f t="shared" si="6"/>
        <v>47563.025210084037</v>
      </c>
      <c r="I56" t="b">
        <f t="shared" si="3"/>
        <v>0</v>
      </c>
      <c r="J56" t="b">
        <f t="shared" si="9"/>
        <v>1</v>
      </c>
    </row>
    <row r="57" spans="1:10" ht="15" customHeight="1" x14ac:dyDescent="0.35">
      <c r="A57" s="1869"/>
      <c r="B57" s="1869">
        <v>15300</v>
      </c>
      <c r="C57" s="1869">
        <v>16900</v>
      </c>
      <c r="D57" s="1869">
        <v>19100</v>
      </c>
      <c r="F57" s="856">
        <f t="shared" si="5"/>
        <v>14201.680672268909</v>
      </c>
      <c r="G57" s="856">
        <f t="shared" si="6"/>
        <v>16050.420168067227</v>
      </c>
      <c r="I57" t="b">
        <f t="shared" si="3"/>
        <v>0</v>
      </c>
      <c r="J57" t="b">
        <f t="shared" si="9"/>
        <v>1</v>
      </c>
    </row>
    <row r="58" spans="1:10" ht="15" customHeight="1" x14ac:dyDescent="0.35">
      <c r="A58" s="1869">
        <v>54600</v>
      </c>
      <c r="B58" s="1869">
        <v>84000</v>
      </c>
      <c r="C58" s="1869">
        <v>92300</v>
      </c>
      <c r="D58" s="1869">
        <v>104700</v>
      </c>
      <c r="F58" s="856">
        <f t="shared" si="5"/>
        <v>77563.02521008403</v>
      </c>
      <c r="G58" s="856">
        <f t="shared" si="6"/>
        <v>87983.193277310929</v>
      </c>
      <c r="I58" t="b">
        <f t="shared" si="3"/>
        <v>0</v>
      </c>
      <c r="J58" t="b">
        <f t="shared" si="9"/>
        <v>1</v>
      </c>
    </row>
    <row r="59" spans="1:10" ht="15.75" customHeight="1" x14ac:dyDescent="0.35">
      <c r="A59" s="1869"/>
      <c r="B59" s="1869"/>
      <c r="C59" s="1869"/>
      <c r="D59" s="1869"/>
      <c r="F59" s="856">
        <f t="shared" si="5"/>
        <v>0</v>
      </c>
      <c r="G59" s="856">
        <f t="shared" si="6"/>
        <v>0</v>
      </c>
    </row>
    <row r="60" spans="1:10" ht="15" customHeight="1" x14ac:dyDescent="0.35">
      <c r="A60" s="1869"/>
      <c r="B60" s="1869">
        <v>25200</v>
      </c>
      <c r="C60" s="1869">
        <v>27700</v>
      </c>
      <c r="D60" s="1869">
        <v>31500</v>
      </c>
      <c r="F60" s="856">
        <f t="shared" si="5"/>
        <v>23277.310924369747</v>
      </c>
      <c r="G60" s="856">
        <f t="shared" si="6"/>
        <v>26470.588235294119</v>
      </c>
      <c r="I60" t="b">
        <f t="shared" si="3"/>
        <v>0</v>
      </c>
      <c r="J60" t="b">
        <f t="shared" ref="J60" si="10">G60&gt;B60</f>
        <v>1</v>
      </c>
    </row>
    <row r="61" spans="1:10" ht="15.75" customHeight="1" x14ac:dyDescent="0.35">
      <c r="A61" s="1869"/>
      <c r="B61" s="1869"/>
      <c r="C61" s="1869"/>
      <c r="D61" s="1869"/>
      <c r="F61" s="856">
        <f t="shared" si="5"/>
        <v>0</v>
      </c>
      <c r="G61" s="856">
        <f t="shared" si="6"/>
        <v>0</v>
      </c>
    </row>
    <row r="62" spans="1:10" ht="15" customHeight="1" x14ac:dyDescent="0.35">
      <c r="A62" s="1869"/>
      <c r="B62" s="1869"/>
      <c r="C62" s="1869"/>
      <c r="D62" s="1869"/>
      <c r="F62" s="856">
        <f t="shared" si="5"/>
        <v>0</v>
      </c>
      <c r="G62" s="856">
        <f t="shared" si="6"/>
        <v>0</v>
      </c>
    </row>
    <row r="63" spans="1:10" ht="15" customHeight="1" x14ac:dyDescent="0.35">
      <c r="A63" s="1869">
        <v>27000</v>
      </c>
      <c r="B63" s="1869">
        <v>41500</v>
      </c>
      <c r="C63" s="1869">
        <v>45700</v>
      </c>
      <c r="D63" s="1869">
        <v>51800</v>
      </c>
      <c r="F63" s="856">
        <f t="shared" si="5"/>
        <v>38403.361344537814</v>
      </c>
      <c r="G63" s="856">
        <f t="shared" si="6"/>
        <v>43529.411764705881</v>
      </c>
      <c r="I63" t="b">
        <f t="shared" si="3"/>
        <v>0</v>
      </c>
      <c r="J63" t="b">
        <f t="shared" ref="J63:J64" si="11">G63&gt;B63</f>
        <v>1</v>
      </c>
    </row>
    <row r="64" spans="1:10" ht="15" customHeight="1" x14ac:dyDescent="0.35">
      <c r="A64" s="1869">
        <v>34700</v>
      </c>
      <c r="B64" s="1869">
        <v>53300</v>
      </c>
      <c r="C64" s="1869">
        <v>58700</v>
      </c>
      <c r="D64" s="1869">
        <v>66400</v>
      </c>
      <c r="F64" s="856">
        <f t="shared" si="5"/>
        <v>49327.731092436974</v>
      </c>
      <c r="G64" s="856">
        <f t="shared" si="6"/>
        <v>55798.319327731093</v>
      </c>
      <c r="I64" t="b">
        <f t="shared" si="3"/>
        <v>0</v>
      </c>
      <c r="J64" t="b">
        <f t="shared" si="11"/>
        <v>1</v>
      </c>
    </row>
    <row r="65" spans="1:10" ht="15" customHeight="1" x14ac:dyDescent="0.35">
      <c r="A65" s="1869"/>
      <c r="B65" s="1869">
        <v>7200</v>
      </c>
      <c r="C65" s="1869"/>
      <c r="D65" s="1869"/>
      <c r="F65" s="856">
        <f t="shared" si="5"/>
        <v>0</v>
      </c>
      <c r="G65" s="856">
        <f t="shared" si="6"/>
        <v>0</v>
      </c>
    </row>
    <row r="66" spans="1:10" ht="15" customHeight="1" x14ac:dyDescent="0.35">
      <c r="A66" s="1869"/>
      <c r="B66" s="1869">
        <v>14200</v>
      </c>
      <c r="C66" s="1869"/>
      <c r="D66" s="1869"/>
      <c r="F66" s="856">
        <f t="shared" ref="F66:F86" si="12">C66/$F$1</f>
        <v>0</v>
      </c>
      <c r="G66" s="856">
        <f t="shared" ref="G66:G86" si="13">D66/$F$1</f>
        <v>0</v>
      </c>
    </row>
    <row r="67" spans="1:10" ht="15" customHeight="1" x14ac:dyDescent="0.35">
      <c r="A67" s="1869"/>
      <c r="B67" s="1869"/>
      <c r="C67" s="1869"/>
      <c r="D67" s="1869"/>
      <c r="F67" s="856">
        <f t="shared" si="12"/>
        <v>0</v>
      </c>
      <c r="G67" s="856">
        <f t="shared" si="13"/>
        <v>0</v>
      </c>
    </row>
    <row r="68" spans="1:10" ht="15.75" customHeight="1" x14ac:dyDescent="0.35">
      <c r="A68" s="1869"/>
      <c r="B68" s="1869">
        <v>12500</v>
      </c>
      <c r="C68" s="1869">
        <v>13800</v>
      </c>
      <c r="D68" s="1869">
        <v>15600</v>
      </c>
      <c r="F68" s="856">
        <f t="shared" si="12"/>
        <v>11596.638655462186</v>
      </c>
      <c r="G68" s="856">
        <f t="shared" si="13"/>
        <v>13109.243697478993</v>
      </c>
      <c r="I68" t="b">
        <f>F68&gt;B68</f>
        <v>0</v>
      </c>
      <c r="J68" t="b">
        <f t="shared" ref="J68:J71" si="14">G68&gt;B68</f>
        <v>1</v>
      </c>
    </row>
    <row r="69" spans="1:10" ht="15" customHeight="1" x14ac:dyDescent="0.35">
      <c r="A69" s="1869"/>
      <c r="B69" s="1869">
        <v>16000</v>
      </c>
      <c r="C69" s="1869">
        <v>17700</v>
      </c>
      <c r="D69" s="1869">
        <v>20000</v>
      </c>
      <c r="F69" s="856">
        <f t="shared" si="12"/>
        <v>14873.949579831933</v>
      </c>
      <c r="G69" s="856">
        <f t="shared" si="13"/>
        <v>16806.722689075632</v>
      </c>
      <c r="I69" t="b">
        <f>F69&gt;B69</f>
        <v>0</v>
      </c>
      <c r="J69" t="b">
        <f t="shared" si="14"/>
        <v>1</v>
      </c>
    </row>
    <row r="70" spans="1:10" ht="15" customHeight="1" x14ac:dyDescent="0.35">
      <c r="A70" s="1869">
        <v>61400</v>
      </c>
      <c r="B70" s="1869">
        <v>94400</v>
      </c>
      <c r="C70" s="1869">
        <v>103900</v>
      </c>
      <c r="D70" s="1869">
        <v>117700</v>
      </c>
      <c r="F70" s="856">
        <f t="shared" si="12"/>
        <v>87310.924369747896</v>
      </c>
      <c r="G70" s="856">
        <f t="shared" si="13"/>
        <v>98907.563025210082</v>
      </c>
      <c r="I70" t="b">
        <f>F70&gt;B70</f>
        <v>0</v>
      </c>
      <c r="J70" t="b">
        <f t="shared" si="14"/>
        <v>1</v>
      </c>
    </row>
    <row r="71" spans="1:10" ht="15" customHeight="1" x14ac:dyDescent="0.35">
      <c r="A71" s="1869">
        <v>67600</v>
      </c>
      <c r="B71" s="1869">
        <v>104000</v>
      </c>
      <c r="C71" s="1869">
        <v>114400</v>
      </c>
      <c r="D71" s="1869">
        <v>129600</v>
      </c>
      <c r="F71" s="856">
        <f t="shared" si="12"/>
        <v>96134.45378151261</v>
      </c>
      <c r="G71" s="856">
        <f t="shared" si="13"/>
        <v>108907.56302521008</v>
      </c>
      <c r="I71" t="b">
        <f>F71&gt;B71</f>
        <v>0</v>
      </c>
      <c r="J71" t="b">
        <f t="shared" si="14"/>
        <v>1</v>
      </c>
    </row>
    <row r="72" spans="1:10" ht="15" customHeight="1" x14ac:dyDescent="0.35">
      <c r="A72" s="1869">
        <v>69800</v>
      </c>
      <c r="B72" s="1869">
        <v>107300</v>
      </c>
      <c r="C72" s="1869"/>
      <c r="D72" s="1869"/>
      <c r="F72" s="856">
        <f t="shared" si="12"/>
        <v>0</v>
      </c>
      <c r="G72" s="856">
        <f t="shared" si="13"/>
        <v>0</v>
      </c>
    </row>
    <row r="73" spans="1:10" ht="15" customHeight="1" x14ac:dyDescent="0.35">
      <c r="A73" s="1869"/>
      <c r="B73" s="1869"/>
      <c r="C73" s="1869"/>
      <c r="D73" s="1869"/>
      <c r="F73" s="856">
        <f t="shared" si="12"/>
        <v>0</v>
      </c>
      <c r="G73" s="856">
        <f t="shared" si="13"/>
        <v>0</v>
      </c>
    </row>
    <row r="74" spans="1:10" ht="15" customHeight="1" x14ac:dyDescent="0.35">
      <c r="A74" s="1869"/>
      <c r="B74" s="1869">
        <v>28400</v>
      </c>
      <c r="C74" s="1869">
        <v>31200</v>
      </c>
      <c r="D74" s="1869">
        <v>35400</v>
      </c>
      <c r="F74" s="856">
        <f t="shared" si="12"/>
        <v>26218.487394957985</v>
      </c>
      <c r="G74" s="856">
        <f t="shared" si="13"/>
        <v>29747.899159663866</v>
      </c>
      <c r="I74" t="b">
        <f>F74&gt;B74</f>
        <v>0</v>
      </c>
      <c r="J74" t="b">
        <f t="shared" ref="J74:J75" si="15">G74&gt;B74</f>
        <v>1</v>
      </c>
    </row>
    <row r="75" spans="1:10" ht="15" customHeight="1" x14ac:dyDescent="0.35">
      <c r="A75" s="1869"/>
      <c r="B75" s="1869">
        <v>31200</v>
      </c>
      <c r="C75" s="1869">
        <v>34400</v>
      </c>
      <c r="D75" s="1869">
        <v>38900</v>
      </c>
      <c r="F75" s="856">
        <f t="shared" si="12"/>
        <v>28907.563025210085</v>
      </c>
      <c r="G75" s="856">
        <f t="shared" si="13"/>
        <v>32689.075630252104</v>
      </c>
      <c r="I75" t="b">
        <f>F75&gt;B75</f>
        <v>0</v>
      </c>
      <c r="J75" t="b">
        <f t="shared" si="15"/>
        <v>1</v>
      </c>
    </row>
    <row r="76" spans="1:10" ht="15.75" customHeight="1" x14ac:dyDescent="0.35">
      <c r="A76" s="1869"/>
      <c r="B76" s="1869">
        <v>32200</v>
      </c>
      <c r="C76" s="1869"/>
      <c r="D76" s="1869"/>
      <c r="F76" s="856">
        <f t="shared" si="12"/>
        <v>0</v>
      </c>
      <c r="G76" s="856">
        <f t="shared" si="13"/>
        <v>0</v>
      </c>
    </row>
    <row r="77" spans="1:10" ht="15" customHeight="1" x14ac:dyDescent="0.35">
      <c r="A77" s="1869">
        <v>7300</v>
      </c>
      <c r="B77" s="1869">
        <v>11200</v>
      </c>
      <c r="C77" s="1869">
        <v>12300</v>
      </c>
      <c r="D77" s="1869">
        <v>13900</v>
      </c>
      <c r="F77" s="856">
        <f t="shared" si="12"/>
        <v>10336.134453781513</v>
      </c>
      <c r="G77" s="856">
        <f t="shared" si="13"/>
        <v>11680.672268907563</v>
      </c>
      <c r="I77" t="b">
        <f t="shared" ref="I77:I82" si="16">F77&gt;B77</f>
        <v>0</v>
      </c>
      <c r="J77" t="b">
        <f t="shared" ref="J77:J82" si="17">G77&gt;B77</f>
        <v>1</v>
      </c>
    </row>
    <row r="78" spans="1:10" ht="15.75" customHeight="1" x14ac:dyDescent="0.35">
      <c r="A78" s="1869"/>
      <c r="B78" s="1869">
        <v>356100</v>
      </c>
      <c r="C78" s="1869">
        <v>391600</v>
      </c>
      <c r="D78" s="1869">
        <v>443900</v>
      </c>
      <c r="F78" s="856">
        <f t="shared" si="12"/>
        <v>329075.63025210088</v>
      </c>
      <c r="G78" s="856">
        <f t="shared" si="13"/>
        <v>373025.21008403361</v>
      </c>
      <c r="I78" t="b">
        <f t="shared" si="16"/>
        <v>0</v>
      </c>
      <c r="J78" t="b">
        <f t="shared" si="17"/>
        <v>1</v>
      </c>
    </row>
    <row r="79" spans="1:10" ht="15" customHeight="1" x14ac:dyDescent="0.35">
      <c r="A79" s="1869"/>
      <c r="B79" s="1869">
        <v>273900</v>
      </c>
      <c r="C79" s="1869">
        <v>301300</v>
      </c>
      <c r="D79" s="1869">
        <v>341600</v>
      </c>
      <c r="F79" s="856">
        <f t="shared" si="12"/>
        <v>253193.27731092437</v>
      </c>
      <c r="G79" s="856">
        <f t="shared" si="13"/>
        <v>287058.82352941181</v>
      </c>
      <c r="I79" t="b">
        <f t="shared" si="16"/>
        <v>0</v>
      </c>
      <c r="J79" t="b">
        <f t="shared" si="17"/>
        <v>1</v>
      </c>
    </row>
    <row r="80" spans="1:10" ht="15" customHeight="1" x14ac:dyDescent="0.35">
      <c r="A80" s="1869"/>
      <c r="B80" s="1869">
        <v>356100</v>
      </c>
      <c r="C80" s="1869">
        <v>391600</v>
      </c>
      <c r="D80" s="1869">
        <v>443900</v>
      </c>
      <c r="F80" s="856">
        <f t="shared" si="12"/>
        <v>329075.63025210088</v>
      </c>
      <c r="G80" s="856">
        <f t="shared" si="13"/>
        <v>373025.21008403361</v>
      </c>
      <c r="I80" t="b">
        <f t="shared" si="16"/>
        <v>0</v>
      </c>
      <c r="J80" t="b">
        <f t="shared" si="17"/>
        <v>1</v>
      </c>
    </row>
    <row r="81" spans="1:10" ht="15" customHeight="1" x14ac:dyDescent="0.35">
      <c r="A81" s="1869"/>
      <c r="B81" s="1869">
        <v>273900</v>
      </c>
      <c r="C81" s="1869">
        <v>301300</v>
      </c>
      <c r="D81" s="1869">
        <v>341600</v>
      </c>
      <c r="F81" s="856">
        <f t="shared" si="12"/>
        <v>253193.27731092437</v>
      </c>
      <c r="G81" s="856">
        <f t="shared" si="13"/>
        <v>287058.82352941181</v>
      </c>
      <c r="I81" t="b">
        <f t="shared" si="16"/>
        <v>0</v>
      </c>
      <c r="J81" t="b">
        <f t="shared" si="17"/>
        <v>1</v>
      </c>
    </row>
    <row r="82" spans="1:10" ht="15" customHeight="1" x14ac:dyDescent="0.35">
      <c r="A82" s="1869"/>
      <c r="B82" s="1869">
        <v>101700</v>
      </c>
      <c r="C82" s="1869">
        <v>111900</v>
      </c>
      <c r="D82" s="1869">
        <v>126800</v>
      </c>
      <c r="F82" s="856">
        <f t="shared" si="12"/>
        <v>94033.613445378156</v>
      </c>
      <c r="G82" s="856">
        <f t="shared" si="13"/>
        <v>106554.62184873949</v>
      </c>
      <c r="I82" t="b">
        <f t="shared" si="16"/>
        <v>0</v>
      </c>
      <c r="J82" t="b">
        <f t="shared" si="17"/>
        <v>1</v>
      </c>
    </row>
    <row r="83" spans="1:10" ht="15.75" customHeight="1" x14ac:dyDescent="0.35">
      <c r="A83" s="1869"/>
      <c r="B83" s="1869"/>
      <c r="C83" s="1869"/>
      <c r="D83" s="1869"/>
      <c r="F83" s="856">
        <f t="shared" si="12"/>
        <v>0</v>
      </c>
      <c r="G83" s="856">
        <f t="shared" si="13"/>
        <v>0</v>
      </c>
    </row>
    <row r="84" spans="1:10" ht="16.5" customHeight="1" x14ac:dyDescent="0.35">
      <c r="A84" s="1869"/>
      <c r="B84" s="1869">
        <v>30600</v>
      </c>
      <c r="C84" s="1869">
        <v>33600</v>
      </c>
      <c r="D84" s="1869">
        <v>38100</v>
      </c>
      <c r="F84" s="856">
        <f t="shared" si="12"/>
        <v>28235.294117647059</v>
      </c>
      <c r="G84" s="856">
        <f t="shared" si="13"/>
        <v>32016.806722689078</v>
      </c>
      <c r="I84" t="b">
        <f>F84&gt;B84</f>
        <v>0</v>
      </c>
      <c r="J84" t="b">
        <f>G84&gt;B84</f>
        <v>1</v>
      </c>
    </row>
    <row r="85" spans="1:10" ht="48" customHeight="1" x14ac:dyDescent="0.35">
      <c r="A85" s="1869"/>
      <c r="B85" s="1869">
        <v>1523000</v>
      </c>
      <c r="C85" s="1869">
        <v>1675400</v>
      </c>
      <c r="D85" s="1869">
        <v>1898700</v>
      </c>
      <c r="F85" s="856">
        <f t="shared" si="12"/>
        <v>1407899.1596638656</v>
      </c>
      <c r="G85" s="856">
        <f t="shared" si="13"/>
        <v>1595546.218487395</v>
      </c>
      <c r="I85" t="b">
        <f>F85&gt;B85</f>
        <v>0</v>
      </c>
      <c r="J85" t="b">
        <f>G85&gt;B85</f>
        <v>1</v>
      </c>
    </row>
    <row r="86" spans="1:10" x14ac:dyDescent="0.35">
      <c r="A86" s="1869">
        <v>61900</v>
      </c>
      <c r="B86" s="1869">
        <v>95200</v>
      </c>
      <c r="C86" s="1869">
        <v>104800</v>
      </c>
      <c r="D86" s="1869">
        <v>118700</v>
      </c>
      <c r="F86" s="856">
        <f t="shared" si="12"/>
        <v>88067.226890756312</v>
      </c>
      <c r="G86" s="856">
        <f t="shared" si="13"/>
        <v>99747.899159663866</v>
      </c>
      <c r="I86" t="b">
        <f>F86&gt;B86</f>
        <v>0</v>
      </c>
      <c r="J86" t="b">
        <f>G86&gt;B86</f>
        <v>1</v>
      </c>
    </row>
    <row r="87" spans="1:10" x14ac:dyDescent="0.35">
      <c r="A87" s="1869"/>
      <c r="B87" s="1869"/>
      <c r="C87" s="1869"/>
      <c r="D87" s="186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95"/>
  <sheetViews>
    <sheetView zoomScale="80" zoomScaleNormal="80" workbookViewId="0">
      <selection activeCell="J36" sqref="J36"/>
    </sheetView>
  </sheetViews>
  <sheetFormatPr baseColWidth="10" defaultColWidth="11.453125" defaultRowHeight="14.5" x14ac:dyDescent="0.35"/>
  <cols>
    <col min="1" max="1" width="11.453125" style="157"/>
    <col min="2" max="2" width="38.54296875" style="157" bestFit="1" customWidth="1"/>
    <col min="3" max="3" width="49.81640625" style="157" bestFit="1" customWidth="1"/>
    <col min="4" max="4" width="15" style="157" customWidth="1"/>
    <col min="5" max="7" width="12.26953125" style="157" bestFit="1" customWidth="1"/>
    <col min="8" max="8" width="11.453125" style="157"/>
    <col min="9" max="10" width="12.1796875" style="157" customWidth="1"/>
    <col min="11" max="16384" width="11.453125" style="157"/>
  </cols>
  <sheetData>
    <row r="1" spans="2:13" ht="15" thickBot="1" x14ac:dyDescent="0.4"/>
    <row r="2" spans="2:13" ht="15.5" x14ac:dyDescent="0.35">
      <c r="B2" s="2955" t="s">
        <v>3</v>
      </c>
      <c r="C2" s="2957" t="s">
        <v>22</v>
      </c>
      <c r="D2" s="2959" t="s">
        <v>522</v>
      </c>
      <c r="E2" s="2960"/>
      <c r="F2" s="2960"/>
      <c r="G2" s="2961"/>
      <c r="H2" s="1698">
        <v>1.19</v>
      </c>
      <c r="I2" s="1698">
        <v>0.95</v>
      </c>
      <c r="J2" s="1698">
        <v>1.08</v>
      </c>
    </row>
    <row r="3" spans="2:13" ht="15" thickBot="1" x14ac:dyDescent="0.4">
      <c r="B3" s="2956"/>
      <c r="C3" s="2958"/>
      <c r="D3" s="1640" t="s">
        <v>40</v>
      </c>
      <c r="E3" s="1641" t="s">
        <v>27</v>
      </c>
      <c r="F3" s="1641" t="s">
        <v>28</v>
      </c>
      <c r="G3" s="1642" t="s">
        <v>29</v>
      </c>
      <c r="I3" s="1641" t="s">
        <v>28</v>
      </c>
      <c r="J3" s="1641" t="s">
        <v>29</v>
      </c>
    </row>
    <row r="4" spans="2:13" x14ac:dyDescent="0.35">
      <c r="B4" s="2938" t="s">
        <v>41</v>
      </c>
      <c r="C4" s="887" t="s">
        <v>42</v>
      </c>
      <c r="D4" s="764">
        <v>55500</v>
      </c>
      <c r="E4" s="765">
        <v>85300</v>
      </c>
      <c r="F4" s="765">
        <v>93800</v>
      </c>
      <c r="G4" s="766">
        <v>106300</v>
      </c>
      <c r="I4" s="1883">
        <f>+E4*H2*I2</f>
        <v>96431.65</v>
      </c>
      <c r="J4" s="1884">
        <f>+E4*$H$2*$J$2</f>
        <v>109627.56000000001</v>
      </c>
      <c r="L4" s="1709">
        <f>+(I4-F4)/F4</f>
        <v>2.8055970149253668E-2</v>
      </c>
      <c r="M4" s="1710">
        <f>+(J4-G4)/G4</f>
        <v>3.1303480714957782E-2</v>
      </c>
    </row>
    <row r="5" spans="2:13" x14ac:dyDescent="0.35">
      <c r="B5" s="2943"/>
      <c r="C5" s="888" t="s">
        <v>43</v>
      </c>
      <c r="D5" s="1643">
        <v>38300</v>
      </c>
      <c r="E5" s="1644">
        <v>58800</v>
      </c>
      <c r="F5" s="1644">
        <v>64700</v>
      </c>
      <c r="G5" s="1645">
        <v>73400</v>
      </c>
      <c r="I5" s="1885">
        <f>+E5*I2*H2</f>
        <v>66473.399999999994</v>
      </c>
      <c r="J5" s="1886">
        <f t="shared" ref="J5:J68" si="0">+E5*$H$2*$J$2</f>
        <v>75569.760000000009</v>
      </c>
      <c r="L5" s="1711">
        <f t="shared" ref="L5:L68" si="1">+(I5-F5)/F5</f>
        <v>2.7409582689335306E-2</v>
      </c>
      <c r="M5" s="1712">
        <f t="shared" ref="M5:M68" si="2">+(J5-G5)/G5</f>
        <v>2.9560762942779418E-2</v>
      </c>
    </row>
    <row r="6" spans="2:13" x14ac:dyDescent="0.35">
      <c r="B6" s="2943"/>
      <c r="C6" s="888" t="s">
        <v>44</v>
      </c>
      <c r="D6" s="1643">
        <v>51700</v>
      </c>
      <c r="E6" s="1644">
        <v>79500</v>
      </c>
      <c r="F6" s="1644">
        <v>87500</v>
      </c>
      <c r="G6" s="1645">
        <v>99100</v>
      </c>
      <c r="I6" s="1885">
        <f>+E6*I2*H2</f>
        <v>89874.75</v>
      </c>
      <c r="J6" s="1886">
        <f t="shared" si="0"/>
        <v>102173.40000000001</v>
      </c>
      <c r="L6" s="1711">
        <f t="shared" si="1"/>
        <v>2.7140000000000001E-2</v>
      </c>
      <c r="M6" s="1712">
        <f t="shared" si="2"/>
        <v>3.1013118062563155E-2</v>
      </c>
    </row>
    <row r="7" spans="2:13" x14ac:dyDescent="0.35">
      <c r="B7" s="2943"/>
      <c r="C7" s="888" t="s">
        <v>45</v>
      </c>
      <c r="D7" s="1643">
        <v>46700</v>
      </c>
      <c r="E7" s="1644">
        <v>71800</v>
      </c>
      <c r="F7" s="1644">
        <v>78900</v>
      </c>
      <c r="G7" s="1645">
        <v>89500</v>
      </c>
      <c r="I7" s="1885">
        <f>+E7*I2*H2</f>
        <v>81169.899999999994</v>
      </c>
      <c r="J7" s="1886">
        <f>+E7*$H$2*$J$2</f>
        <v>92277.36</v>
      </c>
      <c r="L7" s="1711">
        <f t="shared" si="1"/>
        <v>2.8769328263624768E-2</v>
      </c>
      <c r="M7" s="1712">
        <f t="shared" si="2"/>
        <v>3.1031955307262576E-2</v>
      </c>
    </row>
    <row r="8" spans="2:13" x14ac:dyDescent="0.35">
      <c r="B8" s="2962"/>
      <c r="C8" s="889" t="s">
        <v>334</v>
      </c>
      <c r="D8" s="1646">
        <v>18400</v>
      </c>
      <c r="E8" s="1647">
        <v>28200</v>
      </c>
      <c r="F8" s="1648"/>
      <c r="G8" s="1649"/>
      <c r="I8" s="1790"/>
      <c r="J8" s="1795"/>
      <c r="L8" s="1725"/>
      <c r="M8" s="1726"/>
    </row>
    <row r="9" spans="2:13" x14ac:dyDescent="0.35">
      <c r="B9" s="2943"/>
      <c r="C9" s="890" t="s">
        <v>46</v>
      </c>
      <c r="D9" s="1650"/>
      <c r="E9" s="1648"/>
      <c r="F9" s="1648"/>
      <c r="G9" s="1649"/>
      <c r="I9" s="1790"/>
      <c r="J9" s="1795"/>
      <c r="L9" s="1725"/>
      <c r="M9" s="1726"/>
    </row>
    <row r="10" spans="2:13" x14ac:dyDescent="0.35">
      <c r="B10" s="2943"/>
      <c r="C10" s="891" t="s">
        <v>42</v>
      </c>
      <c r="D10" s="1651"/>
      <c r="E10" s="1644">
        <v>25600</v>
      </c>
      <c r="F10" s="1644">
        <v>28200</v>
      </c>
      <c r="G10" s="1645">
        <v>31900</v>
      </c>
      <c r="I10" s="1789">
        <f>+E10*I2*H2</f>
        <v>28940.799999999999</v>
      </c>
      <c r="J10" s="1788">
        <f t="shared" si="0"/>
        <v>32901.120000000003</v>
      </c>
      <c r="L10" s="1727">
        <f t="shared" si="1"/>
        <v>2.6269503546099266E-2</v>
      </c>
      <c r="M10" s="1728">
        <f t="shared" si="2"/>
        <v>3.1383072100313561E-2</v>
      </c>
    </row>
    <row r="11" spans="2:13" x14ac:dyDescent="0.35">
      <c r="B11" s="2943"/>
      <c r="C11" s="891" t="s">
        <v>43</v>
      </c>
      <c r="D11" s="1651"/>
      <c r="E11" s="1644">
        <v>17700</v>
      </c>
      <c r="F11" s="1644">
        <v>19500</v>
      </c>
      <c r="G11" s="1645">
        <v>22100</v>
      </c>
      <c r="I11" s="1789">
        <f>+E11*I2*H2</f>
        <v>20009.849999999999</v>
      </c>
      <c r="J11" s="1788">
        <f t="shared" si="0"/>
        <v>22748.04</v>
      </c>
      <c r="L11" s="1727">
        <f t="shared" si="1"/>
        <v>2.614615384615377E-2</v>
      </c>
      <c r="M11" s="1728">
        <f t="shared" si="2"/>
        <v>2.9323076923076962E-2</v>
      </c>
    </row>
    <row r="12" spans="2:13" x14ac:dyDescent="0.35">
      <c r="B12" s="2943"/>
      <c r="C12" s="891" t="s">
        <v>44</v>
      </c>
      <c r="D12" s="1651"/>
      <c r="E12" s="1644">
        <v>23900</v>
      </c>
      <c r="F12" s="1644">
        <v>26300</v>
      </c>
      <c r="G12" s="1645">
        <v>29800</v>
      </c>
      <c r="I12" s="1789">
        <f>+E12*I2*H2</f>
        <v>27018.949999999997</v>
      </c>
      <c r="J12" s="1788">
        <f t="shared" si="0"/>
        <v>30716.280000000002</v>
      </c>
      <c r="L12" s="1727">
        <f t="shared" si="1"/>
        <v>2.7336501901140575E-2</v>
      </c>
      <c r="M12" s="1728">
        <f t="shared" si="2"/>
        <v>3.0747651006711493E-2</v>
      </c>
    </row>
    <row r="13" spans="2:13" ht="15" thickBot="1" x14ac:dyDescent="0.4">
      <c r="B13" s="2939"/>
      <c r="C13" s="892" t="s">
        <v>45</v>
      </c>
      <c r="D13" s="1652"/>
      <c r="E13" s="1653">
        <v>21600</v>
      </c>
      <c r="F13" s="1653">
        <v>23700</v>
      </c>
      <c r="G13" s="1654">
        <v>26900</v>
      </c>
      <c r="I13" s="1789">
        <f>+E13*I2*H2</f>
        <v>24418.799999999999</v>
      </c>
      <c r="J13" s="1654">
        <f t="shared" si="0"/>
        <v>27760.320000000003</v>
      </c>
      <c r="L13" s="1729">
        <f t="shared" si="1"/>
        <v>3.0329113924050601E-2</v>
      </c>
      <c r="M13" s="1730">
        <f t="shared" si="2"/>
        <v>3.1982156133829119E-2</v>
      </c>
    </row>
    <row r="14" spans="2:13" x14ac:dyDescent="0.35">
      <c r="B14" s="2938" t="s">
        <v>47</v>
      </c>
      <c r="C14" s="887" t="s">
        <v>48</v>
      </c>
      <c r="D14" s="1655">
        <v>56300</v>
      </c>
      <c r="E14" s="1656">
        <v>86600</v>
      </c>
      <c r="F14" s="1656">
        <v>95200</v>
      </c>
      <c r="G14" s="1657">
        <v>107900</v>
      </c>
      <c r="I14" s="1655">
        <f>+E14*$I$2*H2</f>
        <v>97901.299999999988</v>
      </c>
      <c r="J14" s="1657">
        <f t="shared" si="0"/>
        <v>111298.32</v>
      </c>
      <c r="L14" s="1731">
        <f t="shared" si="1"/>
        <v>2.8374999999999876E-2</v>
      </c>
      <c r="M14" s="1732">
        <f t="shared" si="2"/>
        <v>3.1495088044485697E-2</v>
      </c>
    </row>
    <row r="15" spans="2:13" x14ac:dyDescent="0.35">
      <c r="B15" s="2943"/>
      <c r="C15" s="888" t="s">
        <v>49</v>
      </c>
      <c r="D15" s="1643">
        <v>68600</v>
      </c>
      <c r="E15" s="1644">
        <v>105400</v>
      </c>
      <c r="F15" s="1644">
        <v>115900</v>
      </c>
      <c r="G15" s="1645">
        <v>131300</v>
      </c>
      <c r="I15" s="767">
        <f>+E15*$I$2*H2</f>
        <v>119154.7</v>
      </c>
      <c r="J15" s="1645">
        <f t="shared" si="0"/>
        <v>135460.08000000002</v>
      </c>
      <c r="L15" s="1727">
        <f t="shared" si="1"/>
        <v>2.808196721311473E-2</v>
      </c>
      <c r="M15" s="1728">
        <f t="shared" si="2"/>
        <v>3.1683777608530209E-2</v>
      </c>
    </row>
    <row r="16" spans="2:13" x14ac:dyDescent="0.35">
      <c r="B16" s="2943"/>
      <c r="C16" s="888" t="s">
        <v>50</v>
      </c>
      <c r="D16" s="1643">
        <v>7200</v>
      </c>
      <c r="E16" s="1644">
        <v>11000</v>
      </c>
      <c r="F16" s="1644">
        <v>12100</v>
      </c>
      <c r="G16" s="1645">
        <v>13700</v>
      </c>
      <c r="I16" s="767">
        <f>+E16*$I$2*H2</f>
        <v>12435.5</v>
      </c>
      <c r="J16" s="1645">
        <f>+E16*$H$2*$J$2</f>
        <v>14137.2</v>
      </c>
      <c r="L16" s="1727">
        <f t="shared" si="1"/>
        <v>2.7727272727272729E-2</v>
      </c>
      <c r="M16" s="1728">
        <f t="shared" si="2"/>
        <v>3.1912408759124142E-2</v>
      </c>
    </row>
    <row r="17" spans="2:15" x14ac:dyDescent="0.35">
      <c r="B17" s="2943"/>
      <c r="C17" s="890" t="s">
        <v>46</v>
      </c>
      <c r="D17" s="1650"/>
      <c r="E17" s="1648"/>
      <c r="F17" s="1648">
        <v>0</v>
      </c>
      <c r="G17" s="1649">
        <v>0</v>
      </c>
      <c r="I17" s="779"/>
      <c r="J17" s="1649"/>
      <c r="L17" s="1725"/>
      <c r="M17" s="1726"/>
    </row>
    <row r="18" spans="2:15" x14ac:dyDescent="0.35">
      <c r="B18" s="2943"/>
      <c r="C18" s="891" t="s">
        <v>51</v>
      </c>
      <c r="D18" s="1651"/>
      <c r="E18" s="1644">
        <v>26000</v>
      </c>
      <c r="F18" s="1644">
        <v>28600</v>
      </c>
      <c r="G18" s="1645">
        <v>32400</v>
      </c>
      <c r="I18" s="767">
        <f>+E18*I2*H2</f>
        <v>29393</v>
      </c>
      <c r="J18" s="1645">
        <f t="shared" si="0"/>
        <v>33415.200000000004</v>
      </c>
      <c r="L18" s="1727">
        <f t="shared" si="1"/>
        <v>2.7727272727272729E-2</v>
      </c>
      <c r="M18" s="1728">
        <f t="shared" si="2"/>
        <v>3.133333333333347E-2</v>
      </c>
    </row>
    <row r="19" spans="2:15" ht="15" thickBot="1" x14ac:dyDescent="0.4">
      <c r="B19" s="2939"/>
      <c r="C19" s="892" t="s">
        <v>52</v>
      </c>
      <c r="D19" s="1652"/>
      <c r="E19" s="1653">
        <v>31700</v>
      </c>
      <c r="F19" s="1653">
        <v>34800</v>
      </c>
      <c r="G19" s="1654">
        <v>39400</v>
      </c>
      <c r="I19" s="1693">
        <f>+E19*I2*H2</f>
        <v>35836.85</v>
      </c>
      <c r="J19" s="507">
        <f t="shared" si="0"/>
        <v>40740.840000000004</v>
      </c>
      <c r="L19" s="1729">
        <f>+(I19-F19)/F19</f>
        <v>2.9794540229885015E-2</v>
      </c>
      <c r="M19" s="1730">
        <f t="shared" si="2"/>
        <v>3.4031472081218372E-2</v>
      </c>
      <c r="O19" s="1887"/>
    </row>
    <row r="20" spans="2:15" x14ac:dyDescent="0.35">
      <c r="B20" s="2950" t="s">
        <v>53</v>
      </c>
      <c r="C20" s="893" t="s">
        <v>54</v>
      </c>
      <c r="D20" s="764">
        <v>24400</v>
      </c>
      <c r="E20" s="765">
        <v>37400</v>
      </c>
      <c r="F20" s="765">
        <v>41200</v>
      </c>
      <c r="G20" s="766">
        <v>46700</v>
      </c>
      <c r="I20" s="1699">
        <f>+E20*$I$2*H2</f>
        <v>42280.7</v>
      </c>
      <c r="J20" s="1700">
        <f t="shared" si="0"/>
        <v>48066.48</v>
      </c>
      <c r="L20" s="1709">
        <f>+(I20-F20)/F20</f>
        <v>2.6230582524271774E-2</v>
      </c>
      <c r="M20" s="1710">
        <f t="shared" si="2"/>
        <v>2.9260813704496857E-2</v>
      </c>
    </row>
    <row r="21" spans="2:15" x14ac:dyDescent="0.35">
      <c r="B21" s="2951"/>
      <c r="C21" s="894" t="s">
        <v>55</v>
      </c>
      <c r="D21" s="767">
        <v>4900</v>
      </c>
      <c r="E21" s="1658">
        <v>7500</v>
      </c>
      <c r="F21" s="1658">
        <v>8300</v>
      </c>
      <c r="G21" s="769">
        <v>9300</v>
      </c>
      <c r="I21" s="1701">
        <f>+E21*N21*H2</f>
        <v>8568</v>
      </c>
      <c r="J21" s="1702">
        <f>+E21*$H$2*O21</f>
        <v>9549.75</v>
      </c>
      <c r="L21" s="1888">
        <f t="shared" si="1"/>
        <v>3.2289156626506027E-2</v>
      </c>
      <c r="M21" s="1889">
        <f t="shared" si="2"/>
        <v>2.685483870967742E-2</v>
      </c>
      <c r="N21" s="157">
        <v>0.96</v>
      </c>
      <c r="O21" s="157">
        <v>1.07</v>
      </c>
    </row>
    <row r="22" spans="2:15" x14ac:dyDescent="0.35">
      <c r="B22" s="2951"/>
      <c r="C22" s="894" t="s">
        <v>56</v>
      </c>
      <c r="D22" s="770">
        <v>14600</v>
      </c>
      <c r="E22" s="1659">
        <v>22400</v>
      </c>
      <c r="F22" s="1659">
        <v>24700</v>
      </c>
      <c r="G22" s="771">
        <v>27900</v>
      </c>
      <c r="I22" s="1701">
        <f>+E22*$I$2*H2</f>
        <v>25323.199999999997</v>
      </c>
      <c r="J22" s="1702">
        <f t="shared" si="0"/>
        <v>28788.480000000003</v>
      </c>
      <c r="L22" s="1711">
        <f t="shared" si="1"/>
        <v>2.5230769230769112E-2</v>
      </c>
      <c r="M22" s="1712">
        <f t="shared" si="2"/>
        <v>3.1845161290322693E-2</v>
      </c>
    </row>
    <row r="23" spans="2:15" x14ac:dyDescent="0.35">
      <c r="B23" s="2951"/>
      <c r="C23" s="894" t="s">
        <v>57</v>
      </c>
      <c r="D23" s="770">
        <v>28900</v>
      </c>
      <c r="E23" s="1659">
        <v>44400</v>
      </c>
      <c r="F23" s="1660">
        <v>48800</v>
      </c>
      <c r="G23" s="772">
        <v>55300</v>
      </c>
      <c r="I23" s="1701">
        <f>+E23*$I$2*H2</f>
        <v>50194.2</v>
      </c>
      <c r="J23" s="1702">
        <f t="shared" si="0"/>
        <v>57062.880000000005</v>
      </c>
      <c r="L23" s="1711">
        <f t="shared" si="1"/>
        <v>2.8569672131147483E-2</v>
      </c>
      <c r="M23" s="1712">
        <f t="shared" si="2"/>
        <v>3.1878481012658312E-2</v>
      </c>
    </row>
    <row r="24" spans="2:15" x14ac:dyDescent="0.35">
      <c r="B24" s="2951"/>
      <c r="C24" s="894" t="s">
        <v>58</v>
      </c>
      <c r="D24" s="773"/>
      <c r="E24" s="1661">
        <v>55100</v>
      </c>
      <c r="F24" s="1661">
        <v>60600</v>
      </c>
      <c r="G24" s="775">
        <v>68600</v>
      </c>
      <c r="I24" s="1701">
        <f>+E24*$I$2*H2</f>
        <v>62290.549999999996</v>
      </c>
      <c r="J24" s="1702">
        <f t="shared" si="0"/>
        <v>70814.52</v>
      </c>
      <c r="L24" s="1711">
        <f t="shared" si="1"/>
        <v>2.7896864686468573E-2</v>
      </c>
      <c r="M24" s="1712">
        <f t="shared" si="2"/>
        <v>3.2281632653061283E-2</v>
      </c>
    </row>
    <row r="25" spans="2:15" x14ac:dyDescent="0.35">
      <c r="B25" s="2951"/>
      <c r="C25" s="894" t="s">
        <v>59</v>
      </c>
      <c r="D25" s="773"/>
      <c r="E25" s="1658">
        <v>109600</v>
      </c>
      <c r="F25" s="1658">
        <v>120500</v>
      </c>
      <c r="G25" s="769">
        <v>136600</v>
      </c>
      <c r="I25" s="1701">
        <f>+E25*$I$2*H2</f>
        <v>123902.79999999999</v>
      </c>
      <c r="J25" s="1702">
        <f t="shared" si="0"/>
        <v>140857.92000000001</v>
      </c>
      <c r="L25" s="1711">
        <f t="shared" si="1"/>
        <v>2.8239004149377498E-2</v>
      </c>
      <c r="M25" s="1712">
        <f t="shared" si="2"/>
        <v>3.1170717423133331E-2</v>
      </c>
    </row>
    <row r="26" spans="2:15" x14ac:dyDescent="0.35">
      <c r="B26" s="2951"/>
      <c r="C26" s="894" t="s">
        <v>60</v>
      </c>
      <c r="D26" s="773"/>
      <c r="E26" s="1658">
        <v>206300</v>
      </c>
      <c r="F26" s="1658">
        <v>226900</v>
      </c>
      <c r="G26" s="769">
        <v>257100</v>
      </c>
      <c r="I26" s="1701">
        <f>+E26*$I$2*H2</f>
        <v>233222.15</v>
      </c>
      <c r="J26" s="1702">
        <f t="shared" si="0"/>
        <v>265136.76</v>
      </c>
      <c r="L26" s="1711">
        <f t="shared" si="1"/>
        <v>2.7863155575143208E-2</v>
      </c>
      <c r="M26" s="1712">
        <f t="shared" si="2"/>
        <v>3.125927654609105E-2</v>
      </c>
    </row>
    <row r="27" spans="2:15" x14ac:dyDescent="0.35">
      <c r="B27" s="2951"/>
      <c r="C27" s="894" t="s">
        <v>61</v>
      </c>
      <c r="D27" s="773"/>
      <c r="E27" s="1658">
        <v>4400</v>
      </c>
      <c r="F27" s="1658">
        <v>4800</v>
      </c>
      <c r="G27" s="769">
        <v>5400</v>
      </c>
      <c r="I27" s="1701">
        <f>+E27*N27*H2</f>
        <v>4921.84</v>
      </c>
      <c r="J27" s="1702">
        <f>+E27*$H$2*O27</f>
        <v>5550.16</v>
      </c>
      <c r="L27" s="1888">
        <f t="shared" si="1"/>
        <v>2.5383333333333365E-2</v>
      </c>
      <c r="M27" s="1889">
        <f t="shared" si="2"/>
        <v>2.7807407407407381E-2</v>
      </c>
      <c r="N27" s="157">
        <v>0.94</v>
      </c>
      <c r="O27" s="157">
        <v>1.06</v>
      </c>
    </row>
    <row r="28" spans="2:15" x14ac:dyDescent="0.35">
      <c r="B28" s="2951"/>
      <c r="C28" s="894" t="s">
        <v>45</v>
      </c>
      <c r="D28" s="776">
        <v>0</v>
      </c>
      <c r="E28" s="1658">
        <v>46000</v>
      </c>
      <c r="F28" s="1658">
        <v>50600</v>
      </c>
      <c r="G28" s="769">
        <v>57400</v>
      </c>
      <c r="I28" s="1701">
        <f>+E28*$I$2*H2</f>
        <v>52003</v>
      </c>
      <c r="J28" s="1702">
        <f>+E28*$H$2*$J$2</f>
        <v>59119.200000000004</v>
      </c>
      <c r="L28" s="1711">
        <f t="shared" si="1"/>
        <v>2.7727272727272729E-2</v>
      </c>
      <c r="M28" s="1712">
        <f t="shared" si="2"/>
        <v>2.9951219512195197E-2</v>
      </c>
    </row>
    <row r="29" spans="2:15" x14ac:dyDescent="0.35">
      <c r="B29" s="2951"/>
      <c r="C29" s="894" t="s">
        <v>62</v>
      </c>
      <c r="D29" s="776">
        <v>0</v>
      </c>
      <c r="E29" s="1656">
        <v>48200</v>
      </c>
      <c r="F29" s="1656">
        <v>53100</v>
      </c>
      <c r="G29" s="1657">
        <v>60100</v>
      </c>
      <c r="I29" s="1701">
        <f>+E29*$I$2*H2</f>
        <v>54490.1</v>
      </c>
      <c r="J29" s="1702">
        <f t="shared" si="0"/>
        <v>61946.640000000007</v>
      </c>
      <c r="L29" s="1711">
        <f t="shared" si="1"/>
        <v>2.6178907721280575E-2</v>
      </c>
      <c r="M29" s="1712">
        <f t="shared" si="2"/>
        <v>3.0726123128119912E-2</v>
      </c>
    </row>
    <row r="30" spans="2:15" x14ac:dyDescent="0.35">
      <c r="B30" s="2951"/>
      <c r="C30" s="895" t="s">
        <v>46</v>
      </c>
      <c r="D30" s="2952">
        <v>0</v>
      </c>
      <c r="E30" s="2953"/>
      <c r="F30" s="2953"/>
      <c r="G30" s="2954"/>
      <c r="I30" s="779"/>
      <c r="J30" s="1649"/>
      <c r="L30" s="1725"/>
      <c r="M30" s="1726"/>
    </row>
    <row r="31" spans="2:15" x14ac:dyDescent="0.35">
      <c r="B31" s="2951"/>
      <c r="C31" s="896" t="s">
        <v>45</v>
      </c>
      <c r="D31" s="1650"/>
      <c r="E31" s="1644">
        <v>13800</v>
      </c>
      <c r="F31" s="1644">
        <v>15200</v>
      </c>
      <c r="G31" s="1645">
        <v>17300</v>
      </c>
      <c r="I31" s="1701">
        <f>+E31*$I$2*H2</f>
        <v>15600.9</v>
      </c>
      <c r="J31" s="1702">
        <f t="shared" si="0"/>
        <v>17735.760000000002</v>
      </c>
      <c r="L31" s="1711">
        <f t="shared" si="1"/>
        <v>2.6374999999999975E-2</v>
      </c>
      <c r="M31" s="1712">
        <f t="shared" si="2"/>
        <v>2.5188439306358498E-2</v>
      </c>
    </row>
    <row r="32" spans="2:15" x14ac:dyDescent="0.35">
      <c r="B32" s="2951"/>
      <c r="C32" s="896" t="s">
        <v>62</v>
      </c>
      <c r="D32" s="1650"/>
      <c r="E32" s="1644">
        <v>14500</v>
      </c>
      <c r="F32" s="1644">
        <v>16000</v>
      </c>
      <c r="G32" s="1645">
        <v>18100</v>
      </c>
      <c r="I32" s="1701">
        <f>+E32*N32*H2</f>
        <v>16461.27</v>
      </c>
      <c r="J32" s="1702">
        <f t="shared" si="0"/>
        <v>18635.400000000001</v>
      </c>
      <c r="L32" s="1888">
        <f t="shared" si="1"/>
        <v>2.8829375000000029E-2</v>
      </c>
      <c r="M32" s="1712">
        <f t="shared" si="2"/>
        <v>2.958011049723765E-2</v>
      </c>
      <c r="N32" s="157">
        <v>0.95399999999999996</v>
      </c>
    </row>
    <row r="33" spans="2:15" x14ac:dyDescent="0.35">
      <c r="B33" s="2951"/>
      <c r="C33" s="894" t="s">
        <v>63</v>
      </c>
      <c r="D33" s="1650"/>
      <c r="E33" s="1644">
        <v>259700</v>
      </c>
      <c r="F33" s="1644">
        <v>313400</v>
      </c>
      <c r="G33" s="1645">
        <v>365200</v>
      </c>
      <c r="I33" s="1701">
        <f>+E33*N33*H2</f>
        <v>321404.71999999997</v>
      </c>
      <c r="J33" s="1702">
        <f>+E33*$H$2*O33</f>
        <v>377032.45999999996</v>
      </c>
      <c r="L33" s="1888">
        <f t="shared" si="1"/>
        <v>2.5541544352265386E-2</v>
      </c>
      <c r="M33" s="1889">
        <f t="shared" si="2"/>
        <v>3.2399945235487303E-2</v>
      </c>
      <c r="N33" s="157">
        <v>1.04</v>
      </c>
      <c r="O33" s="157">
        <v>1.22</v>
      </c>
    </row>
    <row r="34" spans="2:15" x14ac:dyDescent="0.35">
      <c r="B34" s="2951"/>
      <c r="C34" s="894" t="s">
        <v>64</v>
      </c>
      <c r="D34" s="1650"/>
      <c r="E34" s="1644">
        <v>5500</v>
      </c>
      <c r="F34" s="1644">
        <v>6800</v>
      </c>
      <c r="G34" s="1645">
        <v>4600</v>
      </c>
      <c r="I34" s="1701">
        <f>+E34*N34*H2</f>
        <v>7003.15</v>
      </c>
      <c r="J34" s="1702">
        <f>+E34*$H$2*O34</f>
        <v>4745.125</v>
      </c>
      <c r="L34" s="1888">
        <f t="shared" si="1"/>
        <v>2.9874999999999947E-2</v>
      </c>
      <c r="M34" s="1889">
        <f t="shared" si="2"/>
        <v>3.1548913043478261E-2</v>
      </c>
      <c r="N34" s="157">
        <v>1.07</v>
      </c>
      <c r="O34" s="157">
        <v>0.72499999999999998</v>
      </c>
    </row>
    <row r="35" spans="2:15" x14ac:dyDescent="0.35">
      <c r="B35" s="2951"/>
      <c r="C35" s="894" t="s">
        <v>65</v>
      </c>
      <c r="D35" s="1650"/>
      <c r="E35" s="1644">
        <v>117100</v>
      </c>
      <c r="F35" s="1644">
        <v>141500</v>
      </c>
      <c r="G35" s="1645">
        <v>151900</v>
      </c>
      <c r="I35" s="1701">
        <f>+E35*N35*H2</f>
        <v>146316.44999999998</v>
      </c>
      <c r="J35" s="1702">
        <f>+E35*$H$2*O35</f>
        <v>156070.88</v>
      </c>
      <c r="L35" s="1888">
        <f t="shared" si="1"/>
        <v>3.4038515901059947E-2</v>
      </c>
      <c r="M35" s="1889">
        <f t="shared" si="2"/>
        <v>2.7458064516129064E-2</v>
      </c>
      <c r="N35" s="157">
        <v>1.05</v>
      </c>
      <c r="O35" s="157">
        <v>1.1200000000000001</v>
      </c>
    </row>
    <row r="36" spans="2:15" ht="15" thickBot="1" x14ac:dyDescent="0.4">
      <c r="B36" s="2947"/>
      <c r="C36" s="897" t="s">
        <v>66</v>
      </c>
      <c r="D36" s="1662"/>
      <c r="E36" s="506">
        <v>2900</v>
      </c>
      <c r="F36" s="506">
        <v>3900</v>
      </c>
      <c r="G36" s="507">
        <v>9500</v>
      </c>
      <c r="I36" s="1703">
        <f>+E36*N36*H2</f>
        <v>4003.1599999999994</v>
      </c>
      <c r="J36" s="1704">
        <f>+E36*$H$2*O36</f>
        <v>9800.84</v>
      </c>
      <c r="L36" s="1890">
        <f t="shared" si="1"/>
        <v>2.6451282051281898E-2</v>
      </c>
      <c r="M36" s="1891">
        <f t="shared" si="2"/>
        <v>3.1667368421052645E-2</v>
      </c>
      <c r="N36" s="157">
        <v>1.1599999999999999</v>
      </c>
      <c r="O36" s="157">
        <v>2.84</v>
      </c>
    </row>
    <row r="37" spans="2:15" ht="15" thickBot="1" x14ac:dyDescent="0.4">
      <c r="B37" s="2938" t="s">
        <v>67</v>
      </c>
      <c r="C37" s="887" t="s">
        <v>68</v>
      </c>
      <c r="D37" s="1663"/>
      <c r="E37" s="765">
        <v>8400</v>
      </c>
      <c r="F37" s="765">
        <v>9300</v>
      </c>
      <c r="G37" s="766">
        <v>10500</v>
      </c>
      <c r="I37" s="1699">
        <f>E37*N37*H2</f>
        <v>9596.16</v>
      </c>
      <c r="J37" s="1700">
        <f>+E37*$H$2*$J$2</f>
        <v>10795.68</v>
      </c>
      <c r="L37" s="1709">
        <f>+(I37-F37)/F37</f>
        <v>3.1845161290322568E-2</v>
      </c>
      <c r="M37" s="1710">
        <f t="shared" si="2"/>
        <v>2.8160000000000029E-2</v>
      </c>
      <c r="N37" s="157">
        <v>0.96</v>
      </c>
    </row>
    <row r="38" spans="2:15" ht="15" thickBot="1" x14ac:dyDescent="0.4">
      <c r="B38" s="2939"/>
      <c r="C38" s="898" t="s">
        <v>69</v>
      </c>
      <c r="D38" s="1664"/>
      <c r="E38" s="506">
        <v>4400</v>
      </c>
      <c r="F38" s="506">
        <v>4800</v>
      </c>
      <c r="G38" s="507">
        <v>5400</v>
      </c>
      <c r="I38" s="1699">
        <f>E38*N38*H2</f>
        <v>5026.5599999999995</v>
      </c>
      <c r="J38" s="1699">
        <f>F38*O38*H2</f>
        <v>5540.6399999999994</v>
      </c>
      <c r="L38" s="1713">
        <f t="shared" si="1"/>
        <v>4.7199999999999895E-2</v>
      </c>
      <c r="M38" s="1714">
        <f t="shared" si="2"/>
        <v>2.6044444444444335E-2</v>
      </c>
      <c r="N38" s="157">
        <v>0.96</v>
      </c>
      <c r="O38" s="157">
        <v>0.97</v>
      </c>
    </row>
    <row r="39" spans="2:15" x14ac:dyDescent="0.35">
      <c r="B39" s="2938" t="s">
        <v>70</v>
      </c>
      <c r="C39" s="887" t="s">
        <v>68</v>
      </c>
      <c r="D39" s="1663"/>
      <c r="E39" s="765">
        <v>8400</v>
      </c>
      <c r="F39" s="765">
        <v>9300</v>
      </c>
      <c r="G39" s="766">
        <v>10500</v>
      </c>
      <c r="I39" s="1699">
        <f>+E39*N38*H2</f>
        <v>9596.16</v>
      </c>
      <c r="J39" s="1700">
        <f>+E39*O38*$J$2</f>
        <v>8799.84</v>
      </c>
      <c r="L39" s="1709">
        <f t="shared" si="1"/>
        <v>3.1845161290322568E-2</v>
      </c>
      <c r="M39" s="1710">
        <f t="shared" si="2"/>
        <v>-0.16191999999999998</v>
      </c>
      <c r="N39" s="157">
        <v>0.96</v>
      </c>
      <c r="O39" s="157">
        <v>0.97</v>
      </c>
    </row>
    <row r="40" spans="2:15" ht="15" thickBot="1" x14ac:dyDescent="0.4">
      <c r="B40" s="2939"/>
      <c r="C40" s="898" t="s">
        <v>69</v>
      </c>
      <c r="D40" s="1665"/>
      <c r="E40" s="506">
        <v>4400</v>
      </c>
      <c r="F40" s="506">
        <v>4800</v>
      </c>
      <c r="G40" s="507">
        <v>5400</v>
      </c>
      <c r="I40" s="1703">
        <f>+E40*N39*H2</f>
        <v>5026.5599999999995</v>
      </c>
      <c r="J40" s="1704">
        <f>+F40*O39*H2</f>
        <v>5540.6399999999994</v>
      </c>
      <c r="L40" s="1713">
        <f t="shared" si="1"/>
        <v>4.7199999999999895E-2</v>
      </c>
      <c r="M40" s="1714">
        <f t="shared" si="2"/>
        <v>2.6044444444444335E-2</v>
      </c>
    </row>
    <row r="41" spans="2:15" x14ac:dyDescent="0.35">
      <c r="B41" s="2940" t="s">
        <v>71</v>
      </c>
      <c r="C41" s="899" t="s">
        <v>362</v>
      </c>
      <c r="D41" s="1668">
        <v>0</v>
      </c>
      <c r="E41" s="1669">
        <v>0</v>
      </c>
      <c r="F41" s="1669">
        <v>0</v>
      </c>
      <c r="G41" s="1670">
        <v>0</v>
      </c>
      <c r="I41" s="1668">
        <f t="shared" ref="I41:I68" si="3">+E41*$I$2*$J$2</f>
        <v>0</v>
      </c>
      <c r="J41" s="1670">
        <f t="shared" si="0"/>
        <v>0</v>
      </c>
      <c r="L41" s="1733" t="e">
        <f t="shared" si="1"/>
        <v>#DIV/0!</v>
      </c>
      <c r="M41" s="1734" t="e">
        <f t="shared" si="2"/>
        <v>#DIV/0!</v>
      </c>
    </row>
    <row r="42" spans="2:15" x14ac:dyDescent="0.35">
      <c r="B42" s="2941"/>
      <c r="C42" s="900" t="s">
        <v>73</v>
      </c>
      <c r="D42" s="831"/>
      <c r="E42" s="1671">
        <v>0</v>
      </c>
      <c r="F42" s="1671">
        <v>0</v>
      </c>
      <c r="G42" s="1672">
        <v>0</v>
      </c>
      <c r="I42" s="1719">
        <f t="shared" si="3"/>
        <v>0</v>
      </c>
      <c r="J42" s="1672">
        <f t="shared" si="0"/>
        <v>0</v>
      </c>
      <c r="L42" s="1735" t="e">
        <f t="shared" si="1"/>
        <v>#DIV/0!</v>
      </c>
      <c r="M42" s="1736" t="e">
        <f t="shared" si="2"/>
        <v>#DIV/0!</v>
      </c>
    </row>
    <row r="43" spans="2:15" x14ac:dyDescent="0.35">
      <c r="B43" s="2941"/>
      <c r="C43" s="901" t="s">
        <v>363</v>
      </c>
      <c r="D43" s="831"/>
      <c r="E43" s="1671">
        <v>0</v>
      </c>
      <c r="F43" s="1671">
        <v>0</v>
      </c>
      <c r="G43" s="1672">
        <v>0</v>
      </c>
      <c r="I43" s="1719">
        <f t="shared" si="3"/>
        <v>0</v>
      </c>
      <c r="J43" s="1672">
        <f t="shared" si="0"/>
        <v>0</v>
      </c>
      <c r="L43" s="1735" t="e">
        <f t="shared" si="1"/>
        <v>#DIV/0!</v>
      </c>
      <c r="M43" s="1736" t="e">
        <f t="shared" si="2"/>
        <v>#DIV/0!</v>
      </c>
    </row>
    <row r="44" spans="2:15" x14ac:dyDescent="0.35">
      <c r="B44" s="2941"/>
      <c r="C44" s="902" t="s">
        <v>357</v>
      </c>
      <c r="D44" s="832"/>
      <c r="E44" s="1673">
        <v>0</v>
      </c>
      <c r="F44" s="1674">
        <v>0</v>
      </c>
      <c r="G44" s="1675">
        <v>0</v>
      </c>
      <c r="I44" s="1720"/>
      <c r="J44" s="1675"/>
      <c r="L44" s="1747"/>
      <c r="M44" s="1748"/>
    </row>
    <row r="45" spans="2:15" x14ac:dyDescent="0.35">
      <c r="B45" s="2941"/>
      <c r="C45" s="902" t="s">
        <v>358</v>
      </c>
      <c r="D45" s="832"/>
      <c r="E45" s="1673">
        <v>0</v>
      </c>
      <c r="F45" s="1676">
        <v>0</v>
      </c>
      <c r="G45" s="1677"/>
      <c r="I45" s="1721"/>
      <c r="J45" s="1677"/>
      <c r="L45" s="1737"/>
      <c r="M45" s="1738"/>
    </row>
    <row r="46" spans="2:15" x14ac:dyDescent="0.35">
      <c r="B46" s="2941"/>
      <c r="C46" s="902" t="s">
        <v>356</v>
      </c>
      <c r="D46" s="832"/>
      <c r="E46" s="1678">
        <v>0</v>
      </c>
      <c r="F46" s="1678">
        <v>0</v>
      </c>
      <c r="G46" s="1679">
        <v>0</v>
      </c>
      <c r="I46" s="1722">
        <f t="shared" si="3"/>
        <v>0</v>
      </c>
      <c r="J46" s="1679">
        <f t="shared" si="0"/>
        <v>0</v>
      </c>
      <c r="L46" s="1739" t="e">
        <f t="shared" si="1"/>
        <v>#DIV/0!</v>
      </c>
      <c r="M46" s="1740" t="e">
        <f t="shared" si="2"/>
        <v>#DIV/0!</v>
      </c>
    </row>
    <row r="47" spans="2:15" x14ac:dyDescent="0.35">
      <c r="B47" s="2941"/>
      <c r="C47" s="902" t="s">
        <v>364</v>
      </c>
      <c r="D47" s="832"/>
      <c r="E47" s="1678">
        <v>0</v>
      </c>
      <c r="F47" s="1676"/>
      <c r="G47" s="1677"/>
      <c r="I47" s="1721"/>
      <c r="J47" s="1677"/>
      <c r="L47" s="1737"/>
      <c r="M47" s="1738"/>
    </row>
    <row r="48" spans="2:15" x14ac:dyDescent="0.35">
      <c r="B48" s="2941"/>
      <c r="C48" s="903" t="s">
        <v>366</v>
      </c>
      <c r="D48" s="832"/>
      <c r="E48" s="1678">
        <v>0</v>
      </c>
      <c r="F48" s="1678">
        <v>0</v>
      </c>
      <c r="G48" s="1679">
        <v>0</v>
      </c>
      <c r="I48" s="1722">
        <f t="shared" si="3"/>
        <v>0</v>
      </c>
      <c r="J48" s="1679">
        <f t="shared" si="0"/>
        <v>0</v>
      </c>
      <c r="L48" s="1739" t="e">
        <f t="shared" si="1"/>
        <v>#DIV/0!</v>
      </c>
      <c r="M48" s="1740" t="e">
        <f t="shared" si="2"/>
        <v>#DIV/0!</v>
      </c>
    </row>
    <row r="49" spans="2:13" x14ac:dyDescent="0.35">
      <c r="B49" s="2941"/>
      <c r="C49" s="904" t="s">
        <v>361</v>
      </c>
      <c r="D49" s="833"/>
      <c r="E49" s="1680">
        <v>0</v>
      </c>
      <c r="F49" s="1681"/>
      <c r="G49" s="1682"/>
      <c r="I49" s="1723"/>
      <c r="J49" s="1682"/>
      <c r="L49" s="1741"/>
      <c r="M49" s="1742"/>
    </row>
    <row r="50" spans="2:13" x14ac:dyDescent="0.35">
      <c r="B50" s="2941"/>
      <c r="C50" s="904" t="s">
        <v>359</v>
      </c>
      <c r="D50" s="833"/>
      <c r="E50" s="1680">
        <v>0</v>
      </c>
      <c r="F50" s="1680">
        <v>0</v>
      </c>
      <c r="G50" s="1683">
        <v>0</v>
      </c>
      <c r="I50" s="1724">
        <f t="shared" si="3"/>
        <v>0</v>
      </c>
      <c r="J50" s="1683">
        <f t="shared" si="0"/>
        <v>0</v>
      </c>
      <c r="L50" s="1743" t="e">
        <f t="shared" si="1"/>
        <v>#DIV/0!</v>
      </c>
      <c r="M50" s="1744" t="e">
        <f t="shared" si="2"/>
        <v>#DIV/0!</v>
      </c>
    </row>
    <row r="51" spans="2:13" x14ac:dyDescent="0.35">
      <c r="B51" s="2941"/>
      <c r="C51" s="904" t="s">
        <v>360</v>
      </c>
      <c r="D51" s="833"/>
      <c r="E51" s="1680">
        <v>0</v>
      </c>
      <c r="F51" s="1680">
        <v>0</v>
      </c>
      <c r="G51" s="1683">
        <v>0</v>
      </c>
      <c r="I51" s="1724">
        <f t="shared" si="3"/>
        <v>0</v>
      </c>
      <c r="J51" s="1683">
        <f t="shared" si="0"/>
        <v>0</v>
      </c>
      <c r="L51" s="1743" t="e">
        <f t="shared" si="1"/>
        <v>#DIV/0!</v>
      </c>
      <c r="M51" s="1744" t="e">
        <f t="shared" si="2"/>
        <v>#DIV/0!</v>
      </c>
    </row>
    <row r="52" spans="2:13" x14ac:dyDescent="0.35">
      <c r="B52" s="2941"/>
      <c r="C52" s="904" t="s">
        <v>365</v>
      </c>
      <c r="D52" s="833"/>
      <c r="E52" s="1680">
        <v>0</v>
      </c>
      <c r="F52" s="1681"/>
      <c r="G52" s="1682">
        <v>0</v>
      </c>
      <c r="I52" s="1723"/>
      <c r="J52" s="1682"/>
      <c r="L52" s="1741"/>
      <c r="M52" s="1742"/>
    </row>
    <row r="53" spans="2:13" x14ac:dyDescent="0.35">
      <c r="B53" s="2941"/>
      <c r="C53" s="905" t="s">
        <v>331</v>
      </c>
      <c r="D53" s="773"/>
      <c r="E53" s="1644">
        <v>0</v>
      </c>
      <c r="F53" s="1644">
        <v>0</v>
      </c>
      <c r="G53" s="1645">
        <v>0</v>
      </c>
      <c r="I53" s="767">
        <f t="shared" si="3"/>
        <v>0</v>
      </c>
      <c r="J53" s="1645">
        <f t="shared" si="0"/>
        <v>0</v>
      </c>
      <c r="L53" s="1727" t="e">
        <f t="shared" si="1"/>
        <v>#DIV/0!</v>
      </c>
      <c r="M53" s="1728" t="e">
        <f t="shared" si="2"/>
        <v>#DIV/0!</v>
      </c>
    </row>
    <row r="54" spans="2:13" x14ac:dyDescent="0.35">
      <c r="B54" s="2941"/>
      <c r="C54" s="905" t="s">
        <v>332</v>
      </c>
      <c r="D54" s="773"/>
      <c r="E54" s="1644">
        <v>0</v>
      </c>
      <c r="F54" s="1644">
        <v>0</v>
      </c>
      <c r="G54" s="1645">
        <v>0</v>
      </c>
      <c r="I54" s="767">
        <f t="shared" si="3"/>
        <v>0</v>
      </c>
      <c r="J54" s="1645">
        <f t="shared" si="0"/>
        <v>0</v>
      </c>
      <c r="L54" s="1727" t="e">
        <f t="shared" si="1"/>
        <v>#DIV/0!</v>
      </c>
      <c r="M54" s="1728" t="e">
        <f t="shared" si="2"/>
        <v>#DIV/0!</v>
      </c>
    </row>
    <row r="55" spans="2:13" ht="15" thickBot="1" x14ac:dyDescent="0.4">
      <c r="B55" s="2942"/>
      <c r="C55" s="905" t="s">
        <v>333</v>
      </c>
      <c r="D55" s="1664"/>
      <c r="E55" s="506">
        <v>0</v>
      </c>
      <c r="F55" s="506">
        <v>0</v>
      </c>
      <c r="G55" s="507">
        <v>0</v>
      </c>
      <c r="I55" s="1693">
        <f t="shared" si="3"/>
        <v>0</v>
      </c>
      <c r="J55" s="507">
        <f t="shared" si="0"/>
        <v>0</v>
      </c>
      <c r="L55" s="1729" t="e">
        <f t="shared" si="1"/>
        <v>#DIV/0!</v>
      </c>
      <c r="M55" s="1730" t="e">
        <f t="shared" si="2"/>
        <v>#DIV/0!</v>
      </c>
    </row>
    <row r="56" spans="2:13" x14ac:dyDescent="0.35">
      <c r="B56" s="2938" t="s">
        <v>75</v>
      </c>
      <c r="C56" s="887" t="s">
        <v>68</v>
      </c>
      <c r="D56" s="1684"/>
      <c r="E56" s="1656">
        <v>0</v>
      </c>
      <c r="F56" s="1656">
        <v>0</v>
      </c>
      <c r="G56" s="1657">
        <v>0</v>
      </c>
      <c r="I56" s="1699">
        <f t="shared" si="3"/>
        <v>0</v>
      </c>
      <c r="J56" s="1700">
        <f t="shared" si="0"/>
        <v>0</v>
      </c>
      <c r="L56" s="1709" t="e">
        <f t="shared" si="1"/>
        <v>#DIV/0!</v>
      </c>
      <c r="M56" s="1710" t="e">
        <f t="shared" si="2"/>
        <v>#DIV/0!</v>
      </c>
    </row>
    <row r="57" spans="2:13" ht="15" thickBot="1" x14ac:dyDescent="0.4">
      <c r="B57" s="2939"/>
      <c r="C57" s="898" t="s">
        <v>69</v>
      </c>
      <c r="D57" s="1664"/>
      <c r="E57" s="506">
        <v>0</v>
      </c>
      <c r="F57" s="506">
        <v>0</v>
      </c>
      <c r="G57" s="507">
        <v>0</v>
      </c>
      <c r="I57" s="1703">
        <f t="shared" si="3"/>
        <v>0</v>
      </c>
      <c r="J57" s="1704">
        <f t="shared" si="0"/>
        <v>0</v>
      </c>
      <c r="L57" s="1713" t="e">
        <f t="shared" si="1"/>
        <v>#DIV/0!</v>
      </c>
      <c r="M57" s="1714" t="e">
        <f t="shared" si="2"/>
        <v>#DIV/0!</v>
      </c>
    </row>
    <row r="58" spans="2:13" x14ac:dyDescent="0.35">
      <c r="B58" s="2938" t="s">
        <v>76</v>
      </c>
      <c r="C58" s="887" t="s">
        <v>77</v>
      </c>
      <c r="D58" s="764">
        <v>0</v>
      </c>
      <c r="E58" s="765">
        <v>0</v>
      </c>
      <c r="F58" s="765">
        <v>0</v>
      </c>
      <c r="G58" s="766">
        <v>0</v>
      </c>
      <c r="I58" s="1699">
        <f t="shared" si="3"/>
        <v>0</v>
      </c>
      <c r="J58" s="1700">
        <f t="shared" si="0"/>
        <v>0</v>
      </c>
      <c r="L58" s="1709" t="e">
        <f t="shared" si="1"/>
        <v>#DIV/0!</v>
      </c>
      <c r="M58" s="1710" t="e">
        <f t="shared" si="2"/>
        <v>#DIV/0!</v>
      </c>
    </row>
    <row r="59" spans="2:13" x14ac:dyDescent="0.35">
      <c r="B59" s="2943"/>
      <c r="C59" s="905" t="s">
        <v>78</v>
      </c>
      <c r="D59" s="767">
        <v>0</v>
      </c>
      <c r="E59" s="1644">
        <v>0</v>
      </c>
      <c r="F59" s="1644">
        <v>0</v>
      </c>
      <c r="G59" s="1645">
        <v>0</v>
      </c>
      <c r="I59" s="1701">
        <f t="shared" si="3"/>
        <v>0</v>
      </c>
      <c r="J59" s="1702">
        <f t="shared" si="0"/>
        <v>0</v>
      </c>
      <c r="L59" s="1711" t="e">
        <f t="shared" si="1"/>
        <v>#DIV/0!</v>
      </c>
      <c r="M59" s="1712" t="e">
        <f t="shared" si="2"/>
        <v>#DIV/0!</v>
      </c>
    </row>
    <row r="60" spans="2:13" x14ac:dyDescent="0.35">
      <c r="B60" s="2943"/>
      <c r="C60" s="905" t="s">
        <v>55</v>
      </c>
      <c r="D60" s="779"/>
      <c r="E60" s="1685">
        <v>0</v>
      </c>
      <c r="F60" s="1685">
        <v>0</v>
      </c>
      <c r="G60" s="1686">
        <v>0</v>
      </c>
      <c r="I60" s="1701">
        <f t="shared" si="3"/>
        <v>0</v>
      </c>
      <c r="J60" s="1702">
        <f t="shared" si="0"/>
        <v>0</v>
      </c>
      <c r="L60" s="1711" t="e">
        <f t="shared" si="1"/>
        <v>#DIV/0!</v>
      </c>
      <c r="M60" s="1712" t="e">
        <f t="shared" si="2"/>
        <v>#DIV/0!</v>
      </c>
    </row>
    <row r="61" spans="2:13" x14ac:dyDescent="0.35">
      <c r="B61" s="2943"/>
      <c r="C61" s="905" t="s">
        <v>330</v>
      </c>
      <c r="D61" s="1687">
        <v>0</v>
      </c>
      <c r="E61" s="1644">
        <v>0</v>
      </c>
      <c r="F61" s="1644">
        <v>0</v>
      </c>
      <c r="G61" s="1645">
        <v>0</v>
      </c>
      <c r="I61" s="1701">
        <f t="shared" si="3"/>
        <v>0</v>
      </c>
      <c r="J61" s="1702">
        <f t="shared" si="0"/>
        <v>0</v>
      </c>
      <c r="L61" s="1711"/>
      <c r="M61" s="1712"/>
    </row>
    <row r="62" spans="2:13" x14ac:dyDescent="0.35">
      <c r="B62" s="2943"/>
      <c r="C62" s="905" t="s">
        <v>329</v>
      </c>
      <c r="D62" s="1687">
        <v>0</v>
      </c>
      <c r="E62" s="1644">
        <v>0</v>
      </c>
      <c r="F62" s="1644">
        <v>0</v>
      </c>
      <c r="G62" s="1645">
        <v>0</v>
      </c>
      <c r="I62" s="1701">
        <f t="shared" si="3"/>
        <v>0</v>
      </c>
      <c r="J62" s="1702">
        <f t="shared" si="0"/>
        <v>0</v>
      </c>
      <c r="L62" s="1711" t="e">
        <f t="shared" si="1"/>
        <v>#DIV/0!</v>
      </c>
      <c r="M62" s="1712" t="e">
        <f t="shared" si="2"/>
        <v>#DIV/0!</v>
      </c>
    </row>
    <row r="63" spans="2:13" x14ac:dyDescent="0.35">
      <c r="B63" s="2943"/>
      <c r="C63" s="906" t="s">
        <v>46</v>
      </c>
      <c r="D63" s="779"/>
      <c r="E63" s="1648">
        <v>0</v>
      </c>
      <c r="F63" s="1648"/>
      <c r="G63" s="1649">
        <v>0</v>
      </c>
      <c r="I63" s="779">
        <f t="shared" si="3"/>
        <v>0</v>
      </c>
      <c r="J63" s="1649">
        <f t="shared" si="0"/>
        <v>0</v>
      </c>
      <c r="L63" s="1725"/>
      <c r="M63" s="1726" t="e">
        <f t="shared" si="2"/>
        <v>#DIV/0!</v>
      </c>
    </row>
    <row r="64" spans="2:13" x14ac:dyDescent="0.35">
      <c r="B64" s="2943"/>
      <c r="C64" s="907" t="s">
        <v>51</v>
      </c>
      <c r="D64" s="779"/>
      <c r="E64" s="1644">
        <v>0</v>
      </c>
      <c r="F64" s="1644">
        <f t="shared" ref="F64:F65" si="4">CEILING(F61*0.3,100)</f>
        <v>0</v>
      </c>
      <c r="G64" s="1645">
        <v>0</v>
      </c>
      <c r="I64" s="1701">
        <f t="shared" si="3"/>
        <v>0</v>
      </c>
      <c r="J64" s="1702">
        <f t="shared" si="0"/>
        <v>0</v>
      </c>
      <c r="L64" s="1711"/>
      <c r="M64" s="1712"/>
    </row>
    <row r="65" spans="2:13" ht="15" thickBot="1" x14ac:dyDescent="0.4">
      <c r="B65" s="2939"/>
      <c r="C65" s="892" t="s">
        <v>52</v>
      </c>
      <c r="D65" s="1662"/>
      <c r="E65" s="506">
        <v>0</v>
      </c>
      <c r="F65" s="506">
        <f t="shared" si="4"/>
        <v>0</v>
      </c>
      <c r="G65" s="507">
        <v>0</v>
      </c>
      <c r="I65" s="1703">
        <f t="shared" si="3"/>
        <v>0</v>
      </c>
      <c r="J65" s="1704">
        <f t="shared" si="0"/>
        <v>0</v>
      </c>
      <c r="L65" s="1713" t="e">
        <f t="shared" si="1"/>
        <v>#DIV/0!</v>
      </c>
      <c r="M65" s="1714" t="e">
        <f t="shared" si="2"/>
        <v>#DIV/0!</v>
      </c>
    </row>
    <row r="66" spans="2:13" x14ac:dyDescent="0.35">
      <c r="B66" s="2938" t="s">
        <v>79</v>
      </c>
      <c r="C66" s="908" t="s">
        <v>68</v>
      </c>
      <c r="D66" s="1688"/>
      <c r="E66" s="765">
        <v>0</v>
      </c>
      <c r="F66" s="765">
        <v>0</v>
      </c>
      <c r="G66" s="766">
        <v>0</v>
      </c>
      <c r="I66" s="1699">
        <f t="shared" si="3"/>
        <v>0</v>
      </c>
      <c r="J66" s="1700">
        <f t="shared" si="0"/>
        <v>0</v>
      </c>
      <c r="L66" s="1709"/>
      <c r="M66" s="1710"/>
    </row>
    <row r="67" spans="2:13" ht="15" thickBot="1" x14ac:dyDescent="0.4">
      <c r="B67" s="2939"/>
      <c r="C67" s="909" t="s">
        <v>69</v>
      </c>
      <c r="D67" s="1662"/>
      <c r="E67" s="506">
        <v>0</v>
      </c>
      <c r="F67" s="506">
        <v>0</v>
      </c>
      <c r="G67" s="507">
        <v>0</v>
      </c>
      <c r="I67" s="1703">
        <f t="shared" si="3"/>
        <v>0</v>
      </c>
      <c r="J67" s="1704">
        <f t="shared" si="0"/>
        <v>0</v>
      </c>
      <c r="L67" s="1713"/>
      <c r="M67" s="1714"/>
    </row>
    <row r="68" spans="2:13" x14ac:dyDescent="0.35">
      <c r="B68" s="2938" t="s">
        <v>80</v>
      </c>
      <c r="C68" s="887" t="s">
        <v>43</v>
      </c>
      <c r="D68" s="764">
        <v>0</v>
      </c>
      <c r="E68" s="765">
        <v>0</v>
      </c>
      <c r="F68" s="765">
        <v>0</v>
      </c>
      <c r="G68" s="766">
        <v>0</v>
      </c>
      <c r="I68" s="1699">
        <f t="shared" si="3"/>
        <v>0</v>
      </c>
      <c r="J68" s="1700">
        <f t="shared" si="0"/>
        <v>0</v>
      </c>
      <c r="L68" s="1709" t="e">
        <f t="shared" si="1"/>
        <v>#DIV/0!</v>
      </c>
      <c r="M68" s="1710" t="e">
        <f t="shared" si="2"/>
        <v>#DIV/0!</v>
      </c>
    </row>
    <row r="69" spans="2:13" x14ac:dyDescent="0.35">
      <c r="B69" s="2943"/>
      <c r="C69" s="905" t="s">
        <v>45</v>
      </c>
      <c r="D69" s="767">
        <v>0</v>
      </c>
      <c r="E69" s="1644">
        <v>0</v>
      </c>
      <c r="F69" s="1644">
        <v>0</v>
      </c>
      <c r="G69" s="1645">
        <v>0</v>
      </c>
      <c r="I69" s="1701">
        <f t="shared" ref="I69:I95" si="5">+E69*$I$2*$J$2</f>
        <v>0</v>
      </c>
      <c r="J69" s="1702">
        <f t="shared" ref="J69:J95" si="6">+E69*$H$2*$J$2</f>
        <v>0</v>
      </c>
      <c r="L69" s="1711" t="e">
        <f t="shared" ref="L69:L94" si="7">+(I69-F69)/F69</f>
        <v>#DIV/0!</v>
      </c>
      <c r="M69" s="1712" t="e">
        <f t="shared" ref="M69:M94" si="8">+(J69-G69)/G69</f>
        <v>#DIV/0!</v>
      </c>
    </row>
    <row r="70" spans="2:13" x14ac:dyDescent="0.35">
      <c r="B70" s="2944"/>
      <c r="C70" s="910" t="s">
        <v>369</v>
      </c>
      <c r="D70" s="1689"/>
      <c r="E70" s="1690">
        <v>0</v>
      </c>
      <c r="F70" s="1691"/>
      <c r="G70" s="1692"/>
      <c r="I70" s="1689"/>
      <c r="J70" s="1692"/>
      <c r="L70" s="1745"/>
      <c r="M70" s="1746"/>
    </row>
    <row r="71" spans="2:13" x14ac:dyDescent="0.35">
      <c r="B71" s="2944"/>
      <c r="C71" s="910" t="s">
        <v>370</v>
      </c>
      <c r="D71" s="1689"/>
      <c r="E71" s="1690">
        <v>0</v>
      </c>
      <c r="F71" s="1691"/>
      <c r="G71" s="1692"/>
      <c r="I71" s="1689"/>
      <c r="J71" s="1692"/>
      <c r="L71" s="1745"/>
      <c r="M71" s="1746"/>
    </row>
    <row r="72" spans="2:13" x14ac:dyDescent="0.35">
      <c r="B72" s="2943"/>
      <c r="C72" s="906" t="s">
        <v>46</v>
      </c>
      <c r="D72" s="779"/>
      <c r="E72" s="1648">
        <v>0</v>
      </c>
      <c r="F72" s="1648"/>
      <c r="G72" s="1649"/>
      <c r="I72" s="779"/>
      <c r="J72" s="1649"/>
      <c r="L72" s="1725"/>
      <c r="M72" s="1726"/>
    </row>
    <row r="73" spans="2:13" x14ac:dyDescent="0.35">
      <c r="B73" s="2943"/>
      <c r="C73" s="907" t="s">
        <v>43</v>
      </c>
      <c r="D73" s="779"/>
      <c r="E73" s="1644">
        <v>0</v>
      </c>
      <c r="F73" s="1644">
        <v>0</v>
      </c>
      <c r="G73" s="1645">
        <v>0</v>
      </c>
      <c r="I73" s="1701">
        <f t="shared" si="5"/>
        <v>0</v>
      </c>
      <c r="J73" s="1702">
        <f t="shared" si="6"/>
        <v>0</v>
      </c>
      <c r="L73" s="1711" t="e">
        <f t="shared" si="7"/>
        <v>#DIV/0!</v>
      </c>
      <c r="M73" s="1712" t="e">
        <f t="shared" si="8"/>
        <v>#DIV/0!</v>
      </c>
    </row>
    <row r="74" spans="2:13" ht="15" thickBot="1" x14ac:dyDescent="0.4">
      <c r="B74" s="2943"/>
      <c r="C74" s="907" t="s">
        <v>45</v>
      </c>
      <c r="D74" s="779"/>
      <c r="E74" s="1644">
        <v>0</v>
      </c>
      <c r="F74" s="1644">
        <v>0</v>
      </c>
      <c r="G74" s="1645">
        <v>0</v>
      </c>
      <c r="I74" s="1703">
        <f t="shared" si="5"/>
        <v>0</v>
      </c>
      <c r="J74" s="1704">
        <f t="shared" si="6"/>
        <v>0</v>
      </c>
      <c r="L74" s="1713" t="e">
        <f t="shared" si="7"/>
        <v>#DIV/0!</v>
      </c>
      <c r="M74" s="1714" t="e">
        <f t="shared" si="8"/>
        <v>#DIV/0!</v>
      </c>
    </row>
    <row r="75" spans="2:13" x14ac:dyDescent="0.35">
      <c r="B75" s="2938" t="s">
        <v>81</v>
      </c>
      <c r="C75" s="887" t="s">
        <v>51</v>
      </c>
      <c r="D75" s="764">
        <v>0</v>
      </c>
      <c r="E75" s="765">
        <v>0</v>
      </c>
      <c r="F75" s="765">
        <v>0</v>
      </c>
      <c r="G75" s="766">
        <v>0</v>
      </c>
      <c r="I75" s="1699">
        <f t="shared" si="5"/>
        <v>0</v>
      </c>
      <c r="J75" s="1700">
        <f t="shared" si="6"/>
        <v>0</v>
      </c>
      <c r="L75" s="1709" t="e">
        <f t="shared" si="7"/>
        <v>#DIV/0!</v>
      </c>
      <c r="M75" s="1710" t="e">
        <f t="shared" si="8"/>
        <v>#DIV/0!</v>
      </c>
    </row>
    <row r="76" spans="2:13" x14ac:dyDescent="0.35">
      <c r="B76" s="2943"/>
      <c r="C76" s="905" t="s">
        <v>52</v>
      </c>
      <c r="D76" s="767">
        <v>0</v>
      </c>
      <c r="E76" s="1644">
        <v>0</v>
      </c>
      <c r="F76" s="1644">
        <v>0</v>
      </c>
      <c r="G76" s="1645">
        <v>0</v>
      </c>
      <c r="I76" s="1701">
        <f t="shared" si="5"/>
        <v>0</v>
      </c>
      <c r="J76" s="1702">
        <f t="shared" si="6"/>
        <v>0</v>
      </c>
      <c r="L76" s="1711" t="e">
        <f t="shared" si="7"/>
        <v>#DIV/0!</v>
      </c>
      <c r="M76" s="1712" t="e">
        <f t="shared" si="8"/>
        <v>#DIV/0!</v>
      </c>
    </row>
    <row r="77" spans="2:13" x14ac:dyDescent="0.35">
      <c r="B77" s="2943"/>
      <c r="C77" s="905" t="s">
        <v>82</v>
      </c>
      <c r="D77" s="767">
        <v>0</v>
      </c>
      <c r="E77" s="1644">
        <v>0</v>
      </c>
      <c r="F77" s="1648"/>
      <c r="G77" s="1649"/>
      <c r="I77" s="779"/>
      <c r="J77" s="1649"/>
      <c r="L77" s="1725"/>
      <c r="M77" s="1726"/>
    </row>
    <row r="78" spans="2:13" x14ac:dyDescent="0.35">
      <c r="B78" s="2943"/>
      <c r="C78" s="906" t="s">
        <v>46</v>
      </c>
      <c r="D78" s="779"/>
      <c r="E78" s="1648">
        <v>0</v>
      </c>
      <c r="F78" s="1648"/>
      <c r="G78" s="1649"/>
      <c r="I78" s="779"/>
      <c r="J78" s="1649"/>
      <c r="L78" s="1725"/>
      <c r="M78" s="1726"/>
    </row>
    <row r="79" spans="2:13" x14ac:dyDescent="0.35">
      <c r="B79" s="2943"/>
      <c r="C79" s="907" t="s">
        <v>51</v>
      </c>
      <c r="D79" s="779"/>
      <c r="E79" s="1644">
        <v>0</v>
      </c>
      <c r="F79" s="1644">
        <v>0</v>
      </c>
      <c r="G79" s="1645">
        <v>0</v>
      </c>
      <c r="I79" s="1701">
        <f t="shared" si="5"/>
        <v>0</v>
      </c>
      <c r="J79" s="1702">
        <f t="shared" si="6"/>
        <v>0</v>
      </c>
      <c r="L79" s="1711" t="e">
        <f t="shared" si="7"/>
        <v>#DIV/0!</v>
      </c>
      <c r="M79" s="1712" t="e">
        <f t="shared" si="8"/>
        <v>#DIV/0!</v>
      </c>
    </row>
    <row r="80" spans="2:13" x14ac:dyDescent="0.35">
      <c r="B80" s="2943"/>
      <c r="C80" s="907" t="s">
        <v>52</v>
      </c>
      <c r="D80" s="779"/>
      <c r="E80" s="1644">
        <v>0</v>
      </c>
      <c r="F80" s="1644">
        <v>0</v>
      </c>
      <c r="G80" s="1645">
        <v>0</v>
      </c>
      <c r="I80" s="1701">
        <f t="shared" si="5"/>
        <v>0</v>
      </c>
      <c r="J80" s="1702">
        <f t="shared" si="6"/>
        <v>0</v>
      </c>
      <c r="L80" s="1711" t="e">
        <f t="shared" si="7"/>
        <v>#DIV/0!</v>
      </c>
      <c r="M80" s="1712" t="e">
        <f t="shared" si="8"/>
        <v>#DIV/0!</v>
      </c>
    </row>
    <row r="81" spans="2:13" x14ac:dyDescent="0.35">
      <c r="B81" s="2943"/>
      <c r="C81" s="907" t="s">
        <v>82</v>
      </c>
      <c r="D81" s="779"/>
      <c r="E81" s="1644">
        <v>0</v>
      </c>
      <c r="F81" s="1648">
        <v>0</v>
      </c>
      <c r="G81" s="1649"/>
      <c r="I81" s="1701">
        <f t="shared" si="5"/>
        <v>0</v>
      </c>
      <c r="J81" s="1702">
        <f t="shared" si="6"/>
        <v>0</v>
      </c>
      <c r="L81" s="1711"/>
      <c r="M81" s="1712"/>
    </row>
    <row r="82" spans="2:13" ht="15" thickBot="1" x14ac:dyDescent="0.4">
      <c r="B82" s="2939"/>
      <c r="C82" s="898" t="s">
        <v>50</v>
      </c>
      <c r="D82" s="1693">
        <v>0</v>
      </c>
      <c r="E82" s="506">
        <v>0</v>
      </c>
      <c r="F82" s="506">
        <v>0</v>
      </c>
      <c r="G82" s="507">
        <v>0</v>
      </c>
      <c r="I82" s="1703">
        <f t="shared" si="5"/>
        <v>0</v>
      </c>
      <c r="J82" s="1704">
        <f t="shared" si="6"/>
        <v>0</v>
      </c>
      <c r="L82" s="1713" t="e">
        <f t="shared" si="7"/>
        <v>#DIV/0!</v>
      </c>
      <c r="M82" s="1714" t="e">
        <f t="shared" si="8"/>
        <v>#DIV/0!</v>
      </c>
    </row>
    <row r="83" spans="2:13" x14ac:dyDescent="0.35">
      <c r="B83" s="2938" t="s">
        <v>83</v>
      </c>
      <c r="C83" s="887" t="s">
        <v>84</v>
      </c>
      <c r="D83" s="1688"/>
      <c r="E83" s="765">
        <v>0</v>
      </c>
      <c r="F83" s="765">
        <v>0</v>
      </c>
      <c r="G83" s="766">
        <v>0</v>
      </c>
      <c r="I83" s="1699">
        <f t="shared" si="5"/>
        <v>0</v>
      </c>
      <c r="J83" s="1700">
        <f t="shared" si="6"/>
        <v>0</v>
      </c>
      <c r="L83" s="1709" t="e">
        <f t="shared" si="7"/>
        <v>#DIV/0!</v>
      </c>
      <c r="M83" s="1710" t="e">
        <f t="shared" si="8"/>
        <v>#DIV/0!</v>
      </c>
    </row>
    <row r="84" spans="2:13" ht="15" thickBot="1" x14ac:dyDescent="0.4">
      <c r="B84" s="2939"/>
      <c r="C84" s="898" t="s">
        <v>85</v>
      </c>
      <c r="D84" s="1662"/>
      <c r="E84" s="506">
        <v>0</v>
      </c>
      <c r="F84" s="506">
        <v>0</v>
      </c>
      <c r="G84" s="507">
        <v>0</v>
      </c>
      <c r="I84" s="1703">
        <f t="shared" si="5"/>
        <v>0</v>
      </c>
      <c r="J84" s="1704">
        <f t="shared" si="6"/>
        <v>0</v>
      </c>
      <c r="L84" s="1713" t="e">
        <f t="shared" si="7"/>
        <v>#DIV/0!</v>
      </c>
      <c r="M84" s="1714" t="e">
        <f t="shared" si="8"/>
        <v>#DIV/0!</v>
      </c>
    </row>
    <row r="85" spans="2:13" x14ac:dyDescent="0.35">
      <c r="B85" s="2945" t="s">
        <v>86</v>
      </c>
      <c r="C85" s="911" t="s">
        <v>87</v>
      </c>
      <c r="D85" s="1688"/>
      <c r="E85" s="765">
        <v>0</v>
      </c>
      <c r="F85" s="765">
        <v>0</v>
      </c>
      <c r="G85" s="766">
        <v>0</v>
      </c>
      <c r="I85" s="1699">
        <f t="shared" si="5"/>
        <v>0</v>
      </c>
      <c r="J85" s="1700">
        <f t="shared" si="6"/>
        <v>0</v>
      </c>
      <c r="L85" s="1709" t="e">
        <f t="shared" si="7"/>
        <v>#DIV/0!</v>
      </c>
      <c r="M85" s="1710" t="e">
        <f t="shared" si="8"/>
        <v>#DIV/0!</v>
      </c>
    </row>
    <row r="86" spans="2:13" x14ac:dyDescent="0.35">
      <c r="B86" s="2946"/>
      <c r="C86" s="905" t="s">
        <v>88</v>
      </c>
      <c r="D86" s="779"/>
      <c r="E86" s="1644">
        <v>0</v>
      </c>
      <c r="F86" s="1644">
        <v>0</v>
      </c>
      <c r="G86" s="1645">
        <v>0</v>
      </c>
      <c r="I86" s="1701">
        <f t="shared" si="5"/>
        <v>0</v>
      </c>
      <c r="J86" s="1702">
        <f t="shared" si="6"/>
        <v>0</v>
      </c>
      <c r="L86" s="1711" t="e">
        <f t="shared" si="7"/>
        <v>#DIV/0!</v>
      </c>
      <c r="M86" s="1712" t="e">
        <f t="shared" si="8"/>
        <v>#DIV/0!</v>
      </c>
    </row>
    <row r="87" spans="2:13" x14ac:dyDescent="0.35">
      <c r="B87" s="2946"/>
      <c r="C87" s="905" t="s">
        <v>89</v>
      </c>
      <c r="D87" s="779"/>
      <c r="E87" s="1644">
        <v>0</v>
      </c>
      <c r="F87" s="1644">
        <v>0</v>
      </c>
      <c r="G87" s="1645">
        <v>0</v>
      </c>
      <c r="I87" s="1701">
        <f t="shared" si="5"/>
        <v>0</v>
      </c>
      <c r="J87" s="1702">
        <f t="shared" si="6"/>
        <v>0</v>
      </c>
      <c r="L87" s="1711" t="e">
        <f t="shared" si="7"/>
        <v>#DIV/0!</v>
      </c>
      <c r="M87" s="1712" t="e">
        <f t="shared" si="8"/>
        <v>#DIV/0!</v>
      </c>
    </row>
    <row r="88" spans="2:13" x14ac:dyDescent="0.35">
      <c r="B88" s="2946"/>
      <c r="C88" s="906" t="s">
        <v>46</v>
      </c>
      <c r="D88" s="779"/>
      <c r="E88" s="1648">
        <v>0</v>
      </c>
      <c r="F88" s="1648">
        <v>0</v>
      </c>
      <c r="G88" s="1649"/>
      <c r="I88" s="779">
        <f t="shared" si="5"/>
        <v>0</v>
      </c>
      <c r="J88" s="1649">
        <f t="shared" si="6"/>
        <v>0</v>
      </c>
      <c r="L88" s="1725" t="e">
        <f t="shared" si="7"/>
        <v>#DIV/0!</v>
      </c>
      <c r="M88" s="1726"/>
    </row>
    <row r="89" spans="2:13" ht="15" thickBot="1" x14ac:dyDescent="0.4">
      <c r="B89" s="2947"/>
      <c r="C89" s="912" t="s">
        <v>89</v>
      </c>
      <c r="D89" s="1662"/>
      <c r="E89" s="506">
        <v>0</v>
      </c>
      <c r="F89" s="506">
        <v>0</v>
      </c>
      <c r="G89" s="507">
        <v>0</v>
      </c>
      <c r="I89" s="1705">
        <f t="shared" si="5"/>
        <v>0</v>
      </c>
      <c r="J89" s="1706">
        <f t="shared" si="6"/>
        <v>0</v>
      </c>
      <c r="L89" s="1715" t="e">
        <f t="shared" si="7"/>
        <v>#DIV/0!</v>
      </c>
      <c r="M89" s="1716" t="e">
        <f t="shared" si="8"/>
        <v>#DIV/0!</v>
      </c>
    </row>
    <row r="90" spans="2:13" ht="15" thickBot="1" x14ac:dyDescent="0.4">
      <c r="B90" s="914" t="s">
        <v>90</v>
      </c>
      <c r="C90" s="915" t="s">
        <v>91</v>
      </c>
      <c r="D90" s="96"/>
      <c r="E90" s="1694">
        <v>0</v>
      </c>
      <c r="F90" s="1694">
        <v>0</v>
      </c>
      <c r="G90" s="1695">
        <v>0</v>
      </c>
      <c r="I90" s="1707">
        <f t="shared" si="5"/>
        <v>0</v>
      </c>
      <c r="J90" s="1708">
        <f t="shared" si="6"/>
        <v>0</v>
      </c>
      <c r="L90" s="1717"/>
      <c r="M90" s="1718"/>
    </row>
    <row r="91" spans="2:13" x14ac:dyDescent="0.35">
      <c r="B91" s="2948" t="s">
        <v>92</v>
      </c>
      <c r="C91" s="916" t="s">
        <v>93</v>
      </c>
      <c r="D91" s="346"/>
      <c r="E91" s="1656">
        <v>0</v>
      </c>
      <c r="F91" s="1656">
        <v>0</v>
      </c>
      <c r="G91" s="1657">
        <v>0</v>
      </c>
      <c r="I91" s="1699">
        <f t="shared" si="5"/>
        <v>0</v>
      </c>
      <c r="J91" s="1700">
        <f t="shared" si="6"/>
        <v>0</v>
      </c>
      <c r="L91" s="1709"/>
      <c r="M91" s="1710"/>
    </row>
    <row r="92" spans="2:13" ht="15" thickBot="1" x14ac:dyDescent="0.4">
      <c r="B92" s="2949"/>
      <c r="C92" s="913" t="s">
        <v>94</v>
      </c>
      <c r="D92" s="1662"/>
      <c r="E92" s="506">
        <v>0</v>
      </c>
      <c r="F92" s="506">
        <v>0</v>
      </c>
      <c r="G92" s="507">
        <v>0</v>
      </c>
      <c r="I92" s="1703">
        <f t="shared" si="5"/>
        <v>0</v>
      </c>
      <c r="J92" s="1704">
        <f t="shared" si="6"/>
        <v>0</v>
      </c>
      <c r="L92" s="1713"/>
      <c r="M92" s="1714"/>
    </row>
    <row r="93" spans="2:13" ht="15" thickBot="1" x14ac:dyDescent="0.4">
      <c r="B93" s="963" t="s">
        <v>347</v>
      </c>
      <c r="C93" s="917" t="s">
        <v>349</v>
      </c>
      <c r="D93" s="724"/>
      <c r="E93" s="1696">
        <v>0</v>
      </c>
      <c r="F93" s="1696">
        <v>0</v>
      </c>
      <c r="G93" s="1697">
        <v>0</v>
      </c>
      <c r="I93" s="1707">
        <f t="shared" si="5"/>
        <v>0</v>
      </c>
      <c r="J93" s="1708">
        <f t="shared" si="6"/>
        <v>0</v>
      </c>
      <c r="L93" s="1717" t="e">
        <f t="shared" si="7"/>
        <v>#DIV/0!</v>
      </c>
      <c r="M93" s="1718" t="e">
        <f t="shared" si="8"/>
        <v>#DIV/0!</v>
      </c>
    </row>
    <row r="94" spans="2:13" x14ac:dyDescent="0.35">
      <c r="B94" s="2936" t="s">
        <v>372</v>
      </c>
      <c r="C94" s="2895" t="s">
        <v>373</v>
      </c>
      <c r="D94" s="2905">
        <v>0</v>
      </c>
      <c r="E94" s="2933">
        <v>0</v>
      </c>
      <c r="F94" s="2933">
        <v>0</v>
      </c>
      <c r="G94" s="2934">
        <v>0</v>
      </c>
      <c r="I94" s="1699">
        <f t="shared" si="5"/>
        <v>0</v>
      </c>
      <c r="J94" s="1700">
        <f t="shared" si="6"/>
        <v>0</v>
      </c>
      <c r="L94" s="1709" t="e">
        <f t="shared" si="7"/>
        <v>#DIV/0!</v>
      </c>
      <c r="M94" s="1710" t="e">
        <f t="shared" si="8"/>
        <v>#DIV/0!</v>
      </c>
    </row>
    <row r="95" spans="2:13" ht="15" thickBot="1" x14ac:dyDescent="0.4">
      <c r="B95" s="2937"/>
      <c r="C95" s="2896"/>
      <c r="D95" s="2906"/>
      <c r="E95" s="2904"/>
      <c r="F95" s="2904"/>
      <c r="G95" s="2935"/>
      <c r="I95" s="1703">
        <f t="shared" si="5"/>
        <v>0</v>
      </c>
      <c r="J95" s="1704">
        <f t="shared" si="6"/>
        <v>0</v>
      </c>
      <c r="L95" s="1713"/>
      <c r="M95" s="1714"/>
    </row>
  </sheetData>
  <mergeCells count="24">
    <mergeCell ref="B20:B36"/>
    <mergeCell ref="D30:G30"/>
    <mergeCell ref="B2:B3"/>
    <mergeCell ref="C2:C3"/>
    <mergeCell ref="D2:G2"/>
    <mergeCell ref="B4:B13"/>
    <mergeCell ref="B14:B19"/>
    <mergeCell ref="B94:B95"/>
    <mergeCell ref="B37:B38"/>
    <mergeCell ref="B39:B40"/>
    <mergeCell ref="B41:B55"/>
    <mergeCell ref="B56:B57"/>
    <mergeCell ref="B58:B65"/>
    <mergeCell ref="B66:B67"/>
    <mergeCell ref="B68:B74"/>
    <mergeCell ref="B75:B82"/>
    <mergeCell ref="B83:B84"/>
    <mergeCell ref="B85:B89"/>
    <mergeCell ref="B91:B92"/>
    <mergeCell ref="C94:C95"/>
    <mergeCell ref="D94:D95"/>
    <mergeCell ref="E94:E95"/>
    <mergeCell ref="F94:F95"/>
    <mergeCell ref="G94:G95"/>
  </mergeCells>
  <pageMargins left="0.7" right="0.7" top="0.75" bottom="0.75" header="0.3" footer="0.3"/>
  <ignoredErrors>
    <ignoredError sqref="I5 J21 J27" formula="1"/>
  </ignoredErrors>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1088"/>
  <sheetViews>
    <sheetView showGridLines="0" topLeftCell="A1080" zoomScale="80" zoomScaleNormal="80" workbookViewId="0">
      <selection activeCell="C1098" sqref="C1098:C1107"/>
    </sheetView>
  </sheetViews>
  <sheetFormatPr baseColWidth="10" defaultRowHeight="14.5" x14ac:dyDescent="0.35"/>
  <cols>
    <col min="1" max="1" width="38.7265625" style="5" customWidth="1"/>
    <col min="2" max="2" width="21.1796875" style="5" customWidth="1"/>
    <col min="3" max="3" width="51.453125" style="5" customWidth="1"/>
    <col min="4" max="4" width="42.81640625" style="1001" bestFit="1" customWidth="1"/>
    <col min="5" max="5" width="12.26953125" style="5" bestFit="1" customWidth="1"/>
    <col min="6" max="6" width="12.453125" style="98" customWidth="1"/>
    <col min="7" max="7" width="18" style="2" bestFit="1" customWidth="1"/>
    <col min="8" max="8" width="43" style="2" bestFit="1" customWidth="1"/>
    <col min="9" max="9" width="156.54296875" style="617" bestFit="1" customWidth="1"/>
  </cols>
  <sheetData>
    <row r="1" spans="1:9" x14ac:dyDescent="0.35">
      <c r="C1" s="3"/>
      <c r="D1" s="3"/>
      <c r="F1" s="3"/>
      <c r="G1" s="3"/>
      <c r="H1" s="3"/>
    </row>
    <row r="2" spans="1:9" x14ac:dyDescent="0.35">
      <c r="C2" s="3"/>
      <c r="D2" s="3" t="s">
        <v>95</v>
      </c>
      <c r="F2" s="3"/>
      <c r="G2" s="3"/>
      <c r="H2" s="3"/>
    </row>
    <row r="3" spans="1:9" x14ac:dyDescent="0.35">
      <c r="C3" s="3"/>
      <c r="F3" s="3"/>
      <c r="G3" s="3"/>
      <c r="H3" s="3"/>
    </row>
    <row r="4" spans="1:9" ht="15.5" x14ac:dyDescent="0.35">
      <c r="C4" s="8" t="s">
        <v>1</v>
      </c>
      <c r="D4" s="2963" t="str">
        <f>+'[1]B) Reajuste Tarifas y Ocupación'!F5</f>
        <v>BIENVALP</v>
      </c>
      <c r="E4" s="2964"/>
      <c r="F4" s="3"/>
      <c r="G4" s="3"/>
      <c r="H4" s="3"/>
    </row>
    <row r="5" spans="1:9" x14ac:dyDescent="0.35">
      <c r="B5" s="3"/>
      <c r="C5" s="3"/>
      <c r="D5" s="3"/>
      <c r="E5" s="3"/>
      <c r="F5" s="3"/>
      <c r="G5" s="3"/>
      <c r="H5" s="3"/>
    </row>
    <row r="6" spans="1:9" x14ac:dyDescent="0.35">
      <c r="B6" s="3"/>
      <c r="C6" s="3"/>
      <c r="D6" s="3"/>
      <c r="E6" s="3"/>
      <c r="F6" s="3"/>
      <c r="G6" s="3"/>
      <c r="H6" s="3"/>
    </row>
    <row r="7" spans="1:9" x14ac:dyDescent="0.35">
      <c r="A7" s="2965" t="s">
        <v>96</v>
      </c>
      <c r="B7" s="2965"/>
      <c r="C7" s="2965"/>
      <c r="D7" s="3"/>
      <c r="G7" s="5"/>
    </row>
    <row r="9" spans="1:9" x14ac:dyDescent="0.35">
      <c r="A9" s="2966" t="s">
        <v>21</v>
      </c>
      <c r="B9" s="2968" t="s">
        <v>97</v>
      </c>
      <c r="C9" s="2970" t="s">
        <v>98</v>
      </c>
      <c r="D9" s="2972" t="s">
        <v>99</v>
      </c>
      <c r="E9" s="2974" t="s">
        <v>100</v>
      </c>
      <c r="F9" s="2975"/>
      <c r="G9" s="2976"/>
      <c r="H9" s="2985" t="s">
        <v>523</v>
      </c>
      <c r="I9" s="2987" t="s">
        <v>101</v>
      </c>
    </row>
    <row r="10" spans="1:9" ht="38.25" customHeight="1" x14ac:dyDescent="0.35">
      <c r="A10" s="2967"/>
      <c r="B10" s="2969"/>
      <c r="C10" s="2971"/>
      <c r="D10" s="2973"/>
      <c r="E10" s="1002" t="s">
        <v>102</v>
      </c>
      <c r="F10" s="99" t="s">
        <v>103</v>
      </c>
      <c r="G10" s="1003" t="s">
        <v>104</v>
      </c>
      <c r="H10" s="2986"/>
      <c r="I10" s="2987"/>
    </row>
    <row r="11" spans="1:9" ht="15" customHeight="1" x14ac:dyDescent="0.35">
      <c r="A11" s="2988" t="str">
        <f>+'B) Reajuste Tarifas y Ocupación'!A12</f>
        <v>C. H. Mare Nostrum</v>
      </c>
      <c r="B11" s="1004"/>
      <c r="C11" s="1005" t="s">
        <v>105</v>
      </c>
      <c r="D11" s="1006">
        <f>SUM(D12,D17,D19)</f>
        <v>124357819.55399999</v>
      </c>
      <c r="E11" s="1007"/>
      <c r="F11" s="1007"/>
      <c r="G11" s="1006">
        <f>SUM(G12,G17,G19)</f>
        <v>0</v>
      </c>
      <c r="H11" s="1008">
        <f>SUM(H12,H17,H19)</f>
        <v>124357819.55399999</v>
      </c>
      <c r="I11" s="2049"/>
    </row>
    <row r="12" spans="1:9" ht="15" customHeight="1" x14ac:dyDescent="0.35">
      <c r="A12" s="2978"/>
      <c r="B12" s="1009"/>
      <c r="C12" s="1010" t="s">
        <v>106</v>
      </c>
      <c r="D12" s="1011">
        <f>SUM(D13:D16)</f>
        <v>70913676.537999988</v>
      </c>
      <c r="E12" s="1012"/>
      <c r="F12" s="1012"/>
      <c r="G12" s="1013">
        <f>SUM(G13:G16)</f>
        <v>0</v>
      </c>
      <c r="H12" s="1014">
        <f>SUM(H13:H16)</f>
        <v>70913676.537999988</v>
      </c>
      <c r="I12" s="2049"/>
    </row>
    <row r="13" spans="1:9" ht="15" customHeight="1" x14ac:dyDescent="0.35">
      <c r="A13" s="2978"/>
      <c r="B13" s="1015">
        <v>53103040100000</v>
      </c>
      <c r="C13" s="1016" t="s">
        <v>107</v>
      </c>
      <c r="D13" s="1017">
        <f>+'F) Remuneraciones'!M11</f>
        <v>70913676.537999988</v>
      </c>
      <c r="E13" s="1018"/>
      <c r="F13" s="1018"/>
      <c r="G13" s="1018"/>
      <c r="H13" s="1019">
        <f>D13+G13</f>
        <v>70913676.537999988</v>
      </c>
      <c r="I13" s="2049"/>
    </row>
    <row r="14" spans="1:9" ht="15" customHeight="1" x14ac:dyDescent="0.35">
      <c r="A14" s="2978"/>
      <c r="B14" s="1015">
        <v>53103050000000</v>
      </c>
      <c r="C14" s="1016" t="s">
        <v>108</v>
      </c>
      <c r="D14" s="933"/>
      <c r="E14" s="100"/>
      <c r="F14" s="101"/>
      <c r="G14" s="1020">
        <f>E14*F14</f>
        <v>0</v>
      </c>
      <c r="H14" s="1021">
        <f t="shared" ref="H14:H16" si="0">D14+G14</f>
        <v>0</v>
      </c>
      <c r="I14" s="2049"/>
    </row>
    <row r="15" spans="1:9" ht="15" customHeight="1" x14ac:dyDescent="0.35">
      <c r="A15" s="2978"/>
      <c r="B15" s="1015">
        <v>53103060000000</v>
      </c>
      <c r="C15" s="1016" t="s">
        <v>109</v>
      </c>
      <c r="D15" s="934"/>
      <c r="E15" s="102"/>
      <c r="F15" s="103"/>
      <c r="G15" s="1022">
        <f t="shared" ref="G15:G16" si="1">E15*F15</f>
        <v>0</v>
      </c>
      <c r="H15" s="1023">
        <f t="shared" si="0"/>
        <v>0</v>
      </c>
      <c r="I15" s="2049"/>
    </row>
    <row r="16" spans="1:9" ht="15" customHeight="1" x14ac:dyDescent="0.35">
      <c r="A16" s="2978"/>
      <c r="B16" s="1015">
        <v>53103080010000</v>
      </c>
      <c r="C16" s="1016" t="s">
        <v>110</v>
      </c>
      <c r="D16" s="934"/>
      <c r="E16" s="102"/>
      <c r="F16" s="103"/>
      <c r="G16" s="1022">
        <f t="shared" si="1"/>
        <v>0</v>
      </c>
      <c r="H16" s="1023">
        <f t="shared" si="0"/>
        <v>0</v>
      </c>
      <c r="I16" s="2049"/>
    </row>
    <row r="17" spans="1:9" ht="15" customHeight="1" x14ac:dyDescent="0.35">
      <c r="A17" s="2978"/>
      <c r="B17" s="1009"/>
      <c r="C17" s="1010" t="s">
        <v>111</v>
      </c>
      <c r="D17" s="1011">
        <f>SUM(D18)</f>
        <v>2371300</v>
      </c>
      <c r="E17" s="1024"/>
      <c r="F17" s="1024"/>
      <c r="G17" s="1025">
        <f>SUM(G18:G18)</f>
        <v>0</v>
      </c>
      <c r="H17" s="1026">
        <f>SUM(H18:H18)</f>
        <v>2371300</v>
      </c>
      <c r="I17" s="2049"/>
    </row>
    <row r="18" spans="1:9" ht="15" customHeight="1" x14ac:dyDescent="0.35">
      <c r="A18" s="2978"/>
      <c r="B18" s="1027">
        <v>55201010100001</v>
      </c>
      <c r="C18" s="1016" t="s">
        <v>112</v>
      </c>
      <c r="D18" s="2041">
        <v>2371300</v>
      </c>
      <c r="E18" s="102"/>
      <c r="F18" s="103"/>
      <c r="G18" s="1022">
        <f t="shared" ref="G18" si="2">E18*F18</f>
        <v>0</v>
      </c>
      <c r="H18" s="1023">
        <f>D18+G18</f>
        <v>2371300</v>
      </c>
      <c r="I18" s="2050" t="s">
        <v>571</v>
      </c>
    </row>
    <row r="19" spans="1:9" ht="15" customHeight="1" x14ac:dyDescent="0.35">
      <c r="A19" s="2978"/>
      <c r="B19" s="1028"/>
      <c r="C19" s="1010" t="s">
        <v>113</v>
      </c>
      <c r="D19" s="1011">
        <f>SUM(D20:D38)</f>
        <v>51072843.016000003</v>
      </c>
      <c r="E19" s="1024"/>
      <c r="F19" s="1024"/>
      <c r="G19" s="1029">
        <f>SUM(G20:G38)</f>
        <v>0</v>
      </c>
      <c r="H19" s="1026">
        <f>SUM(H20:H38)</f>
        <v>51072843.016000003</v>
      </c>
      <c r="I19" s="2049"/>
    </row>
    <row r="20" spans="1:9" ht="15" customHeight="1" x14ac:dyDescent="0.35">
      <c r="A20" s="2978"/>
      <c r="B20" s="1027">
        <v>53201010100000</v>
      </c>
      <c r="C20" s="1016" t="s">
        <v>114</v>
      </c>
      <c r="D20" s="936">
        <v>164960</v>
      </c>
      <c r="E20" s="102"/>
      <c r="F20" s="103"/>
      <c r="G20" s="1022">
        <f t="shared" ref="G20:G38" si="3">E20*F20</f>
        <v>0</v>
      </c>
      <c r="H20" s="1023">
        <f t="shared" ref="H20:H38" si="4">D20+G20</f>
        <v>164960</v>
      </c>
      <c r="I20" s="2049" t="s">
        <v>572</v>
      </c>
    </row>
    <row r="21" spans="1:9" ht="15" customHeight="1" x14ac:dyDescent="0.35">
      <c r="A21" s="2978"/>
      <c r="B21" s="1027">
        <v>53202010100000</v>
      </c>
      <c r="C21" s="1016" t="s">
        <v>115</v>
      </c>
      <c r="D21" s="846">
        <v>2934380.65</v>
      </c>
      <c r="E21" s="102"/>
      <c r="F21" s="103"/>
      <c r="G21" s="1022">
        <f t="shared" si="3"/>
        <v>0</v>
      </c>
      <c r="H21" s="1023">
        <f t="shared" si="4"/>
        <v>2934380.65</v>
      </c>
      <c r="I21" s="2049"/>
    </row>
    <row r="22" spans="1:9" ht="15" customHeight="1" x14ac:dyDescent="0.35">
      <c r="A22" s="2978"/>
      <c r="B22" s="1027">
        <v>53203010100000</v>
      </c>
      <c r="C22" s="1016" t="s">
        <v>116</v>
      </c>
      <c r="D22" s="846"/>
      <c r="E22" s="102"/>
      <c r="F22" s="103"/>
      <c r="G22" s="1022">
        <f t="shared" si="3"/>
        <v>0</v>
      </c>
      <c r="H22" s="1023">
        <f t="shared" si="4"/>
        <v>0</v>
      </c>
      <c r="I22" s="2049"/>
    </row>
    <row r="23" spans="1:9" ht="15" customHeight="1" x14ac:dyDescent="0.35">
      <c r="A23" s="2978"/>
      <c r="B23" s="1027">
        <v>53203030000000</v>
      </c>
      <c r="C23" s="1030" t="s">
        <v>117</v>
      </c>
      <c r="D23" s="846">
        <v>1089360</v>
      </c>
      <c r="E23" s="102"/>
      <c r="F23" s="103"/>
      <c r="G23" s="1031">
        <f t="shared" si="3"/>
        <v>0</v>
      </c>
      <c r="H23" s="1023">
        <f t="shared" si="4"/>
        <v>1089360</v>
      </c>
      <c r="I23" s="2049" t="s">
        <v>573</v>
      </c>
    </row>
    <row r="24" spans="1:9" ht="15" customHeight="1" x14ac:dyDescent="0.35">
      <c r="A24" s="2978"/>
      <c r="B24" s="105">
        <v>53204030000000</v>
      </c>
      <c r="C24" s="1032" t="s">
        <v>118</v>
      </c>
      <c r="D24" s="846"/>
      <c r="E24" s="102"/>
      <c r="F24" s="103"/>
      <c r="G24" s="1033">
        <f t="shared" si="3"/>
        <v>0</v>
      </c>
      <c r="H24" s="1034">
        <f t="shared" si="4"/>
        <v>0</v>
      </c>
      <c r="I24" s="2049"/>
    </row>
    <row r="25" spans="1:9" ht="15" customHeight="1" x14ac:dyDescent="0.35">
      <c r="A25" s="2978"/>
      <c r="B25" s="105">
        <v>53204100100001</v>
      </c>
      <c r="C25" s="1035" t="s">
        <v>119</v>
      </c>
      <c r="D25" s="846"/>
      <c r="E25" s="102"/>
      <c r="F25" s="103"/>
      <c r="G25" s="1036">
        <f t="shared" si="3"/>
        <v>0</v>
      </c>
      <c r="H25" s="1034">
        <f t="shared" si="4"/>
        <v>0</v>
      </c>
      <c r="I25" s="2049"/>
    </row>
    <row r="26" spans="1:9" ht="15" customHeight="1" x14ac:dyDescent="0.35">
      <c r="A26" s="2978"/>
      <c r="B26" s="105">
        <v>53204130100000</v>
      </c>
      <c r="C26" s="1032" t="s">
        <v>120</v>
      </c>
      <c r="D26" s="846">
        <v>329920</v>
      </c>
      <c r="E26" s="102"/>
      <c r="F26" s="103"/>
      <c r="G26" s="1033">
        <f t="shared" si="3"/>
        <v>0</v>
      </c>
      <c r="H26" s="1034">
        <f t="shared" si="4"/>
        <v>329920</v>
      </c>
      <c r="I26" s="2049"/>
    </row>
    <row r="27" spans="1:9" x14ac:dyDescent="0.35">
      <c r="A27" s="2978"/>
      <c r="B27" s="105">
        <v>53205010100000</v>
      </c>
      <c r="C27" s="1032" t="s">
        <v>121</v>
      </c>
      <c r="D27" s="846">
        <v>6309720</v>
      </c>
      <c r="E27" s="102"/>
      <c r="F27" s="103"/>
      <c r="G27" s="1033">
        <v>0</v>
      </c>
      <c r="H27" s="1034">
        <f t="shared" si="4"/>
        <v>6309720</v>
      </c>
      <c r="I27" s="2049"/>
    </row>
    <row r="28" spans="1:9" ht="15" customHeight="1" x14ac:dyDescent="0.35">
      <c r="A28" s="2978"/>
      <c r="B28" s="105">
        <v>53205020100000</v>
      </c>
      <c r="C28" s="1032" t="s">
        <v>122</v>
      </c>
      <c r="D28" s="846">
        <v>3154860</v>
      </c>
      <c r="E28" s="102"/>
      <c r="F28" s="103"/>
      <c r="G28" s="1033">
        <f t="shared" si="3"/>
        <v>0</v>
      </c>
      <c r="H28" s="1034">
        <f t="shared" si="4"/>
        <v>3154860</v>
      </c>
      <c r="I28" s="2049"/>
    </row>
    <row r="29" spans="1:9" ht="15" customHeight="1" x14ac:dyDescent="0.35">
      <c r="A29" s="2978"/>
      <c r="B29" s="105">
        <v>53205030100000</v>
      </c>
      <c r="C29" s="1032" t="s">
        <v>123</v>
      </c>
      <c r="D29" s="846">
        <v>15787450</v>
      </c>
      <c r="E29" s="102"/>
      <c r="F29" s="103"/>
      <c r="G29" s="1033">
        <f t="shared" si="3"/>
        <v>0</v>
      </c>
      <c r="H29" s="1034">
        <f t="shared" si="4"/>
        <v>15787450</v>
      </c>
      <c r="I29" s="2049"/>
    </row>
    <row r="30" spans="1:9" ht="15" customHeight="1" x14ac:dyDescent="0.35">
      <c r="A30" s="2978"/>
      <c r="B30" s="105">
        <v>53205050100000</v>
      </c>
      <c r="C30" s="1032" t="s">
        <v>124</v>
      </c>
      <c r="D30" s="846">
        <v>313480</v>
      </c>
      <c r="E30" s="102"/>
      <c r="F30" s="103"/>
      <c r="G30" s="1033">
        <f t="shared" si="3"/>
        <v>0</v>
      </c>
      <c r="H30" s="1034">
        <f t="shared" si="4"/>
        <v>313480</v>
      </c>
      <c r="I30" s="2049" t="s">
        <v>574</v>
      </c>
    </row>
    <row r="31" spans="1:9" ht="15" customHeight="1" x14ac:dyDescent="0.35">
      <c r="A31" s="2978"/>
      <c r="B31" s="105">
        <v>53205060100000</v>
      </c>
      <c r="C31" s="1032" t="s">
        <v>125</v>
      </c>
      <c r="D31" s="846">
        <v>250890</v>
      </c>
      <c r="E31" s="102"/>
      <c r="F31" s="103"/>
      <c r="G31" s="1033">
        <f t="shared" si="3"/>
        <v>0</v>
      </c>
      <c r="H31" s="1034">
        <f t="shared" si="4"/>
        <v>250890</v>
      </c>
      <c r="I31" s="2049"/>
    </row>
    <row r="32" spans="1:9" ht="15" customHeight="1" x14ac:dyDescent="0.35">
      <c r="A32" s="2978"/>
      <c r="B32" s="105">
        <v>53205070100000</v>
      </c>
      <c r="C32" s="1032" t="s">
        <v>126</v>
      </c>
      <c r="D32" s="846">
        <v>3454235.2800000003</v>
      </c>
      <c r="E32" s="102"/>
      <c r="F32" s="103"/>
      <c r="G32" s="1033">
        <f t="shared" si="3"/>
        <v>0</v>
      </c>
      <c r="H32" s="1034">
        <f t="shared" si="4"/>
        <v>3454235.2800000003</v>
      </c>
      <c r="I32" s="617" t="s">
        <v>575</v>
      </c>
    </row>
    <row r="33" spans="1:9" ht="15" customHeight="1" x14ac:dyDescent="0.35">
      <c r="A33" s="2978"/>
      <c r="B33" s="105">
        <v>53208010100000</v>
      </c>
      <c r="C33" s="1032" t="s">
        <v>127</v>
      </c>
      <c r="D33" s="846">
        <v>14654537.085999999</v>
      </c>
      <c r="E33" s="102"/>
      <c r="F33" s="103"/>
      <c r="G33" s="1033">
        <f t="shared" si="3"/>
        <v>0</v>
      </c>
      <c r="H33" s="1034">
        <f t="shared" si="4"/>
        <v>14654537.085999999</v>
      </c>
      <c r="I33" s="2049"/>
    </row>
    <row r="34" spans="1:9" ht="15" customHeight="1" x14ac:dyDescent="0.35">
      <c r="A34" s="2978"/>
      <c r="B34" s="105">
        <v>53208070100001</v>
      </c>
      <c r="C34" s="1032" t="s">
        <v>128</v>
      </c>
      <c r="D34" s="846"/>
      <c r="E34" s="102"/>
      <c r="F34" s="103"/>
      <c r="G34" s="1033">
        <f t="shared" si="3"/>
        <v>0</v>
      </c>
      <c r="H34" s="1034">
        <f t="shared" si="4"/>
        <v>0</v>
      </c>
      <c r="I34" s="2049"/>
    </row>
    <row r="35" spans="1:9" ht="15" customHeight="1" x14ac:dyDescent="0.35">
      <c r="A35" s="2978"/>
      <c r="B35" s="105">
        <v>53208100100001</v>
      </c>
      <c r="C35" s="1032" t="s">
        <v>129</v>
      </c>
      <c r="D35" s="846"/>
      <c r="E35" s="102"/>
      <c r="F35" s="103"/>
      <c r="G35" s="1033">
        <f t="shared" si="3"/>
        <v>0</v>
      </c>
      <c r="H35" s="1034">
        <f t="shared" si="4"/>
        <v>0</v>
      </c>
      <c r="I35" s="2049"/>
    </row>
    <row r="36" spans="1:9" ht="15" customHeight="1" x14ac:dyDescent="0.35">
      <c r="A36" s="2978"/>
      <c r="B36" s="105">
        <v>53211030000000</v>
      </c>
      <c r="C36" s="1032" t="s">
        <v>130</v>
      </c>
      <c r="D36" s="846"/>
      <c r="E36" s="102"/>
      <c r="F36" s="103"/>
      <c r="G36" s="1033">
        <f t="shared" si="3"/>
        <v>0</v>
      </c>
      <c r="H36" s="1034">
        <f t="shared" si="4"/>
        <v>0</v>
      </c>
      <c r="I36" s="2049"/>
    </row>
    <row r="37" spans="1:9" ht="15" customHeight="1" x14ac:dyDescent="0.35">
      <c r="A37" s="2978"/>
      <c r="B37" s="105">
        <v>53212020100000</v>
      </c>
      <c r="C37" s="1032" t="s">
        <v>131</v>
      </c>
      <c r="D37" s="846">
        <v>1892916</v>
      </c>
      <c r="E37" s="102"/>
      <c r="F37" s="103"/>
      <c r="G37" s="1033">
        <f t="shared" si="3"/>
        <v>0</v>
      </c>
      <c r="H37" s="1034">
        <f t="shared" si="4"/>
        <v>1892916</v>
      </c>
      <c r="I37" s="2049"/>
    </row>
    <row r="38" spans="1:9" ht="15" customHeight="1" x14ac:dyDescent="0.35">
      <c r="A38" s="2978"/>
      <c r="B38" s="105">
        <v>53214020000000</v>
      </c>
      <c r="C38" s="1032" t="s">
        <v>132</v>
      </c>
      <c r="D38" s="937">
        <v>736134</v>
      </c>
      <c r="E38" s="106"/>
      <c r="F38" s="107"/>
      <c r="G38" s="1033">
        <f t="shared" si="3"/>
        <v>0</v>
      </c>
      <c r="H38" s="1034">
        <f t="shared" si="4"/>
        <v>736134</v>
      </c>
      <c r="I38" s="2049"/>
    </row>
    <row r="39" spans="1:9" ht="15" customHeight="1" x14ac:dyDescent="0.35">
      <c r="A39" s="2978"/>
      <c r="B39" s="1037"/>
      <c r="C39" s="1038" t="s">
        <v>133</v>
      </c>
      <c r="D39" s="1039">
        <f>SUM(D40,D45,D48,D59,D69,D77)</f>
        <v>23227473.699999999</v>
      </c>
      <c r="E39" s="1040"/>
      <c r="F39" s="1040"/>
      <c r="G39" s="1041">
        <f>SUM(G40,G45,G48,G59,G69,G77)</f>
        <v>12039328</v>
      </c>
      <c r="H39" s="1042">
        <f>SUM(H40,H45,H48,H59,H69,H77)</f>
        <v>35266801.700000003</v>
      </c>
      <c r="I39" s="2049"/>
    </row>
    <row r="40" spans="1:9" ht="15" customHeight="1" x14ac:dyDescent="0.35">
      <c r="A40" s="2978"/>
      <c r="B40" s="1043"/>
      <c r="C40" s="1044" t="s">
        <v>134</v>
      </c>
      <c r="D40" s="1045">
        <f>SUM(D41:D44)</f>
        <v>1625931</v>
      </c>
      <c r="E40" s="1046"/>
      <c r="F40" s="1046"/>
      <c r="G40" s="1047">
        <f>SUM(G41:G44)</f>
        <v>0</v>
      </c>
      <c r="H40" s="1048">
        <f>SUM(H41:H44)</f>
        <v>1625931</v>
      </c>
      <c r="I40" s="2049"/>
    </row>
    <row r="41" spans="1:9" ht="15" customHeight="1" x14ac:dyDescent="0.35">
      <c r="A41" s="2978"/>
      <c r="B41" s="105">
        <v>53202020100000</v>
      </c>
      <c r="C41" s="1032" t="s">
        <v>135</v>
      </c>
      <c r="D41" s="846">
        <v>630972</v>
      </c>
      <c r="E41" s="102"/>
      <c r="F41" s="103"/>
      <c r="G41" s="1033">
        <f>E41*F41</f>
        <v>0</v>
      </c>
      <c r="H41" s="1034">
        <f t="shared" ref="H41:H79" si="5">D41+G41</f>
        <v>630972</v>
      </c>
      <c r="I41" s="2049"/>
    </row>
    <row r="42" spans="1:9" ht="15" customHeight="1" x14ac:dyDescent="0.35">
      <c r="A42" s="2978"/>
      <c r="B42" s="105">
        <v>53202030000000</v>
      </c>
      <c r="C42" s="1032" t="s">
        <v>136</v>
      </c>
      <c r="D42" s="846">
        <v>473229</v>
      </c>
      <c r="E42" s="102"/>
      <c r="F42" s="103"/>
      <c r="G42" s="1033">
        <f t="shared" ref="G42:G79" si="6">E42*F42</f>
        <v>0</v>
      </c>
      <c r="H42" s="1034">
        <f t="shared" si="5"/>
        <v>473229</v>
      </c>
      <c r="I42" s="2049"/>
    </row>
    <row r="43" spans="1:9" ht="15" customHeight="1" x14ac:dyDescent="0.35">
      <c r="A43" s="2978"/>
      <c r="B43" s="105">
        <v>53211020000000</v>
      </c>
      <c r="C43" s="1032" t="s">
        <v>137</v>
      </c>
      <c r="D43" s="846">
        <v>521730</v>
      </c>
      <c r="E43" s="102"/>
      <c r="F43" s="103"/>
      <c r="G43" s="1033">
        <f t="shared" si="6"/>
        <v>0</v>
      </c>
      <c r="H43" s="1034">
        <f t="shared" si="5"/>
        <v>521730</v>
      </c>
      <c r="I43" s="2049"/>
    </row>
    <row r="44" spans="1:9" ht="15" customHeight="1" x14ac:dyDescent="0.35">
      <c r="A44" s="2978"/>
      <c r="B44" s="105">
        <v>53101004030000</v>
      </c>
      <c r="C44" s="1032" t="s">
        <v>138</v>
      </c>
      <c r="D44" s="938"/>
      <c r="E44" s="106"/>
      <c r="F44" s="107"/>
      <c r="G44" s="1033">
        <f t="shared" si="6"/>
        <v>0</v>
      </c>
      <c r="H44" s="1034">
        <f t="shared" si="5"/>
        <v>0</v>
      </c>
      <c r="I44" s="2049"/>
    </row>
    <row r="45" spans="1:9" ht="15" customHeight="1" x14ac:dyDescent="0.35">
      <c r="A45" s="2978"/>
      <c r="B45" s="1043"/>
      <c r="C45" s="1044" t="s">
        <v>139</v>
      </c>
      <c r="D45" s="1045">
        <f>SUM(D46:D47)</f>
        <v>1373606</v>
      </c>
      <c r="E45" s="1046"/>
      <c r="F45" s="1046"/>
      <c r="G45" s="1047">
        <f>SUM(G46:G47)</f>
        <v>0</v>
      </c>
      <c r="H45" s="1048">
        <f>SUM(H46:H47)</f>
        <v>1373606</v>
      </c>
      <c r="I45" s="2049"/>
    </row>
    <row r="46" spans="1:9" ht="15" customHeight="1" x14ac:dyDescent="0.35">
      <c r="A46" s="2978"/>
      <c r="B46" s="105">
        <v>53205080000000</v>
      </c>
      <c r="C46" s="1032" t="s">
        <v>140</v>
      </c>
      <c r="D46" s="104">
        <v>1373606</v>
      </c>
      <c r="E46" s="106"/>
      <c r="F46" s="107"/>
      <c r="G46" s="1033">
        <f t="shared" si="6"/>
        <v>0</v>
      </c>
      <c r="H46" s="1034">
        <f t="shared" si="5"/>
        <v>1373606</v>
      </c>
      <c r="I46" s="2049" t="s">
        <v>576</v>
      </c>
    </row>
    <row r="47" spans="1:9" ht="15" customHeight="1" x14ac:dyDescent="0.35">
      <c r="A47" s="2978"/>
      <c r="B47" s="105">
        <v>53205990000000</v>
      </c>
      <c r="C47" s="1032" t="s">
        <v>141</v>
      </c>
      <c r="D47" s="104"/>
      <c r="E47" s="102"/>
      <c r="F47" s="107"/>
      <c r="G47" s="1033">
        <f t="shared" si="6"/>
        <v>0</v>
      </c>
      <c r="H47" s="1034">
        <f t="shared" si="5"/>
        <v>0</v>
      </c>
      <c r="I47" s="2049"/>
    </row>
    <row r="48" spans="1:9" ht="15" customHeight="1" x14ac:dyDescent="0.35">
      <c r="A48" s="2978"/>
      <c r="B48" s="1043"/>
      <c r="C48" s="1044" t="s">
        <v>142</v>
      </c>
      <c r="D48" s="1045">
        <f>SUM(D49:D58)</f>
        <v>6308342</v>
      </c>
      <c r="E48" s="1046"/>
      <c r="F48" s="1046"/>
      <c r="G48" s="1049">
        <f>SUM(G49:G58)</f>
        <v>12039328</v>
      </c>
      <c r="H48" s="1026">
        <f>SUM(H49:H58)</f>
        <v>18347670</v>
      </c>
      <c r="I48" s="2049"/>
    </row>
    <row r="49" spans="1:9" ht="15" customHeight="1" x14ac:dyDescent="0.35">
      <c r="A49" s="2978"/>
      <c r="B49" s="105">
        <v>53203010200000</v>
      </c>
      <c r="C49" s="1032" t="s">
        <v>143</v>
      </c>
      <c r="D49" s="939"/>
      <c r="E49" s="108"/>
      <c r="F49" s="107"/>
      <c r="G49" s="1033">
        <f t="shared" si="6"/>
        <v>0</v>
      </c>
      <c r="H49" s="1034">
        <f t="shared" si="5"/>
        <v>0</v>
      </c>
      <c r="I49" s="2049"/>
    </row>
    <row r="50" spans="1:9" ht="15" customHeight="1" x14ac:dyDescent="0.35">
      <c r="A50" s="2978"/>
      <c r="B50" s="105">
        <v>53204010000000</v>
      </c>
      <c r="C50" s="1032" t="s">
        <v>144</v>
      </c>
      <c r="D50" s="939">
        <v>449515.99999999994</v>
      </c>
      <c r="E50" s="108"/>
      <c r="F50" s="107"/>
      <c r="G50" s="1033">
        <f t="shared" si="6"/>
        <v>0</v>
      </c>
      <c r="H50" s="1034">
        <f t="shared" si="5"/>
        <v>449515.99999999994</v>
      </c>
      <c r="I50" s="2049"/>
    </row>
    <row r="51" spans="1:9" ht="15" customHeight="1" x14ac:dyDescent="0.35">
      <c r="A51" s="2978"/>
      <c r="B51" s="105">
        <v>53204040200000</v>
      </c>
      <c r="C51" s="1050" t="s">
        <v>145</v>
      </c>
      <c r="D51" s="939">
        <v>52581</v>
      </c>
      <c r="E51" s="108"/>
      <c r="F51" s="107"/>
      <c r="G51" s="1033">
        <f t="shared" si="6"/>
        <v>0</v>
      </c>
      <c r="H51" s="1034">
        <f t="shared" si="5"/>
        <v>52581</v>
      </c>
      <c r="I51" s="2049"/>
    </row>
    <row r="52" spans="1:9" ht="15" customHeight="1" x14ac:dyDescent="0.35">
      <c r="A52" s="2978"/>
      <c r="B52" s="105">
        <v>53204060000000</v>
      </c>
      <c r="C52" s="1050" t="s">
        <v>146</v>
      </c>
      <c r="D52" s="939"/>
      <c r="E52" s="108"/>
      <c r="F52" s="107"/>
      <c r="G52" s="1033">
        <f t="shared" si="6"/>
        <v>0</v>
      </c>
      <c r="H52" s="1034">
        <f t="shared" si="5"/>
        <v>0</v>
      </c>
      <c r="I52" s="2049"/>
    </row>
    <row r="53" spans="1:9" ht="15" customHeight="1" x14ac:dyDescent="0.35">
      <c r="A53" s="2978"/>
      <c r="B53" s="105">
        <v>53204070000000</v>
      </c>
      <c r="C53" s="1050" t="s">
        <v>147</v>
      </c>
      <c r="D53" s="939">
        <v>2944536</v>
      </c>
      <c r="E53" s="108"/>
      <c r="F53" s="107"/>
      <c r="G53" s="1033">
        <f>E53*F53</f>
        <v>0</v>
      </c>
      <c r="H53" s="1034">
        <f t="shared" si="5"/>
        <v>2944536</v>
      </c>
      <c r="I53" s="2049"/>
    </row>
    <row r="54" spans="1:9" ht="15" customHeight="1" x14ac:dyDescent="0.35">
      <c r="A54" s="2978"/>
      <c r="B54" s="105">
        <v>53204080000000</v>
      </c>
      <c r="C54" s="1050" t="s">
        <v>148</v>
      </c>
      <c r="D54" s="939">
        <v>561000</v>
      </c>
      <c r="E54" s="108"/>
      <c r="F54" s="107"/>
      <c r="G54" s="1033">
        <f t="shared" si="6"/>
        <v>0</v>
      </c>
      <c r="H54" s="1034">
        <f t="shared" si="5"/>
        <v>561000</v>
      </c>
      <c r="I54" s="2049"/>
    </row>
    <row r="55" spans="1:9" ht="15" customHeight="1" x14ac:dyDescent="0.35">
      <c r="A55" s="2978"/>
      <c r="B55" s="105">
        <v>53214010000000</v>
      </c>
      <c r="C55" s="1050" t="s">
        <v>149</v>
      </c>
      <c r="D55" s="940">
        <v>1113480</v>
      </c>
      <c r="E55" s="108"/>
      <c r="F55" s="107"/>
      <c r="G55" s="1033">
        <f t="shared" si="6"/>
        <v>0</v>
      </c>
      <c r="H55" s="1034">
        <f t="shared" si="5"/>
        <v>1113480</v>
      </c>
      <c r="I55" s="2049"/>
    </row>
    <row r="56" spans="1:9" ht="15" customHeight="1" x14ac:dyDescent="0.35">
      <c r="A56" s="2978"/>
      <c r="B56" s="105">
        <v>53214040000000</v>
      </c>
      <c r="C56" s="1032" t="s">
        <v>150</v>
      </c>
      <c r="D56" s="940">
        <v>1187229</v>
      </c>
      <c r="E56" s="108"/>
      <c r="F56" s="107"/>
      <c r="G56" s="1033">
        <f t="shared" si="6"/>
        <v>0</v>
      </c>
      <c r="H56" s="1034">
        <f t="shared" si="5"/>
        <v>1187229</v>
      </c>
      <c r="I56" s="2049" t="s">
        <v>577</v>
      </c>
    </row>
    <row r="57" spans="1:9" ht="15" customHeight="1" x14ac:dyDescent="0.35">
      <c r="A57" s="2978"/>
      <c r="B57" s="105">
        <v>55201010100004</v>
      </c>
      <c r="C57" s="1032" t="s">
        <v>151</v>
      </c>
      <c r="D57" s="940">
        <v>0</v>
      </c>
      <c r="E57" s="1051">
        <f>'I) Costo Desayuno'!E37</f>
        <v>3976</v>
      </c>
      <c r="F57" s="107">
        <v>3028</v>
      </c>
      <c r="G57" s="1033">
        <f t="shared" si="6"/>
        <v>12039328</v>
      </c>
      <c r="H57" s="1034">
        <f t="shared" si="5"/>
        <v>12039328</v>
      </c>
      <c r="I57" s="2049" t="s">
        <v>578</v>
      </c>
    </row>
    <row r="58" spans="1:9" ht="15" customHeight="1" x14ac:dyDescent="0.35">
      <c r="A58" s="2978"/>
      <c r="B58" s="105">
        <v>55201010100005</v>
      </c>
      <c r="C58" s="1032" t="s">
        <v>152</v>
      </c>
      <c r="D58" s="940"/>
      <c r="E58" s="108"/>
      <c r="F58" s="107"/>
      <c r="G58" s="1033">
        <f t="shared" si="6"/>
        <v>0</v>
      </c>
      <c r="H58" s="1034">
        <f t="shared" si="5"/>
        <v>0</v>
      </c>
      <c r="I58" s="2049"/>
    </row>
    <row r="59" spans="1:9" ht="15" customHeight="1" x14ac:dyDescent="0.35">
      <c r="A59" s="2978"/>
      <c r="B59" s="1043"/>
      <c r="C59" s="1044" t="s">
        <v>153</v>
      </c>
      <c r="D59" s="1045">
        <f>SUM(D60:D68)</f>
        <v>3633158</v>
      </c>
      <c r="E59" s="1046"/>
      <c r="F59" s="1046"/>
      <c r="G59" s="1049">
        <f>SUM(G60:G68)</f>
        <v>0</v>
      </c>
      <c r="H59" s="1026">
        <f>SUM(H60:H68)</f>
        <v>3633158</v>
      </c>
      <c r="I59" s="2049"/>
    </row>
    <row r="60" spans="1:9" ht="15" customHeight="1" x14ac:dyDescent="0.35">
      <c r="A60" s="2978"/>
      <c r="B60" s="105">
        <v>53207010000000</v>
      </c>
      <c r="C60" s="1032" t="s">
        <v>154</v>
      </c>
      <c r="D60" s="2045">
        <v>336518</v>
      </c>
      <c r="E60" s="108"/>
      <c r="F60" s="107"/>
      <c r="G60" s="1033">
        <f t="shared" si="6"/>
        <v>0</v>
      </c>
      <c r="H60" s="1034">
        <f t="shared" si="5"/>
        <v>336518</v>
      </c>
      <c r="I60" s="2049"/>
    </row>
    <row r="61" spans="1:9" ht="15" customHeight="1" x14ac:dyDescent="0.35">
      <c r="A61" s="2978"/>
      <c r="B61" s="105">
        <v>53207020000000</v>
      </c>
      <c r="C61" s="1032" t="s">
        <v>155</v>
      </c>
      <c r="D61" s="2045">
        <v>0</v>
      </c>
      <c r="E61" s="108"/>
      <c r="F61" s="107"/>
      <c r="G61" s="1033">
        <f t="shared" si="6"/>
        <v>0</v>
      </c>
      <c r="H61" s="1034">
        <f t="shared" si="5"/>
        <v>0</v>
      </c>
      <c r="I61" s="2049"/>
    </row>
    <row r="62" spans="1:9" ht="15" customHeight="1" x14ac:dyDescent="0.35">
      <c r="A62" s="2978"/>
      <c r="B62" s="105">
        <v>53208020000000</v>
      </c>
      <c r="C62" s="1032" t="s">
        <v>156</v>
      </c>
      <c r="D62" s="2045">
        <v>0</v>
      </c>
      <c r="E62" s="612"/>
      <c r="F62" s="107"/>
      <c r="G62" s="1033">
        <f t="shared" si="6"/>
        <v>0</v>
      </c>
      <c r="H62" s="1034">
        <f t="shared" si="5"/>
        <v>0</v>
      </c>
      <c r="I62" s="2049"/>
    </row>
    <row r="63" spans="1:9" ht="15" customHeight="1" x14ac:dyDescent="0.35">
      <c r="A63" s="2978"/>
      <c r="B63" s="105">
        <v>53208990000000</v>
      </c>
      <c r="C63" s="1032" t="s">
        <v>157</v>
      </c>
      <c r="D63" s="2045">
        <v>3296640</v>
      </c>
      <c r="E63" s="108"/>
      <c r="F63" s="107"/>
      <c r="G63" s="1033">
        <f t="shared" si="6"/>
        <v>0</v>
      </c>
      <c r="H63" s="1034">
        <f t="shared" si="5"/>
        <v>3296640</v>
      </c>
      <c r="I63" s="2049" t="s">
        <v>579</v>
      </c>
    </row>
    <row r="64" spans="1:9" ht="15" customHeight="1" x14ac:dyDescent="0.35">
      <c r="A64" s="2978"/>
      <c r="B64" s="105">
        <v>53209010000000</v>
      </c>
      <c r="C64" s="1032" t="s">
        <v>158</v>
      </c>
      <c r="D64" s="2045"/>
      <c r="E64" s="108"/>
      <c r="F64" s="107"/>
      <c r="G64" s="1033">
        <f t="shared" si="6"/>
        <v>0</v>
      </c>
      <c r="H64" s="1034">
        <f t="shared" si="5"/>
        <v>0</v>
      </c>
      <c r="I64" s="2049"/>
    </row>
    <row r="65" spans="1:9" ht="15" customHeight="1" x14ac:dyDescent="0.35">
      <c r="A65" s="2978"/>
      <c r="B65" s="105">
        <v>53209040000000</v>
      </c>
      <c r="C65" s="1032" t="s">
        <v>159</v>
      </c>
      <c r="D65" s="2045"/>
      <c r="E65" s="108"/>
      <c r="F65" s="107"/>
      <c r="G65" s="1033">
        <f t="shared" si="6"/>
        <v>0</v>
      </c>
      <c r="H65" s="1034">
        <f t="shared" si="5"/>
        <v>0</v>
      </c>
      <c r="I65" s="2049"/>
    </row>
    <row r="66" spans="1:9" ht="15" customHeight="1" x14ac:dyDescent="0.35">
      <c r="A66" s="2978"/>
      <c r="B66" s="105">
        <v>53209050000000</v>
      </c>
      <c r="C66" s="1032" t="s">
        <v>160</v>
      </c>
      <c r="D66" s="2045"/>
      <c r="E66" s="108"/>
      <c r="F66" s="107"/>
      <c r="G66" s="1033">
        <f t="shared" si="6"/>
        <v>0</v>
      </c>
      <c r="H66" s="1034">
        <f t="shared" si="5"/>
        <v>0</v>
      </c>
      <c r="I66" s="2049"/>
    </row>
    <row r="67" spans="1:9" ht="15" customHeight="1" x14ac:dyDescent="0.35">
      <c r="A67" s="2978"/>
      <c r="B67" s="105">
        <v>53209990000000</v>
      </c>
      <c r="C67" s="1032" t="s">
        <v>161</v>
      </c>
      <c r="D67" s="2045"/>
      <c r="E67" s="108"/>
      <c r="F67" s="107"/>
      <c r="G67" s="1033">
        <f t="shared" si="6"/>
        <v>0</v>
      </c>
      <c r="H67" s="1034">
        <f t="shared" si="5"/>
        <v>0</v>
      </c>
      <c r="I67" s="2049"/>
    </row>
    <row r="68" spans="1:9" ht="15" customHeight="1" x14ac:dyDescent="0.35">
      <c r="A68" s="2978"/>
      <c r="B68" s="105">
        <v>53210020100000</v>
      </c>
      <c r="C68" s="1032" t="s">
        <v>162</v>
      </c>
      <c r="D68" s="2045"/>
      <c r="E68" s="108"/>
      <c r="F68" s="107"/>
      <c r="G68" s="1033">
        <f t="shared" si="6"/>
        <v>0</v>
      </c>
      <c r="H68" s="1034">
        <f t="shared" si="5"/>
        <v>0</v>
      </c>
      <c r="I68" s="2050"/>
    </row>
    <row r="69" spans="1:9" ht="15" customHeight="1" x14ac:dyDescent="0.35">
      <c r="A69" s="2978"/>
      <c r="B69" s="1043"/>
      <c r="C69" s="1044" t="s">
        <v>163</v>
      </c>
      <c r="D69" s="1045">
        <f>SUM(D70:D76)</f>
        <v>5555659</v>
      </c>
      <c r="E69" s="1046"/>
      <c r="F69" s="1046"/>
      <c r="G69" s="1049">
        <f>SUM(G70:G76)</f>
        <v>0</v>
      </c>
      <c r="H69" s="1026">
        <f>SUM(H70:H76)</f>
        <v>5555659</v>
      </c>
      <c r="I69" s="2049"/>
    </row>
    <row r="70" spans="1:9" ht="15" customHeight="1" x14ac:dyDescent="0.35">
      <c r="A70" s="2978"/>
      <c r="B70" s="105">
        <v>53206030000000</v>
      </c>
      <c r="C70" s="1032" t="s">
        <v>164</v>
      </c>
      <c r="D70" s="2045">
        <v>630972</v>
      </c>
      <c r="E70" s="108"/>
      <c r="F70" s="107"/>
      <c r="G70" s="1033">
        <f t="shared" si="6"/>
        <v>0</v>
      </c>
      <c r="H70" s="1034">
        <f t="shared" si="5"/>
        <v>630972</v>
      </c>
      <c r="I70" s="2049"/>
    </row>
    <row r="71" spans="1:9" ht="15" customHeight="1" x14ac:dyDescent="0.35">
      <c r="A71" s="2978"/>
      <c r="B71" s="105">
        <v>53206040000000</v>
      </c>
      <c r="C71" s="1032" t="s">
        <v>165</v>
      </c>
      <c r="D71" s="2045"/>
      <c r="E71" s="108"/>
      <c r="F71" s="107"/>
      <c r="G71" s="1033">
        <f t="shared" si="6"/>
        <v>0</v>
      </c>
      <c r="H71" s="1034">
        <f t="shared" si="5"/>
        <v>0</v>
      </c>
      <c r="I71" s="2049"/>
    </row>
    <row r="72" spans="1:9" ht="15" customHeight="1" x14ac:dyDescent="0.35">
      <c r="A72" s="2978"/>
      <c r="B72" s="105">
        <v>53206060000000</v>
      </c>
      <c r="C72" s="1032" t="s">
        <v>166</v>
      </c>
      <c r="D72" s="2045">
        <f>'[2]MARE NOSTRUM'!D41</f>
        <v>1360920</v>
      </c>
      <c r="E72" s="108"/>
      <c r="F72" s="107"/>
      <c r="G72" s="1033">
        <f t="shared" si="6"/>
        <v>0</v>
      </c>
      <c r="H72" s="1034">
        <f t="shared" si="5"/>
        <v>1360920</v>
      </c>
      <c r="I72" s="2049"/>
    </row>
    <row r="73" spans="1:9" ht="15" customHeight="1" x14ac:dyDescent="0.35">
      <c r="A73" s="2978"/>
      <c r="B73" s="105">
        <v>53206070000000</v>
      </c>
      <c r="C73" s="1032" t="s">
        <v>167</v>
      </c>
      <c r="D73" s="2045">
        <v>642600</v>
      </c>
      <c r="E73" s="108"/>
      <c r="F73" s="107"/>
      <c r="G73" s="1033">
        <f t="shared" si="6"/>
        <v>0</v>
      </c>
      <c r="H73" s="1034">
        <f t="shared" si="5"/>
        <v>642600</v>
      </c>
      <c r="I73" s="2049"/>
    </row>
    <row r="74" spans="1:9" ht="15" customHeight="1" x14ac:dyDescent="0.35">
      <c r="A74" s="2978"/>
      <c r="B74" s="105">
        <v>53206990000000</v>
      </c>
      <c r="C74" s="1032" t="s">
        <v>168</v>
      </c>
      <c r="D74" s="2046">
        <f>859167+'[2]MARE NOSTRUM'!D43</f>
        <v>2096367</v>
      </c>
      <c r="E74" s="108"/>
      <c r="F74" s="107"/>
      <c r="G74" s="1033">
        <f t="shared" si="6"/>
        <v>0</v>
      </c>
      <c r="H74" s="1034">
        <f t="shared" si="5"/>
        <v>2096367</v>
      </c>
      <c r="I74" s="2049"/>
    </row>
    <row r="75" spans="1:9" ht="15" customHeight="1" x14ac:dyDescent="0.35">
      <c r="A75" s="2978"/>
      <c r="B75" s="105">
        <v>53208030000000</v>
      </c>
      <c r="C75" s="1032" t="s">
        <v>169</v>
      </c>
      <c r="D75" s="2045"/>
      <c r="E75" s="108"/>
      <c r="F75" s="107"/>
      <c r="G75" s="1033">
        <f t="shared" si="6"/>
        <v>0</v>
      </c>
      <c r="H75" s="1034">
        <f t="shared" si="5"/>
        <v>0</v>
      </c>
      <c r="I75" s="2049"/>
    </row>
    <row r="76" spans="1:9" ht="15" customHeight="1" x14ac:dyDescent="0.35">
      <c r="A76" s="2978"/>
      <c r="B76" s="105">
        <v>53212060000000</v>
      </c>
      <c r="C76" s="1032" t="s">
        <v>170</v>
      </c>
      <c r="D76" s="2047">
        <f>'[2]MARE NOSTRUM'!D45</f>
        <v>824799.99999999988</v>
      </c>
      <c r="E76" s="108"/>
      <c r="F76" s="107"/>
      <c r="G76" s="1033">
        <f t="shared" si="6"/>
        <v>0</v>
      </c>
      <c r="H76" s="1034">
        <f t="shared" si="5"/>
        <v>824799.99999999988</v>
      </c>
      <c r="I76" s="2049"/>
    </row>
    <row r="77" spans="1:9" ht="15" customHeight="1" x14ac:dyDescent="0.35">
      <c r="A77" s="2978"/>
      <c r="B77" s="1043"/>
      <c r="C77" s="1044" t="s">
        <v>171</v>
      </c>
      <c r="D77" s="1045">
        <f>SUM(D78:D79)</f>
        <v>4730777.7</v>
      </c>
      <c r="E77" s="1046"/>
      <c r="F77" s="1046"/>
      <c r="G77" s="1049">
        <f>SUM(G78:G79)</f>
        <v>0</v>
      </c>
      <c r="H77" s="1026">
        <f>SUM(H78:H79)</f>
        <v>4730777.7</v>
      </c>
      <c r="I77" s="2049"/>
    </row>
    <row r="78" spans="1:9" ht="15" customHeight="1" x14ac:dyDescent="0.35">
      <c r="A78" s="2978"/>
      <c r="B78" s="105">
        <v>53210020500000</v>
      </c>
      <c r="C78" s="1032" t="s">
        <v>172</v>
      </c>
      <c r="D78" s="2048">
        <f>2738074*1.05</f>
        <v>2874977.7</v>
      </c>
      <c r="E78" s="108"/>
      <c r="F78" s="107"/>
      <c r="G78" s="1033">
        <f t="shared" si="6"/>
        <v>0</v>
      </c>
      <c r="H78" s="1052">
        <f t="shared" si="5"/>
        <v>2874977.7</v>
      </c>
      <c r="I78" s="2049"/>
    </row>
    <row r="79" spans="1:9" ht="15" customHeight="1" x14ac:dyDescent="0.35">
      <c r="A79" s="2978"/>
      <c r="B79" s="1053">
        <v>53204999000000</v>
      </c>
      <c r="C79" s="1032" t="s">
        <v>173</v>
      </c>
      <c r="D79" s="2045">
        <f>'[2]MARE NOSTRUM'!D47</f>
        <v>1855799.9999999998</v>
      </c>
      <c r="E79" s="108"/>
      <c r="F79" s="107"/>
      <c r="G79" s="1033">
        <f t="shared" si="6"/>
        <v>0</v>
      </c>
      <c r="H79" s="1052">
        <f t="shared" si="5"/>
        <v>1855799.9999999998</v>
      </c>
      <c r="I79" s="2049" t="s">
        <v>580</v>
      </c>
    </row>
    <row r="80" spans="1:9" ht="15" customHeight="1" x14ac:dyDescent="0.35">
      <c r="A80" s="2979"/>
      <c r="B80" s="1054"/>
      <c r="C80" s="1055" t="s">
        <v>12</v>
      </c>
      <c r="D80" s="1056">
        <f>SUM(D11,D39)</f>
        <v>147585293.25399998</v>
      </c>
      <c r="E80" s="1057"/>
      <c r="F80" s="1057"/>
      <c r="G80" s="1056">
        <f>SUM(G11,G39)</f>
        <v>12039328</v>
      </c>
      <c r="H80" s="1058">
        <f>SUM(H11,H39)</f>
        <v>159624621.25400001</v>
      </c>
      <c r="I80" s="847"/>
    </row>
    <row r="81" spans="1:9" ht="15" customHeight="1" x14ac:dyDescent="0.35">
      <c r="A81" s="2966" t="s">
        <v>21</v>
      </c>
      <c r="B81" s="2980" t="s">
        <v>97</v>
      </c>
      <c r="C81" s="2989" t="s">
        <v>98</v>
      </c>
      <c r="D81" s="2990" t="s">
        <v>99</v>
      </c>
      <c r="E81" s="2991" t="s">
        <v>100</v>
      </c>
      <c r="F81" s="2991"/>
      <c r="G81" s="2991"/>
      <c r="H81" s="2992" t="str">
        <f>+H9</f>
        <v>COSTO DIRECTO ESTIMADO 2026</v>
      </c>
      <c r="I81" s="2987" t="s">
        <v>101</v>
      </c>
    </row>
    <row r="82" spans="1:9" ht="38.25" customHeight="1" x14ac:dyDescent="0.35">
      <c r="A82" s="2967"/>
      <c r="B82" s="2981"/>
      <c r="C82" s="2989"/>
      <c r="D82" s="2990"/>
      <c r="E82" s="1059" t="s">
        <v>102</v>
      </c>
      <c r="F82" s="109" t="s">
        <v>103</v>
      </c>
      <c r="G82" s="1060" t="s">
        <v>104</v>
      </c>
      <c r="H82" s="2993"/>
      <c r="I82" s="2994"/>
    </row>
    <row r="83" spans="1:9" ht="15" customHeight="1" x14ac:dyDescent="0.35">
      <c r="A83" s="2977" t="str">
        <f>+'B) Reajuste Tarifas y Ocupación'!A22</f>
        <v>Cabañas Punta Osas</v>
      </c>
      <c r="B83" s="1061"/>
      <c r="C83" s="1062" t="s">
        <v>105</v>
      </c>
      <c r="D83" s="1063">
        <f>SUM(D84,D89,D91)</f>
        <v>138788986.34</v>
      </c>
      <c r="E83" s="1064"/>
      <c r="F83" s="1064"/>
      <c r="G83" s="1063">
        <f>SUM(G84,G89,G91)</f>
        <v>0</v>
      </c>
      <c r="H83" s="1065">
        <f>SUM(H84,H89,H91)</f>
        <v>138788986.34</v>
      </c>
      <c r="I83" s="2049"/>
    </row>
    <row r="84" spans="1:9" ht="15" customHeight="1" x14ac:dyDescent="0.35">
      <c r="A84" s="2978"/>
      <c r="B84" s="1043"/>
      <c r="C84" s="1066" t="s">
        <v>106</v>
      </c>
      <c r="D84" s="1067">
        <f>SUM(D85:D88)</f>
        <v>86385596.340000004</v>
      </c>
      <c r="E84" s="1068"/>
      <c r="F84" s="1068"/>
      <c r="G84" s="1069">
        <f>SUM(G85:G88)</f>
        <v>0</v>
      </c>
      <c r="H84" s="1070">
        <f>SUM(H85:H88)</f>
        <v>86385596.340000004</v>
      </c>
      <c r="I84" s="2049"/>
    </row>
    <row r="85" spans="1:9" ht="15" customHeight="1" x14ac:dyDescent="0.35">
      <c r="A85" s="2978"/>
      <c r="B85" s="105">
        <v>53103040100000</v>
      </c>
      <c r="C85" s="1071" t="s">
        <v>107</v>
      </c>
      <c r="D85" s="1072">
        <f>+'F) Remuneraciones'!M36</f>
        <v>86385596.340000004</v>
      </c>
      <c r="E85" s="1073"/>
      <c r="F85" s="1073"/>
      <c r="G85" s="1073"/>
      <c r="H85" s="1074">
        <f>D85+G85</f>
        <v>86385596.340000004</v>
      </c>
      <c r="I85" s="2049"/>
    </row>
    <row r="86" spans="1:9" ht="15" customHeight="1" x14ac:dyDescent="0.35">
      <c r="A86" s="2978"/>
      <c r="B86" s="105">
        <v>53103050000000</v>
      </c>
      <c r="C86" s="1071" t="s">
        <v>108</v>
      </c>
      <c r="D86" s="941"/>
      <c r="E86" s="111"/>
      <c r="F86" s="112"/>
      <c r="G86" s="1075">
        <f>E86*F86</f>
        <v>0</v>
      </c>
      <c r="H86" s="1076">
        <f t="shared" ref="H86:H88" si="7">D86+G86</f>
        <v>0</v>
      </c>
      <c r="I86" s="2049"/>
    </row>
    <row r="87" spans="1:9" ht="15" customHeight="1" x14ac:dyDescent="0.35">
      <c r="A87" s="2978"/>
      <c r="B87" s="105">
        <v>53103060000000</v>
      </c>
      <c r="C87" s="1071" t="s">
        <v>109</v>
      </c>
      <c r="D87" s="941"/>
      <c r="E87" s="111"/>
      <c r="F87" s="112"/>
      <c r="G87" s="1075">
        <f t="shared" ref="G87:G88" si="8">E87*F87</f>
        <v>0</v>
      </c>
      <c r="H87" s="1077">
        <f t="shared" si="7"/>
        <v>0</v>
      </c>
      <c r="I87" s="2049"/>
    </row>
    <row r="88" spans="1:9" ht="15" customHeight="1" x14ac:dyDescent="0.35">
      <c r="A88" s="2978"/>
      <c r="B88" s="105">
        <v>53103080010000</v>
      </c>
      <c r="C88" s="1071" t="s">
        <v>110</v>
      </c>
      <c r="D88" s="941"/>
      <c r="E88" s="111"/>
      <c r="F88" s="112"/>
      <c r="G88" s="1075">
        <f t="shared" si="8"/>
        <v>0</v>
      </c>
      <c r="H88" s="1077">
        <f t="shared" si="7"/>
        <v>0</v>
      </c>
      <c r="I88" s="2049"/>
    </row>
    <row r="89" spans="1:9" ht="15" customHeight="1" x14ac:dyDescent="0.35">
      <c r="A89" s="2978"/>
      <c r="B89" s="1043"/>
      <c r="C89" s="1066" t="s">
        <v>111</v>
      </c>
      <c r="D89" s="1067">
        <f>SUM(D90)</f>
        <v>0</v>
      </c>
      <c r="E89" s="1078"/>
      <c r="F89" s="1078"/>
      <c r="G89" s="1079">
        <f>SUM(G90:G90)</f>
        <v>0</v>
      </c>
      <c r="H89" s="1026">
        <f>SUM(H90:H90)</f>
        <v>0</v>
      </c>
      <c r="I89" s="2049"/>
    </row>
    <row r="90" spans="1:9" ht="15" customHeight="1" x14ac:dyDescent="0.35">
      <c r="A90" s="2978"/>
      <c r="B90" s="105">
        <v>55201010100001</v>
      </c>
      <c r="C90" s="1071" t="s">
        <v>112</v>
      </c>
      <c r="D90" s="941"/>
      <c r="E90" s="111"/>
      <c r="F90" s="112"/>
      <c r="G90" s="1075">
        <f t="shared" ref="G90" si="9">E90*F90</f>
        <v>0</v>
      </c>
      <c r="H90" s="1077">
        <f>D90+G90</f>
        <v>0</v>
      </c>
      <c r="I90" s="2049"/>
    </row>
    <row r="91" spans="1:9" ht="15" customHeight="1" x14ac:dyDescent="0.35">
      <c r="A91" s="2978"/>
      <c r="B91" s="1043"/>
      <c r="C91" s="1066" t="s">
        <v>113</v>
      </c>
      <c r="D91" s="1067">
        <f>SUM(D92:D110)</f>
        <v>52403390</v>
      </c>
      <c r="E91" s="1078"/>
      <c r="F91" s="1078"/>
      <c r="G91" s="1069">
        <f>SUM(G92:G110)</f>
        <v>0</v>
      </c>
      <c r="H91" s="1026">
        <f>SUM(H92:H110)</f>
        <v>52403390</v>
      </c>
      <c r="I91" s="2049"/>
    </row>
    <row r="92" spans="1:9" ht="15" customHeight="1" x14ac:dyDescent="0.35">
      <c r="A92" s="2978"/>
      <c r="B92" s="105">
        <v>53201010100000</v>
      </c>
      <c r="C92" s="1071" t="s">
        <v>114</v>
      </c>
      <c r="D92" s="2490"/>
      <c r="E92" s="111"/>
      <c r="F92" s="112"/>
      <c r="G92" s="1075">
        <f t="shared" ref="G92:G110" si="10">E92*F92</f>
        <v>0</v>
      </c>
      <c r="H92" s="1077">
        <f t="shared" ref="H92:H110" si="11">D92+G92</f>
        <v>0</v>
      </c>
      <c r="I92" s="2049"/>
    </row>
    <row r="93" spans="1:9" ht="15" customHeight="1" x14ac:dyDescent="0.35">
      <c r="A93" s="2978"/>
      <c r="B93" s="105">
        <v>53202010100000</v>
      </c>
      <c r="C93" s="1071" t="s">
        <v>115</v>
      </c>
      <c r="D93" s="2490">
        <v>1729350</v>
      </c>
      <c r="E93" s="111"/>
      <c r="F93" s="112"/>
      <c r="G93" s="1075">
        <f t="shared" si="10"/>
        <v>0</v>
      </c>
      <c r="H93" s="1077">
        <f t="shared" si="11"/>
        <v>1729350</v>
      </c>
      <c r="I93" s="2049"/>
    </row>
    <row r="94" spans="1:9" ht="15" customHeight="1" x14ac:dyDescent="0.35">
      <c r="A94" s="2978"/>
      <c r="B94" s="105">
        <v>53203010100000</v>
      </c>
      <c r="C94" s="1071" t="s">
        <v>116</v>
      </c>
      <c r="D94" s="2490">
        <v>73500</v>
      </c>
      <c r="E94" s="111"/>
      <c r="F94" s="112"/>
      <c r="G94" s="1075">
        <f>E94*F94</f>
        <v>0</v>
      </c>
      <c r="H94" s="1077">
        <f t="shared" si="11"/>
        <v>73500</v>
      </c>
      <c r="I94" s="2049"/>
    </row>
    <row r="95" spans="1:9" ht="15" customHeight="1" x14ac:dyDescent="0.35">
      <c r="A95" s="2978"/>
      <c r="B95" s="105">
        <v>53203030000000</v>
      </c>
      <c r="C95" s="1071" t="s">
        <v>117</v>
      </c>
      <c r="D95" s="2490"/>
      <c r="E95" s="111"/>
      <c r="F95" s="112"/>
      <c r="G95" s="1075">
        <f t="shared" si="10"/>
        <v>0</v>
      </c>
      <c r="H95" s="1077">
        <f t="shared" si="11"/>
        <v>0</v>
      </c>
      <c r="I95" s="2049"/>
    </row>
    <row r="96" spans="1:9" ht="15" customHeight="1" x14ac:dyDescent="0.35">
      <c r="A96" s="2978"/>
      <c r="B96" s="105">
        <v>53204030000000</v>
      </c>
      <c r="C96" s="1071" t="s">
        <v>118</v>
      </c>
      <c r="D96" s="2490"/>
      <c r="E96" s="111"/>
      <c r="F96" s="112"/>
      <c r="G96" s="1075">
        <f t="shared" si="10"/>
        <v>0</v>
      </c>
      <c r="H96" s="1077">
        <f t="shared" si="11"/>
        <v>0</v>
      </c>
      <c r="I96" s="2049"/>
    </row>
    <row r="97" spans="1:9" ht="15" customHeight="1" x14ac:dyDescent="0.35">
      <c r="A97" s="2978"/>
      <c r="B97" s="105">
        <v>53204100100001</v>
      </c>
      <c r="C97" s="1071" t="s">
        <v>119</v>
      </c>
      <c r="D97" s="2490">
        <v>4289250</v>
      </c>
      <c r="E97" s="111"/>
      <c r="F97" s="112"/>
      <c r="G97" s="1075">
        <f t="shared" si="10"/>
        <v>0</v>
      </c>
      <c r="H97" s="1077">
        <f t="shared" si="11"/>
        <v>4289250</v>
      </c>
      <c r="I97" s="2049"/>
    </row>
    <row r="98" spans="1:9" ht="15" customHeight="1" x14ac:dyDescent="0.35">
      <c r="A98" s="2978"/>
      <c r="B98" s="105">
        <v>53204130100000</v>
      </c>
      <c r="C98" s="1071" t="s">
        <v>120</v>
      </c>
      <c r="D98" s="2490">
        <v>3378900</v>
      </c>
      <c r="E98" s="111"/>
      <c r="F98" s="112"/>
      <c r="G98" s="1075">
        <f t="shared" si="10"/>
        <v>0</v>
      </c>
      <c r="H98" s="1077">
        <f t="shared" si="11"/>
        <v>3378900</v>
      </c>
      <c r="I98" s="2049"/>
    </row>
    <row r="99" spans="1:9" x14ac:dyDescent="0.35">
      <c r="A99" s="2978"/>
      <c r="B99" s="105">
        <v>53205010100000</v>
      </c>
      <c r="C99" s="1071" t="s">
        <v>121</v>
      </c>
      <c r="D99" s="2490">
        <v>10292800</v>
      </c>
      <c r="E99" s="111"/>
      <c r="F99" s="112"/>
      <c r="G99" s="1075">
        <f t="shared" si="10"/>
        <v>0</v>
      </c>
      <c r="H99" s="1077">
        <f t="shared" si="11"/>
        <v>10292800</v>
      </c>
      <c r="I99" s="2049"/>
    </row>
    <row r="100" spans="1:9" ht="15" customHeight="1" x14ac:dyDescent="0.35">
      <c r="A100" s="2978"/>
      <c r="B100" s="105">
        <v>53205020100000</v>
      </c>
      <c r="C100" s="1071" t="s">
        <v>122</v>
      </c>
      <c r="D100" s="2490">
        <v>7450350</v>
      </c>
      <c r="E100" s="111"/>
      <c r="F100" s="112"/>
      <c r="G100" s="1075">
        <f t="shared" si="10"/>
        <v>0</v>
      </c>
      <c r="H100" s="1077">
        <f t="shared" si="11"/>
        <v>7450350</v>
      </c>
      <c r="I100" s="2049"/>
    </row>
    <row r="101" spans="1:9" ht="15" customHeight="1" x14ac:dyDescent="0.35">
      <c r="A101" s="2978"/>
      <c r="B101" s="105">
        <v>53205030100000</v>
      </c>
      <c r="C101" s="1071" t="s">
        <v>123</v>
      </c>
      <c r="D101" s="2490">
        <v>2128493</v>
      </c>
      <c r="E101" s="111"/>
      <c r="F101" s="112"/>
      <c r="G101" s="1075">
        <f t="shared" si="10"/>
        <v>0</v>
      </c>
      <c r="H101" s="1077">
        <f t="shared" si="11"/>
        <v>2128493</v>
      </c>
      <c r="I101" s="2049"/>
    </row>
    <row r="102" spans="1:9" ht="15" customHeight="1" x14ac:dyDescent="0.35">
      <c r="A102" s="2978"/>
      <c r="B102" s="105">
        <v>53205050100000</v>
      </c>
      <c r="C102" s="1071" t="s">
        <v>124</v>
      </c>
      <c r="D102" s="2490"/>
      <c r="E102" s="111"/>
      <c r="F102" s="112"/>
      <c r="G102" s="1075">
        <f t="shared" si="10"/>
        <v>0</v>
      </c>
      <c r="H102" s="1077">
        <f t="shared" si="11"/>
        <v>0</v>
      </c>
      <c r="I102" s="2049"/>
    </row>
    <row r="103" spans="1:9" ht="15" customHeight="1" x14ac:dyDescent="0.35">
      <c r="A103" s="2978"/>
      <c r="B103" s="105">
        <v>53205060100000</v>
      </c>
      <c r="C103" s="1071" t="s">
        <v>125</v>
      </c>
      <c r="D103" s="2490">
        <v>277200</v>
      </c>
      <c r="E103" s="111"/>
      <c r="F103" s="112"/>
      <c r="G103" s="1075">
        <f t="shared" si="10"/>
        <v>0</v>
      </c>
      <c r="H103" s="1077">
        <f t="shared" si="11"/>
        <v>277200</v>
      </c>
      <c r="I103" s="2049"/>
    </row>
    <row r="104" spans="1:9" ht="15" customHeight="1" x14ac:dyDescent="0.35">
      <c r="A104" s="2978"/>
      <c r="B104" s="105">
        <v>53205070100000</v>
      </c>
      <c r="C104" s="1071" t="s">
        <v>126</v>
      </c>
      <c r="D104" s="2490">
        <v>4265455</v>
      </c>
      <c r="E104" s="111"/>
      <c r="F104" s="112"/>
      <c r="G104" s="1075">
        <f t="shared" si="10"/>
        <v>0</v>
      </c>
      <c r="H104" s="1077">
        <f t="shared" si="11"/>
        <v>4265455</v>
      </c>
      <c r="I104" s="2049" t="s">
        <v>575</v>
      </c>
    </row>
    <row r="105" spans="1:9" ht="15" customHeight="1" x14ac:dyDescent="0.35">
      <c r="A105" s="2978"/>
      <c r="B105" s="105">
        <v>53208010100000</v>
      </c>
      <c r="C105" s="1071" t="s">
        <v>127</v>
      </c>
      <c r="D105" s="2490">
        <v>12390000</v>
      </c>
      <c r="E105" s="111"/>
      <c r="F105" s="112"/>
      <c r="G105" s="1075">
        <f t="shared" si="10"/>
        <v>0</v>
      </c>
      <c r="H105" s="1077">
        <f t="shared" si="11"/>
        <v>12390000</v>
      </c>
      <c r="I105" s="2049"/>
    </row>
    <row r="106" spans="1:9" ht="15" customHeight="1" x14ac:dyDescent="0.35">
      <c r="A106" s="2978"/>
      <c r="B106" s="105">
        <v>53208070100001</v>
      </c>
      <c r="C106" s="1071" t="s">
        <v>128</v>
      </c>
      <c r="D106" s="2490"/>
      <c r="E106" s="111"/>
      <c r="F106" s="112"/>
      <c r="G106" s="1075">
        <f t="shared" si="10"/>
        <v>0</v>
      </c>
      <c r="H106" s="1077">
        <f t="shared" si="11"/>
        <v>0</v>
      </c>
      <c r="I106" s="2049"/>
    </row>
    <row r="107" spans="1:9" ht="15" customHeight="1" x14ac:dyDescent="0.35">
      <c r="A107" s="2978"/>
      <c r="B107" s="105">
        <v>53208100100001</v>
      </c>
      <c r="C107" s="1071" t="s">
        <v>129</v>
      </c>
      <c r="D107" s="2490"/>
      <c r="E107" s="111"/>
      <c r="F107" s="112"/>
      <c r="G107" s="1075">
        <f t="shared" si="10"/>
        <v>0</v>
      </c>
      <c r="H107" s="1077">
        <f t="shared" si="11"/>
        <v>0</v>
      </c>
      <c r="I107" s="2049"/>
    </row>
    <row r="108" spans="1:9" ht="15" customHeight="1" x14ac:dyDescent="0.35">
      <c r="A108" s="2978"/>
      <c r="B108" s="105">
        <v>53211030000000</v>
      </c>
      <c r="C108" s="1071" t="s">
        <v>130</v>
      </c>
      <c r="D108" s="2490"/>
      <c r="E108" s="111"/>
      <c r="F108" s="112"/>
      <c r="G108" s="1075">
        <f t="shared" si="10"/>
        <v>0</v>
      </c>
      <c r="H108" s="1077">
        <f t="shared" si="11"/>
        <v>0</v>
      </c>
      <c r="I108" s="2049"/>
    </row>
    <row r="109" spans="1:9" ht="15" customHeight="1" x14ac:dyDescent="0.35">
      <c r="A109" s="2978"/>
      <c r="B109" s="105">
        <v>53212020100000</v>
      </c>
      <c r="C109" s="1071" t="s">
        <v>131</v>
      </c>
      <c r="D109" s="2490">
        <v>3460965</v>
      </c>
      <c r="E109" s="111"/>
      <c r="F109" s="112"/>
      <c r="G109" s="1075">
        <f t="shared" si="10"/>
        <v>0</v>
      </c>
      <c r="H109" s="1077">
        <f t="shared" si="11"/>
        <v>3460965</v>
      </c>
      <c r="I109" s="2049"/>
    </row>
    <row r="110" spans="1:9" ht="15" customHeight="1" x14ac:dyDescent="0.35">
      <c r="A110" s="2978"/>
      <c r="B110" s="105">
        <v>53214020000000</v>
      </c>
      <c r="C110" s="1071" t="s">
        <v>132</v>
      </c>
      <c r="D110" s="2490">
        <v>2667127</v>
      </c>
      <c r="E110" s="111"/>
      <c r="F110" s="112"/>
      <c r="G110" s="1075">
        <f t="shared" si="10"/>
        <v>0</v>
      </c>
      <c r="H110" s="1077">
        <f t="shared" si="11"/>
        <v>2667127</v>
      </c>
      <c r="I110" s="2049"/>
    </row>
    <row r="111" spans="1:9" ht="15" customHeight="1" x14ac:dyDescent="0.35">
      <c r="A111" s="2978"/>
      <c r="B111" s="1061"/>
      <c r="C111" s="1062" t="s">
        <v>133</v>
      </c>
      <c r="D111" s="1080">
        <f>SUM(D112,D117,D120,D131,D141,D149)</f>
        <v>17182095</v>
      </c>
      <c r="E111" s="1064"/>
      <c r="F111" s="1064"/>
      <c r="G111" s="1081">
        <f>SUM(G112,G117,G120,G131,G141,G149)</f>
        <v>0</v>
      </c>
      <c r="H111" s="1042">
        <f>SUM(H112,H117,H120,H131,H141,H149)</f>
        <v>17182095</v>
      </c>
      <c r="I111" s="2049"/>
    </row>
    <row r="112" spans="1:9" ht="15" customHeight="1" x14ac:dyDescent="0.35">
      <c r="A112" s="2978"/>
      <c r="B112" s="1043"/>
      <c r="C112" s="1066" t="s">
        <v>134</v>
      </c>
      <c r="D112" s="1067">
        <f>SUM(D113:D116)</f>
        <v>1059450</v>
      </c>
      <c r="E112" s="1078"/>
      <c r="F112" s="1078"/>
      <c r="G112" s="1079">
        <f>SUM(G113:G116)</f>
        <v>0</v>
      </c>
      <c r="H112" s="1082">
        <f>SUM(H113:H116)</f>
        <v>1059450</v>
      </c>
      <c r="I112" s="2049"/>
    </row>
    <row r="113" spans="1:9" ht="15" customHeight="1" x14ac:dyDescent="0.35">
      <c r="A113" s="2978"/>
      <c r="B113" s="105">
        <v>53202020100000</v>
      </c>
      <c r="C113" s="1071" t="s">
        <v>135</v>
      </c>
      <c r="D113" s="942">
        <v>436800</v>
      </c>
      <c r="E113" s="111"/>
      <c r="F113" s="112"/>
      <c r="G113" s="1075">
        <f>E113*F113</f>
        <v>0</v>
      </c>
      <c r="H113" s="1077">
        <f t="shared" ref="H113:H116" si="12">D113+G113</f>
        <v>436800</v>
      </c>
      <c r="I113" s="2049"/>
    </row>
    <row r="114" spans="1:9" ht="15" customHeight="1" x14ac:dyDescent="0.35">
      <c r="A114" s="2978"/>
      <c r="B114" s="105">
        <v>53202030000000</v>
      </c>
      <c r="C114" s="1071" t="s">
        <v>136</v>
      </c>
      <c r="D114" s="942">
        <v>150150</v>
      </c>
      <c r="E114" s="111"/>
      <c r="F114" s="112"/>
      <c r="G114" s="1075">
        <f t="shared" ref="G114:G116" si="13">E114*F114</f>
        <v>0</v>
      </c>
      <c r="H114" s="1077">
        <f t="shared" si="12"/>
        <v>150150</v>
      </c>
      <c r="I114" s="2049"/>
    </row>
    <row r="115" spans="1:9" ht="15" customHeight="1" x14ac:dyDescent="0.35">
      <c r="A115" s="2978"/>
      <c r="B115" s="105">
        <v>53211020000000</v>
      </c>
      <c r="C115" s="1071" t="s">
        <v>137</v>
      </c>
      <c r="D115" s="942">
        <v>472500</v>
      </c>
      <c r="E115" s="111"/>
      <c r="F115" s="112"/>
      <c r="G115" s="1075">
        <f t="shared" si="13"/>
        <v>0</v>
      </c>
      <c r="H115" s="1077">
        <f t="shared" si="12"/>
        <v>472500</v>
      </c>
      <c r="I115" s="2049"/>
    </row>
    <row r="116" spans="1:9" ht="15" customHeight="1" x14ac:dyDescent="0.35">
      <c r="A116" s="2978"/>
      <c r="B116" s="105">
        <v>53101004030000</v>
      </c>
      <c r="C116" s="1071" t="s">
        <v>138</v>
      </c>
      <c r="D116" s="941"/>
      <c r="E116" s="111"/>
      <c r="F116" s="112"/>
      <c r="G116" s="1075">
        <f t="shared" si="13"/>
        <v>0</v>
      </c>
      <c r="H116" s="1077">
        <f t="shared" si="12"/>
        <v>0</v>
      </c>
      <c r="I116" s="2049"/>
    </row>
    <row r="117" spans="1:9" ht="15" customHeight="1" x14ac:dyDescent="0.35">
      <c r="A117" s="2978"/>
      <c r="B117" s="1043"/>
      <c r="C117" s="1066" t="s">
        <v>139</v>
      </c>
      <c r="D117" s="1067">
        <f>SUM(D118:D119)</f>
        <v>3213000</v>
      </c>
      <c r="E117" s="1078"/>
      <c r="F117" s="1078"/>
      <c r="G117" s="1079">
        <f>SUM(G118:G119)</f>
        <v>0</v>
      </c>
      <c r="H117" s="1082">
        <f>SUM(H118:H119)</f>
        <v>3213000</v>
      </c>
      <c r="I117" s="2049"/>
    </row>
    <row r="118" spans="1:9" ht="15" customHeight="1" x14ac:dyDescent="0.35">
      <c r="A118" s="2978"/>
      <c r="B118" s="105">
        <v>53205080000000</v>
      </c>
      <c r="C118" s="1071" t="s">
        <v>140</v>
      </c>
      <c r="D118" s="941">
        <v>3213000</v>
      </c>
      <c r="E118" s="111"/>
      <c r="F118" s="112"/>
      <c r="G118" s="1075">
        <f>E118*F118</f>
        <v>0</v>
      </c>
      <c r="H118" s="1077">
        <f>D118+G118</f>
        <v>3213000</v>
      </c>
      <c r="I118" s="2049" t="s">
        <v>1107</v>
      </c>
    </row>
    <row r="119" spans="1:9" ht="15" customHeight="1" x14ac:dyDescent="0.35">
      <c r="A119" s="2978"/>
      <c r="B119" s="105">
        <v>53205990000000</v>
      </c>
      <c r="C119" s="1071" t="s">
        <v>141</v>
      </c>
      <c r="D119" s="941"/>
      <c r="E119" s="111"/>
      <c r="F119" s="112"/>
      <c r="G119" s="1075">
        <f t="shared" ref="G119" si="14">E119*F119</f>
        <v>0</v>
      </c>
      <c r="H119" s="1077">
        <f t="shared" ref="H119" si="15">D119+G119</f>
        <v>0</v>
      </c>
      <c r="I119" s="2049"/>
    </row>
    <row r="120" spans="1:9" ht="15" customHeight="1" x14ac:dyDescent="0.35">
      <c r="A120" s="2978"/>
      <c r="B120" s="1043"/>
      <c r="C120" s="1066" t="s">
        <v>142</v>
      </c>
      <c r="D120" s="1067">
        <f>SUM(D121:D130)</f>
        <v>5693100</v>
      </c>
      <c r="E120" s="1078"/>
      <c r="F120" s="1078"/>
      <c r="G120" s="1069">
        <f>SUM(G121:G130)</f>
        <v>0</v>
      </c>
      <c r="H120" s="1026">
        <f>SUM(H121:H130)</f>
        <v>5693100</v>
      </c>
      <c r="I120" s="2049"/>
    </row>
    <row r="121" spans="1:9" ht="15" customHeight="1" x14ac:dyDescent="0.35">
      <c r="A121" s="2978"/>
      <c r="B121" s="105">
        <v>53203010200000</v>
      </c>
      <c r="C121" s="1071" t="s">
        <v>143</v>
      </c>
      <c r="D121" s="941"/>
      <c r="E121" s="111"/>
      <c r="F121" s="112"/>
      <c r="G121" s="1075">
        <f t="shared" ref="G121:G130" si="16">E121*F121</f>
        <v>0</v>
      </c>
      <c r="H121" s="1077">
        <f t="shared" ref="H121:H130" si="17">D121+G121</f>
        <v>0</v>
      </c>
      <c r="I121" s="2049"/>
    </row>
    <row r="122" spans="1:9" ht="15" customHeight="1" x14ac:dyDescent="0.35">
      <c r="A122" s="2978"/>
      <c r="B122" s="105">
        <v>53204010000000</v>
      </c>
      <c r="C122" s="1071" t="s">
        <v>144</v>
      </c>
      <c r="D122" s="939">
        <v>367500</v>
      </c>
      <c r="E122" s="111"/>
      <c r="F122" s="112"/>
      <c r="G122" s="1075">
        <f t="shared" si="16"/>
        <v>0</v>
      </c>
      <c r="H122" s="1077">
        <f t="shared" si="17"/>
        <v>367500</v>
      </c>
      <c r="I122" s="2049"/>
    </row>
    <row r="123" spans="1:9" ht="15" customHeight="1" x14ac:dyDescent="0.35">
      <c r="A123" s="2978"/>
      <c r="B123" s="105">
        <v>53204040200000</v>
      </c>
      <c r="C123" s="1083" t="s">
        <v>145</v>
      </c>
      <c r="D123" s="941"/>
      <c r="E123" s="111"/>
      <c r="F123" s="112"/>
      <c r="G123" s="1075">
        <f t="shared" si="16"/>
        <v>0</v>
      </c>
      <c r="H123" s="1077">
        <f t="shared" si="17"/>
        <v>0</v>
      </c>
      <c r="I123" s="2049"/>
    </row>
    <row r="124" spans="1:9" ht="15" customHeight="1" x14ac:dyDescent="0.35">
      <c r="A124" s="2978"/>
      <c r="B124" s="105">
        <v>53204060000000</v>
      </c>
      <c r="C124" s="1083" t="s">
        <v>146</v>
      </c>
      <c r="D124" s="941">
        <v>420000</v>
      </c>
      <c r="E124" s="111"/>
      <c r="F124" s="112"/>
      <c r="G124" s="1075">
        <f t="shared" si="16"/>
        <v>0</v>
      </c>
      <c r="H124" s="1077">
        <f t="shared" si="17"/>
        <v>420000</v>
      </c>
      <c r="I124" s="2049"/>
    </row>
    <row r="125" spans="1:9" ht="15" customHeight="1" x14ac:dyDescent="0.35">
      <c r="A125" s="2978"/>
      <c r="B125" s="105">
        <v>53204070000000</v>
      </c>
      <c r="C125" s="1083" t="s">
        <v>147</v>
      </c>
      <c r="D125" s="941">
        <v>1260000</v>
      </c>
      <c r="E125" s="111"/>
      <c r="F125" s="112"/>
      <c r="G125" s="1075">
        <f t="shared" si="16"/>
        <v>0</v>
      </c>
      <c r="H125" s="1077">
        <f t="shared" si="17"/>
        <v>1260000</v>
      </c>
      <c r="I125" s="2049"/>
    </row>
    <row r="126" spans="1:9" ht="15" customHeight="1" x14ac:dyDescent="0.35">
      <c r="A126" s="2978"/>
      <c r="B126" s="105">
        <v>53204080000000</v>
      </c>
      <c r="C126" s="1083" t="s">
        <v>148</v>
      </c>
      <c r="D126" s="941">
        <v>485100</v>
      </c>
      <c r="E126" s="111"/>
      <c r="F126" s="112"/>
      <c r="G126" s="1075">
        <f t="shared" si="16"/>
        <v>0</v>
      </c>
      <c r="H126" s="1077">
        <f t="shared" si="17"/>
        <v>485100</v>
      </c>
      <c r="I126" s="2049"/>
    </row>
    <row r="127" spans="1:9" ht="15" customHeight="1" x14ac:dyDescent="0.35">
      <c r="A127" s="2978"/>
      <c r="B127" s="105">
        <v>53214010000000</v>
      </c>
      <c r="C127" s="1083" t="s">
        <v>149</v>
      </c>
      <c r="D127" s="939">
        <v>3160500</v>
      </c>
      <c r="E127" s="111"/>
      <c r="F127" s="112"/>
      <c r="G127" s="1075">
        <f t="shared" si="16"/>
        <v>0</v>
      </c>
      <c r="H127" s="1077">
        <f t="shared" si="17"/>
        <v>3160500</v>
      </c>
      <c r="I127" s="2049"/>
    </row>
    <row r="128" spans="1:9" ht="15" customHeight="1" x14ac:dyDescent="0.35">
      <c r="A128" s="2978"/>
      <c r="B128" s="105">
        <v>53214040000000</v>
      </c>
      <c r="C128" s="1071" t="s">
        <v>150</v>
      </c>
      <c r="D128" s="943"/>
      <c r="E128" s="110"/>
      <c r="F128" s="112"/>
      <c r="G128" s="1075">
        <f t="shared" si="16"/>
        <v>0</v>
      </c>
      <c r="H128" s="1077">
        <f t="shared" si="17"/>
        <v>0</v>
      </c>
      <c r="I128" s="2049"/>
    </row>
    <row r="129" spans="1:9" ht="15" customHeight="1" x14ac:dyDescent="0.35">
      <c r="A129" s="2978"/>
      <c r="B129" s="105">
        <v>55201010100004</v>
      </c>
      <c r="C129" s="1071" t="s">
        <v>151</v>
      </c>
      <c r="D129" s="943"/>
      <c r="E129" s="110"/>
      <c r="F129" s="112"/>
      <c r="G129" s="1075">
        <f t="shared" si="16"/>
        <v>0</v>
      </c>
      <c r="H129" s="1077">
        <f t="shared" si="17"/>
        <v>0</v>
      </c>
      <c r="I129" s="2049"/>
    </row>
    <row r="130" spans="1:9" ht="15" customHeight="1" x14ac:dyDescent="0.35">
      <c r="A130" s="2978"/>
      <c r="B130" s="105">
        <v>55201010100005</v>
      </c>
      <c r="C130" s="1071" t="s">
        <v>152</v>
      </c>
      <c r="D130" s="943"/>
      <c r="E130" s="110"/>
      <c r="F130" s="112"/>
      <c r="G130" s="1075">
        <f t="shared" si="16"/>
        <v>0</v>
      </c>
      <c r="H130" s="1077">
        <f t="shared" si="17"/>
        <v>0</v>
      </c>
      <c r="I130" s="2049"/>
    </row>
    <row r="131" spans="1:9" ht="15" customHeight="1" x14ac:dyDescent="0.35">
      <c r="A131" s="2978"/>
      <c r="B131" s="1043"/>
      <c r="C131" s="1066" t="s">
        <v>153</v>
      </c>
      <c r="D131" s="1067">
        <f>SUM(D132:D140)</f>
        <v>263537</v>
      </c>
      <c r="E131" s="1078"/>
      <c r="F131" s="1078"/>
      <c r="G131" s="1069">
        <f>SUM(G132:G140)</f>
        <v>0</v>
      </c>
      <c r="H131" s="1026">
        <f>SUM(H132:H140)</f>
        <v>263537</v>
      </c>
      <c r="I131" s="2049"/>
    </row>
    <row r="132" spans="1:9" ht="15" customHeight="1" x14ac:dyDescent="0.35">
      <c r="A132" s="2978"/>
      <c r="B132" s="105">
        <v>53207010000000</v>
      </c>
      <c r="C132" s="1071" t="s">
        <v>154</v>
      </c>
      <c r="D132" s="941"/>
      <c r="E132" s="111"/>
      <c r="F132" s="112"/>
      <c r="G132" s="1075">
        <f t="shared" ref="G132:G140" si="18">E132*F132</f>
        <v>0</v>
      </c>
      <c r="H132" s="1077">
        <f t="shared" ref="H132:H140" si="19">D132+G132</f>
        <v>0</v>
      </c>
      <c r="I132" s="2049"/>
    </row>
    <row r="133" spans="1:9" ht="15" customHeight="1" x14ac:dyDescent="0.35">
      <c r="A133" s="2978"/>
      <c r="B133" s="105">
        <v>53207020000000</v>
      </c>
      <c r="C133" s="1071" t="s">
        <v>155</v>
      </c>
      <c r="D133" s="941">
        <v>141750</v>
      </c>
      <c r="E133" s="111"/>
      <c r="F133" s="112"/>
      <c r="G133" s="1075">
        <f t="shared" si="18"/>
        <v>0</v>
      </c>
      <c r="H133" s="1077">
        <f t="shared" si="19"/>
        <v>141750</v>
      </c>
      <c r="I133" s="2049"/>
    </row>
    <row r="134" spans="1:9" ht="15" customHeight="1" x14ac:dyDescent="0.35">
      <c r="A134" s="2978"/>
      <c r="B134" s="105">
        <v>53208020000000</v>
      </c>
      <c r="C134" s="1071" t="s">
        <v>156</v>
      </c>
      <c r="D134" s="939">
        <v>121787</v>
      </c>
      <c r="E134" s="111"/>
      <c r="F134" s="112"/>
      <c r="G134" s="1075">
        <f t="shared" si="18"/>
        <v>0</v>
      </c>
      <c r="H134" s="1077">
        <f t="shared" si="19"/>
        <v>121787</v>
      </c>
      <c r="I134" s="2049"/>
    </row>
    <row r="135" spans="1:9" ht="15" customHeight="1" x14ac:dyDescent="0.35">
      <c r="A135" s="2978"/>
      <c r="B135" s="105">
        <v>53208990000000</v>
      </c>
      <c r="C135" s="1071" t="s">
        <v>157</v>
      </c>
      <c r="D135" s="941"/>
      <c r="E135" s="111"/>
      <c r="F135" s="112"/>
      <c r="G135" s="1075">
        <f t="shared" si="18"/>
        <v>0</v>
      </c>
      <c r="H135" s="1077">
        <f t="shared" si="19"/>
        <v>0</v>
      </c>
      <c r="I135" s="2049" t="s">
        <v>1108</v>
      </c>
    </row>
    <row r="136" spans="1:9" ht="15" customHeight="1" x14ac:dyDescent="0.35">
      <c r="A136" s="2978"/>
      <c r="B136" s="105">
        <v>53209010000000</v>
      </c>
      <c r="C136" s="1071" t="s">
        <v>158</v>
      </c>
      <c r="D136" s="941"/>
      <c r="E136" s="111"/>
      <c r="F136" s="112"/>
      <c r="G136" s="1075">
        <f t="shared" si="18"/>
        <v>0</v>
      </c>
      <c r="H136" s="1077">
        <f t="shared" si="19"/>
        <v>0</v>
      </c>
      <c r="I136" s="2049"/>
    </row>
    <row r="137" spans="1:9" ht="15" customHeight="1" x14ac:dyDescent="0.35">
      <c r="A137" s="2978"/>
      <c r="B137" s="105">
        <v>53209040000000</v>
      </c>
      <c r="C137" s="1071" t="s">
        <v>159</v>
      </c>
      <c r="D137" s="941"/>
      <c r="E137" s="111"/>
      <c r="F137" s="112"/>
      <c r="G137" s="1075">
        <f t="shared" si="18"/>
        <v>0</v>
      </c>
      <c r="H137" s="1077">
        <f t="shared" si="19"/>
        <v>0</v>
      </c>
      <c r="I137" s="2049"/>
    </row>
    <row r="138" spans="1:9" ht="15" customHeight="1" x14ac:dyDescent="0.35">
      <c r="A138" s="2978"/>
      <c r="B138" s="105">
        <v>53209050000000</v>
      </c>
      <c r="C138" s="1071" t="s">
        <v>160</v>
      </c>
      <c r="D138" s="941"/>
      <c r="E138" s="111"/>
      <c r="F138" s="112"/>
      <c r="G138" s="1075">
        <f t="shared" si="18"/>
        <v>0</v>
      </c>
      <c r="H138" s="1077">
        <f t="shared" si="19"/>
        <v>0</v>
      </c>
      <c r="I138" s="2049"/>
    </row>
    <row r="139" spans="1:9" ht="15" customHeight="1" x14ac:dyDescent="0.35">
      <c r="A139" s="2978"/>
      <c r="B139" s="105">
        <v>53209990000000</v>
      </c>
      <c r="C139" s="1071" t="s">
        <v>161</v>
      </c>
      <c r="D139" s="941"/>
      <c r="E139" s="111"/>
      <c r="F139" s="112"/>
      <c r="G139" s="1075">
        <f t="shared" si="18"/>
        <v>0</v>
      </c>
      <c r="H139" s="1077">
        <f t="shared" si="19"/>
        <v>0</v>
      </c>
      <c r="I139" s="2049"/>
    </row>
    <row r="140" spans="1:9" ht="15" customHeight="1" x14ac:dyDescent="0.35">
      <c r="A140" s="2978"/>
      <c r="B140" s="105">
        <v>53210020100000</v>
      </c>
      <c r="C140" s="1071" t="s">
        <v>162</v>
      </c>
      <c r="D140" s="941"/>
      <c r="E140" s="111"/>
      <c r="F140" s="112"/>
      <c r="G140" s="1075">
        <f t="shared" si="18"/>
        <v>0</v>
      </c>
      <c r="H140" s="1077">
        <f t="shared" si="19"/>
        <v>0</v>
      </c>
      <c r="I140" s="2049"/>
    </row>
    <row r="141" spans="1:9" ht="15" customHeight="1" x14ac:dyDescent="0.35">
      <c r="A141" s="2978"/>
      <c r="B141" s="1043"/>
      <c r="C141" s="1066" t="s">
        <v>163</v>
      </c>
      <c r="D141" s="1067">
        <f>SUM(D142:D148)</f>
        <v>3971100</v>
      </c>
      <c r="E141" s="1078"/>
      <c r="F141" s="1078"/>
      <c r="G141" s="1069">
        <f>SUM(G142:G148)</f>
        <v>0</v>
      </c>
      <c r="H141" s="1026">
        <f>SUM(H142:H148)</f>
        <v>3971100</v>
      </c>
      <c r="I141" s="2049"/>
    </row>
    <row r="142" spans="1:9" ht="15" customHeight="1" x14ac:dyDescent="0.35">
      <c r="A142" s="2978"/>
      <c r="B142" s="105">
        <v>53206030000000</v>
      </c>
      <c r="C142" s="1071" t="s">
        <v>164</v>
      </c>
      <c r="D142" s="939"/>
      <c r="E142" s="111"/>
      <c r="F142" s="112"/>
      <c r="G142" s="1075">
        <f t="shared" ref="G142:G148" si="20">E142*F142</f>
        <v>0</v>
      </c>
      <c r="H142" s="1077">
        <f t="shared" ref="H142:H148" si="21">D142+G142</f>
        <v>0</v>
      </c>
      <c r="I142" s="2049"/>
    </row>
    <row r="143" spans="1:9" ht="15" customHeight="1" x14ac:dyDescent="0.35">
      <c r="A143" s="2978"/>
      <c r="B143" s="105">
        <v>53206040000000</v>
      </c>
      <c r="C143" s="1071" t="s">
        <v>165</v>
      </c>
      <c r="D143" s="939"/>
      <c r="E143" s="111"/>
      <c r="F143" s="112"/>
      <c r="G143" s="1075">
        <f t="shared" si="20"/>
        <v>0</v>
      </c>
      <c r="H143" s="1077">
        <f t="shared" si="21"/>
        <v>0</v>
      </c>
      <c r="I143" s="2049"/>
    </row>
    <row r="144" spans="1:9" ht="15" customHeight="1" x14ac:dyDescent="0.35">
      <c r="A144" s="2978"/>
      <c r="B144" s="105">
        <v>53206060000000</v>
      </c>
      <c r="C144" s="1071" t="s">
        <v>166</v>
      </c>
      <c r="D144" s="939">
        <v>2207100</v>
      </c>
      <c r="E144" s="111"/>
      <c r="F144" s="112"/>
      <c r="G144" s="1075">
        <f t="shared" si="20"/>
        <v>0</v>
      </c>
      <c r="H144" s="1077">
        <f t="shared" si="21"/>
        <v>2207100</v>
      </c>
      <c r="I144" s="2049"/>
    </row>
    <row r="145" spans="1:9" ht="15" customHeight="1" x14ac:dyDescent="0.35">
      <c r="A145" s="2978"/>
      <c r="B145" s="105">
        <v>53206070000000</v>
      </c>
      <c r="C145" s="1071" t="s">
        <v>167</v>
      </c>
      <c r="D145" s="939">
        <v>84000</v>
      </c>
      <c r="E145" s="111"/>
      <c r="F145" s="112"/>
      <c r="G145" s="1075">
        <f t="shared" si="20"/>
        <v>0</v>
      </c>
      <c r="H145" s="1077">
        <f t="shared" si="21"/>
        <v>84000</v>
      </c>
      <c r="I145" s="2049"/>
    </row>
    <row r="146" spans="1:9" ht="15" customHeight="1" x14ac:dyDescent="0.35">
      <c r="A146" s="2978"/>
      <c r="B146" s="105">
        <v>53206990000000</v>
      </c>
      <c r="C146" s="1071" t="s">
        <v>168</v>
      </c>
      <c r="D146" s="939">
        <v>1680000</v>
      </c>
      <c r="E146" s="111"/>
      <c r="F146" s="112"/>
      <c r="G146" s="1075">
        <f t="shared" si="20"/>
        <v>0</v>
      </c>
      <c r="H146" s="1077">
        <f t="shared" si="21"/>
        <v>1680000</v>
      </c>
      <c r="I146" s="2049"/>
    </row>
    <row r="147" spans="1:9" ht="15" customHeight="1" x14ac:dyDescent="0.35">
      <c r="A147" s="2978"/>
      <c r="B147" s="105">
        <v>53208030000000</v>
      </c>
      <c r="C147" s="1071" t="s">
        <v>169</v>
      </c>
      <c r="D147" s="939"/>
      <c r="E147" s="111"/>
      <c r="F147" s="112"/>
      <c r="G147" s="1075">
        <f t="shared" si="20"/>
        <v>0</v>
      </c>
      <c r="H147" s="1077">
        <f t="shared" si="21"/>
        <v>0</v>
      </c>
      <c r="I147" s="2049"/>
    </row>
    <row r="148" spans="1:9" ht="15" customHeight="1" x14ac:dyDescent="0.35">
      <c r="A148" s="2978"/>
      <c r="B148" s="105">
        <v>53212060000000</v>
      </c>
      <c r="C148" s="1071" t="s">
        <v>170</v>
      </c>
      <c r="D148" s="935"/>
      <c r="E148" s="110"/>
      <c r="F148" s="112"/>
      <c r="G148" s="1075">
        <f t="shared" si="20"/>
        <v>0</v>
      </c>
      <c r="H148" s="1077">
        <f t="shared" si="21"/>
        <v>0</v>
      </c>
      <c r="I148" s="2049"/>
    </row>
    <row r="149" spans="1:9" ht="15" customHeight="1" x14ac:dyDescent="0.35">
      <c r="A149" s="2978"/>
      <c r="B149" s="1043"/>
      <c r="C149" s="1066" t="s">
        <v>171</v>
      </c>
      <c r="D149" s="1067">
        <f>SUM(D150:D151)</f>
        <v>2981908</v>
      </c>
      <c r="E149" s="1078"/>
      <c r="F149" s="1078"/>
      <c r="G149" s="1069">
        <f>SUM(G150:G151)</f>
        <v>0</v>
      </c>
      <c r="H149" s="1026">
        <f>SUM(H150:H151)</f>
        <v>2981908</v>
      </c>
      <c r="I149" s="2049"/>
    </row>
    <row r="150" spans="1:9" ht="15" customHeight="1" x14ac:dyDescent="0.35">
      <c r="A150" s="2978"/>
      <c r="B150" s="105">
        <v>53210020500000</v>
      </c>
      <c r="C150" s="1071" t="s">
        <v>172</v>
      </c>
      <c r="D150" s="941">
        <v>1816408</v>
      </c>
      <c r="E150" s="110"/>
      <c r="F150" s="112"/>
      <c r="G150" s="1075">
        <f t="shared" ref="G150:G151" si="22">E150*F150</f>
        <v>0</v>
      </c>
      <c r="H150" s="1084">
        <f t="shared" ref="H150:H151" si="23">D150+G150</f>
        <v>1816408</v>
      </c>
      <c r="I150" s="2049"/>
    </row>
    <row r="151" spans="1:9" ht="15" customHeight="1" x14ac:dyDescent="0.35">
      <c r="A151" s="2978"/>
      <c r="B151" s="1053">
        <v>53204999000000</v>
      </c>
      <c r="C151" s="1032" t="s">
        <v>173</v>
      </c>
      <c r="D151" s="941">
        <v>1165500</v>
      </c>
      <c r="E151" s="111"/>
      <c r="F151" s="112"/>
      <c r="G151" s="1033">
        <f t="shared" si="22"/>
        <v>0</v>
      </c>
      <c r="H151" s="1052">
        <f t="shared" si="23"/>
        <v>1165500</v>
      </c>
      <c r="I151" s="2049"/>
    </row>
    <row r="152" spans="1:9" ht="15" customHeight="1" x14ac:dyDescent="0.35">
      <c r="A152" s="2979"/>
      <c r="B152" s="1085"/>
      <c r="C152" s="1086" t="s">
        <v>12</v>
      </c>
      <c r="D152" s="1087">
        <f>SUM(D83,D111)</f>
        <v>155971081.34</v>
      </c>
      <c r="E152" s="1088"/>
      <c r="F152" s="1088"/>
      <c r="G152" s="1087">
        <f>SUM(G83,G111)</f>
        <v>0</v>
      </c>
      <c r="H152" s="1089">
        <f>SUM(H83,H111)</f>
        <v>155971081.34</v>
      </c>
      <c r="I152" s="2049"/>
    </row>
    <row r="153" spans="1:9" ht="15" customHeight="1" x14ac:dyDescent="0.35">
      <c r="A153" s="2966" t="s">
        <v>21</v>
      </c>
      <c r="B153" s="2980" t="s">
        <v>97</v>
      </c>
      <c r="C153" s="2982" t="s">
        <v>98</v>
      </c>
      <c r="D153" s="2983" t="s">
        <v>99</v>
      </c>
      <c r="E153" s="2984" t="s">
        <v>100</v>
      </c>
      <c r="F153" s="2984"/>
      <c r="G153" s="2984"/>
      <c r="H153" s="2992" t="str">
        <f>+H81</f>
        <v>COSTO DIRECTO ESTIMADO 2026</v>
      </c>
      <c r="I153" s="2987" t="s">
        <v>101</v>
      </c>
    </row>
    <row r="154" spans="1:9" ht="38.25" customHeight="1" x14ac:dyDescent="0.35">
      <c r="A154" s="2967"/>
      <c r="B154" s="2981"/>
      <c r="C154" s="2982"/>
      <c r="D154" s="2983"/>
      <c r="E154" s="1090" t="s">
        <v>102</v>
      </c>
      <c r="F154" s="113" t="s">
        <v>103</v>
      </c>
      <c r="G154" s="1091" t="s">
        <v>104</v>
      </c>
      <c r="H154" s="2993"/>
      <c r="I154" s="3003"/>
    </row>
    <row r="155" spans="1:9" ht="15" customHeight="1" x14ac:dyDescent="0.35">
      <c r="A155" s="3004" t="str">
        <f>+'B) Reajuste Tarifas y Ocupación'!A28</f>
        <v>C.R. Los Maitenes</v>
      </c>
      <c r="B155" s="1092"/>
      <c r="C155" s="1093" t="s">
        <v>105</v>
      </c>
      <c r="D155" s="1094">
        <f>SUM(D156,D161,D163)</f>
        <v>73356278.092193961</v>
      </c>
      <c r="E155" s="1095"/>
      <c r="F155" s="1095"/>
      <c r="G155" s="1094">
        <f>SUM(G156,G161,G163)</f>
        <v>0</v>
      </c>
      <c r="H155" s="1096">
        <f>SUM(H156,H161,H163)</f>
        <v>73356278.092193961</v>
      </c>
      <c r="I155" s="593"/>
    </row>
    <row r="156" spans="1:9" ht="15" customHeight="1" x14ac:dyDescent="0.35">
      <c r="A156" s="2978"/>
      <c r="B156" s="1043"/>
      <c r="C156" s="1097" t="s">
        <v>106</v>
      </c>
      <c r="D156" s="1098">
        <f>SUM(D157:D160)</f>
        <v>41320991.442193955</v>
      </c>
      <c r="E156" s="1099"/>
      <c r="F156" s="1099"/>
      <c r="G156" s="1100">
        <f>SUM(G157:G160)</f>
        <v>0</v>
      </c>
      <c r="H156" s="1101">
        <f>SUM(H157:H160)</f>
        <v>41320991.442193955</v>
      </c>
      <c r="I156" s="593"/>
    </row>
    <row r="157" spans="1:9" ht="15" customHeight="1" x14ac:dyDescent="0.35">
      <c r="A157" s="2978"/>
      <c r="B157" s="105">
        <v>53103040100000</v>
      </c>
      <c r="C157" s="1102" t="s">
        <v>107</v>
      </c>
      <c r="D157" s="1103">
        <f>+'F) Remuneraciones'!M58</f>
        <v>41320991.442193955</v>
      </c>
      <c r="E157" s="1104"/>
      <c r="F157" s="1104"/>
      <c r="G157" s="1104"/>
      <c r="H157" s="1105">
        <f>D157+G157</f>
        <v>41320991.442193955</v>
      </c>
      <c r="I157" s="593"/>
    </row>
    <row r="158" spans="1:9" ht="15" customHeight="1" x14ac:dyDescent="0.35">
      <c r="A158" s="2978"/>
      <c r="B158" s="105">
        <v>53103050000000</v>
      </c>
      <c r="C158" s="1102" t="s">
        <v>108</v>
      </c>
      <c r="D158" s="944"/>
      <c r="E158" s="115"/>
      <c r="F158" s="116"/>
      <c r="G158" s="1106">
        <f>E158*F158</f>
        <v>0</v>
      </c>
      <c r="H158" s="1076">
        <f t="shared" ref="H158:H160" si="24">D158+G158</f>
        <v>0</v>
      </c>
      <c r="I158" s="593"/>
    </row>
    <row r="159" spans="1:9" ht="15" customHeight="1" x14ac:dyDescent="0.35">
      <c r="A159" s="2978"/>
      <c r="B159" s="105">
        <v>53103060000000</v>
      </c>
      <c r="C159" s="1102" t="s">
        <v>109</v>
      </c>
      <c r="D159" s="944"/>
      <c r="E159" s="115"/>
      <c r="F159" s="116"/>
      <c r="G159" s="1106">
        <f t="shared" ref="G159:G160" si="25">E159*F159</f>
        <v>0</v>
      </c>
      <c r="H159" s="1107">
        <f t="shared" si="24"/>
        <v>0</v>
      </c>
      <c r="I159" s="592"/>
    </row>
    <row r="160" spans="1:9" ht="15" customHeight="1" x14ac:dyDescent="0.35">
      <c r="A160" s="2978"/>
      <c r="B160" s="105">
        <v>53103080010000</v>
      </c>
      <c r="C160" s="1102" t="s">
        <v>110</v>
      </c>
      <c r="D160" s="944"/>
      <c r="E160" s="115"/>
      <c r="F160" s="116"/>
      <c r="G160" s="1106">
        <f t="shared" si="25"/>
        <v>0</v>
      </c>
      <c r="H160" s="1107">
        <f t="shared" si="24"/>
        <v>0</v>
      </c>
      <c r="I160" s="592"/>
    </row>
    <row r="161" spans="1:9" ht="15" customHeight="1" x14ac:dyDescent="0.35">
      <c r="A161" s="2978"/>
      <c r="B161" s="1043"/>
      <c r="C161" s="1097" t="s">
        <v>111</v>
      </c>
      <c r="D161" s="1098">
        <f>SUM(D162)</f>
        <v>0</v>
      </c>
      <c r="E161" s="1108"/>
      <c r="F161" s="1108"/>
      <c r="G161" s="1109">
        <f>SUM(G162:G162)</f>
        <v>0</v>
      </c>
      <c r="H161" s="1026">
        <f>SUM(H162:H162)</f>
        <v>0</v>
      </c>
      <c r="I161" s="593"/>
    </row>
    <row r="162" spans="1:9" ht="15" customHeight="1" x14ac:dyDescent="0.35">
      <c r="A162" s="2978"/>
      <c r="B162" s="105">
        <v>55201010100001</v>
      </c>
      <c r="C162" s="1102" t="s">
        <v>112</v>
      </c>
      <c r="D162" s="944"/>
      <c r="E162" s="115"/>
      <c r="F162" s="116"/>
      <c r="G162" s="1106">
        <f t="shared" ref="G162" si="26">E162*F162</f>
        <v>0</v>
      </c>
      <c r="H162" s="1107">
        <f>D162+G162</f>
        <v>0</v>
      </c>
      <c r="I162" s="592"/>
    </row>
    <row r="163" spans="1:9" ht="15" customHeight="1" x14ac:dyDescent="0.35">
      <c r="A163" s="2978"/>
      <c r="B163" s="1043"/>
      <c r="C163" s="1097" t="s">
        <v>113</v>
      </c>
      <c r="D163" s="1098">
        <f>SUM(D164:D182)</f>
        <v>32035286.649999999</v>
      </c>
      <c r="E163" s="1108"/>
      <c r="F163" s="1108"/>
      <c r="G163" s="1100">
        <f>SUM(G164:G182)</f>
        <v>0</v>
      </c>
      <c r="H163" s="1026">
        <f>SUM(H164:H182)</f>
        <v>32035286.649999999</v>
      </c>
      <c r="I163" s="593"/>
    </row>
    <row r="164" spans="1:9" ht="15" customHeight="1" x14ac:dyDescent="0.35">
      <c r="A164" s="2978"/>
      <c r="B164" s="105">
        <v>53201010100000</v>
      </c>
      <c r="C164" s="1102" t="s">
        <v>114</v>
      </c>
      <c r="D164" s="944"/>
      <c r="E164" s="115"/>
      <c r="F164" s="116"/>
      <c r="G164" s="1106">
        <f t="shared" ref="G164:G182" si="27">E164*F164</f>
        <v>0</v>
      </c>
      <c r="H164" s="1107">
        <f t="shared" ref="H164:H182" si="28">D164+G164</f>
        <v>0</v>
      </c>
      <c r="I164" s="610"/>
    </row>
    <row r="165" spans="1:9" ht="15" customHeight="1" x14ac:dyDescent="0.35">
      <c r="A165" s="2978"/>
      <c r="B165" s="105">
        <v>53202010100000</v>
      </c>
      <c r="C165" s="1102" t="s">
        <v>115</v>
      </c>
      <c r="D165" s="944">
        <f>+CRLM!D6</f>
        <v>836000</v>
      </c>
      <c r="E165" s="115"/>
      <c r="F165" s="116"/>
      <c r="G165" s="1106">
        <f t="shared" si="27"/>
        <v>0</v>
      </c>
      <c r="H165" s="1107">
        <f t="shared" si="28"/>
        <v>836000</v>
      </c>
      <c r="I165" s="610"/>
    </row>
    <row r="166" spans="1:9" ht="15" customHeight="1" x14ac:dyDescent="0.35">
      <c r="A166" s="2978"/>
      <c r="B166" s="105">
        <v>53203010100000</v>
      </c>
      <c r="C166" s="1102" t="s">
        <v>116</v>
      </c>
      <c r="D166" s="944">
        <f>+CRLM!D18</f>
        <v>199500</v>
      </c>
      <c r="E166" s="115"/>
      <c r="F166" s="116"/>
      <c r="G166" s="1106">
        <f t="shared" si="27"/>
        <v>0</v>
      </c>
      <c r="H166" s="1107">
        <f t="shared" si="28"/>
        <v>199500</v>
      </c>
      <c r="I166" s="610"/>
    </row>
    <row r="167" spans="1:9" ht="15" customHeight="1" x14ac:dyDescent="0.35">
      <c r="A167" s="2978"/>
      <c r="B167" s="105">
        <v>53203030000000</v>
      </c>
      <c r="C167" s="1102" t="s">
        <v>117</v>
      </c>
      <c r="D167" s="944"/>
      <c r="E167" s="115"/>
      <c r="F167" s="116"/>
      <c r="G167" s="1106">
        <f t="shared" si="27"/>
        <v>0</v>
      </c>
      <c r="H167" s="1107">
        <f t="shared" si="28"/>
        <v>0</v>
      </c>
      <c r="I167" s="610"/>
    </row>
    <row r="168" spans="1:9" ht="15" customHeight="1" x14ac:dyDescent="0.35">
      <c r="A168" s="2978"/>
      <c r="B168" s="105">
        <v>53204030000000</v>
      </c>
      <c r="C168" s="1102" t="s">
        <v>118</v>
      </c>
      <c r="D168" s="944"/>
      <c r="E168" s="115"/>
      <c r="F168" s="116"/>
      <c r="G168" s="1106">
        <f t="shared" si="27"/>
        <v>0</v>
      </c>
      <c r="H168" s="1107">
        <f t="shared" si="28"/>
        <v>0</v>
      </c>
      <c r="I168" s="610"/>
    </row>
    <row r="169" spans="1:9" ht="15" customHeight="1" x14ac:dyDescent="0.35">
      <c r="A169" s="2978"/>
      <c r="B169" s="105">
        <v>53204100100001</v>
      </c>
      <c r="C169" s="1102" t="s">
        <v>119</v>
      </c>
      <c r="D169" s="945">
        <f>+CRLM!D25</f>
        <v>1438500</v>
      </c>
      <c r="E169" s="115"/>
      <c r="F169" s="116"/>
      <c r="G169" s="1106">
        <f t="shared" si="27"/>
        <v>0</v>
      </c>
      <c r="H169" s="1107">
        <f t="shared" si="28"/>
        <v>1438500</v>
      </c>
      <c r="I169" s="610"/>
    </row>
    <row r="170" spans="1:9" ht="15" customHeight="1" x14ac:dyDescent="0.35">
      <c r="A170" s="2978"/>
      <c r="B170" s="105">
        <v>53204130100000</v>
      </c>
      <c r="C170" s="1102" t="s">
        <v>120</v>
      </c>
      <c r="D170" s="944">
        <f>+CRLM!D28</f>
        <v>62979</v>
      </c>
      <c r="E170" s="115"/>
      <c r="F170" s="116"/>
      <c r="G170" s="1106">
        <f t="shared" si="27"/>
        <v>0</v>
      </c>
      <c r="H170" s="1107">
        <f t="shared" si="28"/>
        <v>62979</v>
      </c>
      <c r="I170" s="610"/>
    </row>
    <row r="171" spans="1:9" x14ac:dyDescent="0.35">
      <c r="A171" s="2978"/>
      <c r="B171" s="105">
        <v>53205010100000</v>
      </c>
      <c r="C171" s="1102" t="s">
        <v>121</v>
      </c>
      <c r="D171" s="944">
        <f>15707000-D243-D315</f>
        <v>11645660</v>
      </c>
      <c r="E171" s="115"/>
      <c r="F171" s="116"/>
      <c r="G171" s="1106">
        <f t="shared" si="27"/>
        <v>0</v>
      </c>
      <c r="H171" s="1107">
        <f t="shared" si="28"/>
        <v>11645660</v>
      </c>
      <c r="I171" s="610"/>
    </row>
    <row r="172" spans="1:9" ht="15" customHeight="1" x14ac:dyDescent="0.35">
      <c r="A172" s="2978"/>
      <c r="B172" s="105">
        <v>53205020100000</v>
      </c>
      <c r="C172" s="1102" t="s">
        <v>122</v>
      </c>
      <c r="D172" s="944">
        <f>15590700-D244-D316</f>
        <v>7558200</v>
      </c>
      <c r="E172" s="115"/>
      <c r="F172" s="116"/>
      <c r="G172" s="1106">
        <f t="shared" si="27"/>
        <v>0</v>
      </c>
      <c r="H172" s="1107">
        <f t="shared" si="28"/>
        <v>7558200</v>
      </c>
      <c r="I172" s="610"/>
    </row>
    <row r="173" spans="1:9" ht="15" customHeight="1" x14ac:dyDescent="0.35">
      <c r="A173" s="2978"/>
      <c r="B173" s="105">
        <v>53205030100000</v>
      </c>
      <c r="C173" s="1102" t="s">
        <v>123</v>
      </c>
      <c r="D173" s="944">
        <f>2218500-D245-D317</f>
        <v>1381184</v>
      </c>
      <c r="E173" s="115"/>
      <c r="F173" s="116"/>
      <c r="G173" s="1106">
        <f t="shared" si="27"/>
        <v>0</v>
      </c>
      <c r="H173" s="1107">
        <f t="shared" si="28"/>
        <v>1381184</v>
      </c>
      <c r="I173" s="610"/>
    </row>
    <row r="174" spans="1:9" ht="15" customHeight="1" x14ac:dyDescent="0.35">
      <c r="A174" s="2978"/>
      <c r="B174" s="105">
        <v>53205050100000</v>
      </c>
      <c r="C174" s="1102" t="s">
        <v>124</v>
      </c>
      <c r="D174" s="944">
        <v>0</v>
      </c>
      <c r="E174" s="115"/>
      <c r="F174" s="116"/>
      <c r="G174" s="1106">
        <f t="shared" si="27"/>
        <v>0</v>
      </c>
      <c r="H174" s="1107">
        <f t="shared" si="28"/>
        <v>0</v>
      </c>
      <c r="I174" s="610"/>
    </row>
    <row r="175" spans="1:9" ht="15" customHeight="1" x14ac:dyDescent="0.35">
      <c r="A175" s="2978"/>
      <c r="B175" s="105">
        <v>53205060100000</v>
      </c>
      <c r="C175" s="1102" t="s">
        <v>125</v>
      </c>
      <c r="D175" s="944">
        <f>264000*2</f>
        <v>528000</v>
      </c>
      <c r="E175" s="115"/>
      <c r="F175" s="116"/>
      <c r="G175" s="1106">
        <f t="shared" si="27"/>
        <v>0</v>
      </c>
      <c r="H175" s="1107">
        <f t="shared" si="28"/>
        <v>528000</v>
      </c>
      <c r="I175" s="610"/>
    </row>
    <row r="176" spans="1:9" ht="15" customHeight="1" x14ac:dyDescent="0.35">
      <c r="A176" s="2978"/>
      <c r="B176" s="105">
        <v>53205070100000</v>
      </c>
      <c r="C176" s="1102" t="s">
        <v>126</v>
      </c>
      <c r="D176" s="944">
        <v>377400</v>
      </c>
      <c r="E176" s="115"/>
      <c r="F176" s="116"/>
      <c r="G176" s="1106">
        <f t="shared" si="27"/>
        <v>0</v>
      </c>
      <c r="H176" s="1107">
        <f t="shared" si="28"/>
        <v>377400</v>
      </c>
      <c r="I176" s="847"/>
    </row>
    <row r="177" spans="1:9" ht="15" customHeight="1" x14ac:dyDescent="0.35">
      <c r="A177" s="2978"/>
      <c r="B177" s="105">
        <v>53208010100000</v>
      </c>
      <c r="C177" s="1102" t="s">
        <v>127</v>
      </c>
      <c r="D177" s="944">
        <f>+CRLM!D85</f>
        <v>4448863.6500000004</v>
      </c>
      <c r="E177" s="115"/>
      <c r="F177" s="116"/>
      <c r="G177" s="1106">
        <f t="shared" si="27"/>
        <v>0</v>
      </c>
      <c r="H177" s="1107">
        <f t="shared" si="28"/>
        <v>4448863.6500000004</v>
      </c>
      <c r="I177" s="847"/>
    </row>
    <row r="178" spans="1:9" ht="15" customHeight="1" x14ac:dyDescent="0.35">
      <c r="A178" s="2978"/>
      <c r="B178" s="105">
        <v>53208070100001</v>
      </c>
      <c r="C178" s="1102" t="s">
        <v>128</v>
      </c>
      <c r="D178" s="944"/>
      <c r="E178" s="115"/>
      <c r="F178" s="116"/>
      <c r="G178" s="1106">
        <f t="shared" si="27"/>
        <v>0</v>
      </c>
      <c r="H178" s="1107">
        <f t="shared" si="28"/>
        <v>0</v>
      </c>
      <c r="I178" s="847"/>
    </row>
    <row r="179" spans="1:9" ht="15" customHeight="1" x14ac:dyDescent="0.35">
      <c r="A179" s="2978"/>
      <c r="B179" s="105">
        <v>53208100100001</v>
      </c>
      <c r="C179" s="1102" t="s">
        <v>129</v>
      </c>
      <c r="D179" s="944"/>
      <c r="E179" s="115"/>
      <c r="F179" s="116"/>
      <c r="G179" s="1106">
        <f t="shared" si="27"/>
        <v>0</v>
      </c>
      <c r="H179" s="1107">
        <f t="shared" si="28"/>
        <v>0</v>
      </c>
      <c r="I179" s="847"/>
    </row>
    <row r="180" spans="1:9" ht="15" customHeight="1" x14ac:dyDescent="0.35">
      <c r="A180" s="2978"/>
      <c r="B180" s="105">
        <v>53211030000000</v>
      </c>
      <c r="C180" s="1102" t="s">
        <v>130</v>
      </c>
      <c r="D180" s="944"/>
      <c r="E180" s="115"/>
      <c r="F180" s="116"/>
      <c r="G180" s="1106">
        <f t="shared" si="27"/>
        <v>0</v>
      </c>
      <c r="H180" s="1107">
        <f t="shared" si="28"/>
        <v>0</v>
      </c>
      <c r="I180" s="847"/>
    </row>
    <row r="181" spans="1:9" ht="15" customHeight="1" x14ac:dyDescent="0.35">
      <c r="A181" s="2978"/>
      <c r="B181" s="105">
        <v>53212020100000</v>
      </c>
      <c r="C181" s="1102" t="s">
        <v>131</v>
      </c>
      <c r="D181" s="944">
        <v>3049000</v>
      </c>
      <c r="E181" s="115"/>
      <c r="F181" s="116"/>
      <c r="G181" s="1106">
        <f t="shared" si="27"/>
        <v>0</v>
      </c>
      <c r="H181" s="1107">
        <f t="shared" si="28"/>
        <v>3049000</v>
      </c>
      <c r="I181" s="847"/>
    </row>
    <row r="182" spans="1:9" ht="15" customHeight="1" x14ac:dyDescent="0.35">
      <c r="A182" s="2978"/>
      <c r="B182" s="105">
        <v>53214020000000</v>
      </c>
      <c r="C182" s="1102" t="s">
        <v>132</v>
      </c>
      <c r="D182" s="944">
        <v>510000</v>
      </c>
      <c r="E182" s="115"/>
      <c r="F182" s="116"/>
      <c r="G182" s="1106">
        <f t="shared" si="27"/>
        <v>0</v>
      </c>
      <c r="H182" s="1107">
        <f t="shared" si="28"/>
        <v>510000</v>
      </c>
      <c r="I182" s="847"/>
    </row>
    <row r="183" spans="1:9" ht="15" customHeight="1" x14ac:dyDescent="0.35">
      <c r="A183" s="2978"/>
      <c r="B183" s="1092"/>
      <c r="C183" s="1093" t="s">
        <v>133</v>
      </c>
      <c r="D183" s="1110">
        <f>SUM(D184,D189,D192,D203,D213,D221)</f>
        <v>13904280</v>
      </c>
      <c r="E183" s="1095"/>
      <c r="F183" s="1095"/>
      <c r="G183" s="1111">
        <f>SUM(G184,G189,G192,G203,G213,G221)</f>
        <v>0</v>
      </c>
      <c r="H183" s="1042">
        <f>SUM(H184,H189,H192,H203,H213,H221)</f>
        <v>13904280</v>
      </c>
      <c r="I183" s="847"/>
    </row>
    <row r="184" spans="1:9" ht="15" customHeight="1" x14ac:dyDescent="0.35">
      <c r="A184" s="2978"/>
      <c r="B184" s="1043"/>
      <c r="C184" s="1097" t="s">
        <v>134</v>
      </c>
      <c r="D184" s="1098">
        <f>SUM(D185:D188)</f>
        <v>829500</v>
      </c>
      <c r="E184" s="1108"/>
      <c r="F184" s="1108"/>
      <c r="G184" s="1109">
        <f>SUM(G185:G188)</f>
        <v>0</v>
      </c>
      <c r="H184" s="1112">
        <f>SUM(H185:H188)</f>
        <v>829500</v>
      </c>
      <c r="I184" s="847"/>
    </row>
    <row r="185" spans="1:9" ht="15" customHeight="1" x14ac:dyDescent="0.35">
      <c r="A185" s="2978"/>
      <c r="B185" s="105">
        <v>53202020100000</v>
      </c>
      <c r="C185" s="1102" t="s">
        <v>135</v>
      </c>
      <c r="D185" s="944">
        <f>+CRLM!D37</f>
        <v>420000</v>
      </c>
      <c r="E185" s="115"/>
      <c r="F185" s="116"/>
      <c r="G185" s="1106">
        <f>E185*F185</f>
        <v>0</v>
      </c>
      <c r="H185" s="1107">
        <f t="shared" ref="H185:H188" si="29">D185+G185</f>
        <v>420000</v>
      </c>
      <c r="I185" s="847"/>
    </row>
    <row r="186" spans="1:9" ht="15" customHeight="1" x14ac:dyDescent="0.35">
      <c r="A186" s="2978"/>
      <c r="B186" s="105">
        <v>53202030000000</v>
      </c>
      <c r="C186" s="1102" t="s">
        <v>136</v>
      </c>
      <c r="D186" s="944">
        <f>+CRLM!D45</f>
        <v>409500</v>
      </c>
      <c r="E186" s="115"/>
      <c r="F186" s="116"/>
      <c r="G186" s="1106">
        <f t="shared" ref="G186:G188" si="30">E186*F186</f>
        <v>0</v>
      </c>
      <c r="H186" s="1107">
        <f t="shared" si="29"/>
        <v>409500</v>
      </c>
      <c r="I186" s="847"/>
    </row>
    <row r="187" spans="1:9" ht="15" customHeight="1" x14ac:dyDescent="0.35">
      <c r="A187" s="2978"/>
      <c r="B187" s="105">
        <v>53211020000000</v>
      </c>
      <c r="C187" s="1102" t="s">
        <v>137</v>
      </c>
      <c r="D187" s="944"/>
      <c r="E187" s="115"/>
      <c r="F187" s="116"/>
      <c r="G187" s="1106">
        <f t="shared" si="30"/>
        <v>0</v>
      </c>
      <c r="H187" s="1107">
        <f t="shared" si="29"/>
        <v>0</v>
      </c>
      <c r="I187" s="847"/>
    </row>
    <row r="188" spans="1:9" ht="15" customHeight="1" x14ac:dyDescent="0.35">
      <c r="A188" s="2978"/>
      <c r="B188" s="105">
        <v>53101004030000</v>
      </c>
      <c r="C188" s="1102" t="s">
        <v>138</v>
      </c>
      <c r="D188" s="944"/>
      <c r="E188" s="115"/>
      <c r="F188" s="116"/>
      <c r="G188" s="1106">
        <f t="shared" si="30"/>
        <v>0</v>
      </c>
      <c r="H188" s="1107">
        <f t="shared" si="29"/>
        <v>0</v>
      </c>
      <c r="I188" s="847"/>
    </row>
    <row r="189" spans="1:9" ht="15" customHeight="1" x14ac:dyDescent="0.35">
      <c r="A189" s="2978"/>
      <c r="B189" s="1043"/>
      <c r="C189" s="1097" t="s">
        <v>139</v>
      </c>
      <c r="D189" s="1098">
        <f>SUM(D190:D191)</f>
        <v>1296000</v>
      </c>
      <c r="E189" s="1108"/>
      <c r="F189" s="1108"/>
      <c r="G189" s="1109">
        <f>SUM(G190:G191)</f>
        <v>0</v>
      </c>
      <c r="H189" s="1112">
        <f>SUM(H190:H191)</f>
        <v>1296000</v>
      </c>
      <c r="I189" s="847"/>
    </row>
    <row r="190" spans="1:9" ht="15" customHeight="1" x14ac:dyDescent="0.35">
      <c r="A190" s="2978"/>
      <c r="B190" s="105">
        <v>53205080000000</v>
      </c>
      <c r="C190" s="1113" t="s">
        <v>140</v>
      </c>
      <c r="D190" s="944">
        <f>9000*12*12</f>
        <v>1296000</v>
      </c>
      <c r="E190" s="115"/>
      <c r="F190" s="116"/>
      <c r="G190" s="1106">
        <f t="shared" ref="G190:G191" si="31">E190*F190</f>
        <v>0</v>
      </c>
      <c r="H190" s="1107">
        <f t="shared" ref="H190:H191" si="32">D190+G190</f>
        <v>1296000</v>
      </c>
      <c r="I190" s="847" t="s">
        <v>1229</v>
      </c>
    </row>
    <row r="191" spans="1:9" ht="15" customHeight="1" x14ac:dyDescent="0.35">
      <c r="A191" s="2978"/>
      <c r="B191" s="105">
        <v>53205990000000</v>
      </c>
      <c r="C191" s="1102" t="s">
        <v>141</v>
      </c>
      <c r="D191" s="944">
        <v>0</v>
      </c>
      <c r="E191" s="115"/>
      <c r="F191" s="116"/>
      <c r="G191" s="1106">
        <f t="shared" si="31"/>
        <v>0</v>
      </c>
      <c r="H191" s="1107">
        <f t="shared" si="32"/>
        <v>0</v>
      </c>
      <c r="I191" s="610"/>
    </row>
    <row r="192" spans="1:9" ht="15" customHeight="1" x14ac:dyDescent="0.35">
      <c r="A192" s="2978"/>
      <c r="B192" s="1043"/>
      <c r="C192" s="1097" t="s">
        <v>142</v>
      </c>
      <c r="D192" s="1098">
        <f>SUM(D193:D202)</f>
        <v>2761500</v>
      </c>
      <c r="E192" s="1108"/>
      <c r="F192" s="1108"/>
      <c r="G192" s="1100">
        <f>SUM(G193:G202)</f>
        <v>0</v>
      </c>
      <c r="H192" s="1026">
        <f>SUM(H193:H202)</f>
        <v>2761500</v>
      </c>
      <c r="I192" s="610"/>
    </row>
    <row r="193" spans="1:9" ht="15" customHeight="1" x14ac:dyDescent="0.35">
      <c r="A193" s="2978"/>
      <c r="B193" s="105">
        <v>53203010200000</v>
      </c>
      <c r="C193" s="1102" t="s">
        <v>143</v>
      </c>
      <c r="D193" s="944"/>
      <c r="E193" s="114"/>
      <c r="F193" s="116"/>
      <c r="G193" s="1106">
        <f t="shared" ref="G193:G202" si="33">E193*F193</f>
        <v>0</v>
      </c>
      <c r="H193" s="1107">
        <f t="shared" ref="H193:H202" si="34">D193+G193</f>
        <v>0</v>
      </c>
      <c r="I193" s="610"/>
    </row>
    <row r="194" spans="1:9" ht="15" customHeight="1" x14ac:dyDescent="0.35">
      <c r="A194" s="2978"/>
      <c r="B194" s="105">
        <v>53204010000000</v>
      </c>
      <c r="C194" s="1102" t="s">
        <v>144</v>
      </c>
      <c r="D194" s="944">
        <f>+CRLM!D48</f>
        <v>315000</v>
      </c>
      <c r="E194" s="115"/>
      <c r="F194" s="116"/>
      <c r="G194" s="1106">
        <f t="shared" si="33"/>
        <v>0</v>
      </c>
      <c r="H194" s="1107">
        <f t="shared" si="34"/>
        <v>315000</v>
      </c>
      <c r="I194" s="610"/>
    </row>
    <row r="195" spans="1:9" ht="15" customHeight="1" x14ac:dyDescent="0.35">
      <c r="A195" s="2978"/>
      <c r="B195" s="105">
        <v>53204040200000</v>
      </c>
      <c r="C195" s="1113" t="s">
        <v>145</v>
      </c>
      <c r="D195" s="944"/>
      <c r="E195" s="115"/>
      <c r="F195" s="116"/>
      <c r="G195" s="1106">
        <f t="shared" si="33"/>
        <v>0</v>
      </c>
      <c r="H195" s="1107">
        <f t="shared" si="34"/>
        <v>0</v>
      </c>
      <c r="I195" s="610"/>
    </row>
    <row r="196" spans="1:9" ht="15" customHeight="1" x14ac:dyDescent="0.35">
      <c r="A196" s="2978"/>
      <c r="B196" s="105">
        <v>53204060000000</v>
      </c>
      <c r="C196" s="1113" t="s">
        <v>146</v>
      </c>
      <c r="D196" s="944">
        <f>+CRLM!D53</f>
        <v>819000</v>
      </c>
      <c r="E196" s="115"/>
      <c r="F196" s="116"/>
      <c r="G196" s="1106">
        <f t="shared" si="33"/>
        <v>0</v>
      </c>
      <c r="H196" s="1107">
        <f t="shared" si="34"/>
        <v>819000</v>
      </c>
      <c r="I196" s="611" t="s">
        <v>1108</v>
      </c>
    </row>
    <row r="197" spans="1:9" ht="15" customHeight="1" x14ac:dyDescent="0.35">
      <c r="A197" s="2978"/>
      <c r="B197" s="105">
        <v>53204070000000</v>
      </c>
      <c r="C197" s="1113" t="s">
        <v>147</v>
      </c>
      <c r="D197" s="944">
        <f>+CRLM!D55</f>
        <v>1386000</v>
      </c>
      <c r="E197" s="115"/>
      <c r="F197" s="116"/>
      <c r="G197" s="1106">
        <f t="shared" si="33"/>
        <v>0</v>
      </c>
      <c r="H197" s="1107">
        <f t="shared" si="34"/>
        <v>1386000</v>
      </c>
      <c r="I197" s="610"/>
    </row>
    <row r="198" spans="1:9" ht="15" customHeight="1" x14ac:dyDescent="0.35">
      <c r="A198" s="2978"/>
      <c r="B198" s="105">
        <v>53204080000000</v>
      </c>
      <c r="C198" s="1113" t="s">
        <v>148</v>
      </c>
      <c r="D198" s="944">
        <f>+CRLM!D57</f>
        <v>241500</v>
      </c>
      <c r="E198" s="115"/>
      <c r="F198" s="116"/>
      <c r="G198" s="1106">
        <f t="shared" si="33"/>
        <v>0</v>
      </c>
      <c r="H198" s="1107">
        <f t="shared" si="34"/>
        <v>241500</v>
      </c>
      <c r="I198" s="610"/>
    </row>
    <row r="199" spans="1:9" ht="15" customHeight="1" x14ac:dyDescent="0.35">
      <c r="A199" s="2978"/>
      <c r="B199" s="105">
        <v>53214010000000</v>
      </c>
      <c r="C199" s="1113" t="s">
        <v>149</v>
      </c>
      <c r="D199" s="944"/>
      <c r="E199" s="115"/>
      <c r="F199" s="116"/>
      <c r="G199" s="1106">
        <f t="shared" si="33"/>
        <v>0</v>
      </c>
      <c r="H199" s="1107">
        <f t="shared" si="34"/>
        <v>0</v>
      </c>
      <c r="I199" s="610"/>
    </row>
    <row r="200" spans="1:9" ht="15" customHeight="1" x14ac:dyDescent="0.35">
      <c r="A200" s="2978"/>
      <c r="B200" s="105">
        <v>53214040000000</v>
      </c>
      <c r="C200" s="1102" t="s">
        <v>150</v>
      </c>
      <c r="D200" s="944"/>
      <c r="E200" s="114"/>
      <c r="F200" s="116"/>
      <c r="G200" s="1106">
        <f t="shared" si="33"/>
        <v>0</v>
      </c>
      <c r="H200" s="1107">
        <f t="shared" si="34"/>
        <v>0</v>
      </c>
      <c r="I200" s="610"/>
    </row>
    <row r="201" spans="1:9" ht="15" customHeight="1" x14ac:dyDescent="0.35">
      <c r="A201" s="2978"/>
      <c r="B201" s="105">
        <v>55201010100004</v>
      </c>
      <c r="C201" s="1102" t="s">
        <v>151</v>
      </c>
      <c r="D201" s="944"/>
      <c r="E201" s="1114">
        <v>0</v>
      </c>
      <c r="F201" s="116"/>
      <c r="G201" s="1106">
        <f t="shared" si="33"/>
        <v>0</v>
      </c>
      <c r="H201" s="1107">
        <f t="shared" si="34"/>
        <v>0</v>
      </c>
      <c r="I201" s="610"/>
    </row>
    <row r="202" spans="1:9" ht="15" customHeight="1" x14ac:dyDescent="0.35">
      <c r="A202" s="2978"/>
      <c r="B202" s="105">
        <v>55201010100005</v>
      </c>
      <c r="C202" s="1102" t="s">
        <v>152</v>
      </c>
      <c r="D202" s="944"/>
      <c r="E202" s="114"/>
      <c r="F202" s="116"/>
      <c r="G202" s="1106">
        <f t="shared" si="33"/>
        <v>0</v>
      </c>
      <c r="H202" s="1107">
        <f t="shared" si="34"/>
        <v>0</v>
      </c>
      <c r="I202" s="610"/>
    </row>
    <row r="203" spans="1:9" ht="15" customHeight="1" x14ac:dyDescent="0.35">
      <c r="A203" s="2978"/>
      <c r="B203" s="1043"/>
      <c r="C203" s="1097" t="s">
        <v>153</v>
      </c>
      <c r="D203" s="1098">
        <f>SUM(D204:D212)</f>
        <v>1422900</v>
      </c>
      <c r="E203" s="1108"/>
      <c r="F203" s="1108"/>
      <c r="G203" s="1100">
        <f>SUM(G204:G212)</f>
        <v>0</v>
      </c>
      <c r="H203" s="1026">
        <f>SUM(H204:H212)</f>
        <v>1422900</v>
      </c>
      <c r="I203" s="610"/>
    </row>
    <row r="204" spans="1:9" ht="15" customHeight="1" x14ac:dyDescent="0.35">
      <c r="A204" s="2978"/>
      <c r="B204" s="105">
        <v>53207010000000</v>
      </c>
      <c r="C204" s="1102" t="s">
        <v>154</v>
      </c>
      <c r="D204" s="944"/>
      <c r="E204" s="115"/>
      <c r="F204" s="116"/>
      <c r="G204" s="1106">
        <f t="shared" ref="G204:G212" si="35">E204*F204</f>
        <v>0</v>
      </c>
      <c r="H204" s="1107">
        <f t="shared" ref="H204:H212" si="36">D204+G204</f>
        <v>0</v>
      </c>
      <c r="I204" s="610"/>
    </row>
    <row r="205" spans="1:9" ht="15" customHeight="1" x14ac:dyDescent="0.35">
      <c r="A205" s="2978"/>
      <c r="B205" s="105">
        <v>53207020000000</v>
      </c>
      <c r="C205" s="1102" t="s">
        <v>155</v>
      </c>
      <c r="D205" s="944"/>
      <c r="E205" s="115"/>
      <c r="F205" s="116"/>
      <c r="G205" s="1106">
        <f t="shared" si="35"/>
        <v>0</v>
      </c>
      <c r="H205" s="1107">
        <f t="shared" si="36"/>
        <v>0</v>
      </c>
      <c r="I205" s="610"/>
    </row>
    <row r="206" spans="1:9" ht="15" customHeight="1" x14ac:dyDescent="0.35">
      <c r="A206" s="2978"/>
      <c r="B206" s="105">
        <v>53208020000000</v>
      </c>
      <c r="C206" s="1102" t="s">
        <v>156</v>
      </c>
      <c r="D206" s="944">
        <v>561000</v>
      </c>
      <c r="E206" s="115"/>
      <c r="F206" s="116"/>
      <c r="G206" s="1106">
        <f t="shared" si="35"/>
        <v>0</v>
      </c>
      <c r="H206" s="1107">
        <f t="shared" si="36"/>
        <v>561000</v>
      </c>
      <c r="I206" s="619"/>
    </row>
    <row r="207" spans="1:9" ht="15" customHeight="1" x14ac:dyDescent="0.35">
      <c r="A207" s="2978"/>
      <c r="B207" s="105">
        <v>53208990000000</v>
      </c>
      <c r="C207" s="1102" t="s">
        <v>157</v>
      </c>
      <c r="D207" s="944">
        <v>861900</v>
      </c>
      <c r="E207" s="115"/>
      <c r="F207" s="116"/>
      <c r="G207" s="1106">
        <f t="shared" si="35"/>
        <v>0</v>
      </c>
      <c r="H207" s="1107">
        <f t="shared" si="36"/>
        <v>861900</v>
      </c>
      <c r="I207" s="610"/>
    </row>
    <row r="208" spans="1:9" ht="15" customHeight="1" x14ac:dyDescent="0.35">
      <c r="A208" s="2978"/>
      <c r="B208" s="105">
        <v>53209010000000</v>
      </c>
      <c r="C208" s="1102" t="s">
        <v>158</v>
      </c>
      <c r="D208" s="944"/>
      <c r="E208" s="115"/>
      <c r="F208" s="116"/>
      <c r="G208" s="1106">
        <f t="shared" si="35"/>
        <v>0</v>
      </c>
      <c r="H208" s="1107">
        <f t="shared" si="36"/>
        <v>0</v>
      </c>
      <c r="I208" s="610"/>
    </row>
    <row r="209" spans="1:9" ht="15" customHeight="1" x14ac:dyDescent="0.35">
      <c r="A209" s="2978"/>
      <c r="B209" s="105">
        <v>53209040000000</v>
      </c>
      <c r="C209" s="1102" t="s">
        <v>159</v>
      </c>
      <c r="D209" s="944"/>
      <c r="E209" s="115"/>
      <c r="F209" s="116"/>
      <c r="G209" s="1106">
        <f t="shared" si="35"/>
        <v>0</v>
      </c>
      <c r="H209" s="1107">
        <f t="shared" si="36"/>
        <v>0</v>
      </c>
      <c r="I209" s="610"/>
    </row>
    <row r="210" spans="1:9" ht="15" customHeight="1" x14ac:dyDescent="0.35">
      <c r="A210" s="2978"/>
      <c r="B210" s="105">
        <v>53209050000000</v>
      </c>
      <c r="C210" s="1102" t="s">
        <v>160</v>
      </c>
      <c r="D210" s="944"/>
      <c r="E210" s="115"/>
      <c r="F210" s="116"/>
      <c r="G210" s="1106">
        <f t="shared" si="35"/>
        <v>0</v>
      </c>
      <c r="H210" s="1107">
        <f t="shared" si="36"/>
        <v>0</v>
      </c>
      <c r="I210" s="610"/>
    </row>
    <row r="211" spans="1:9" ht="15" customHeight="1" x14ac:dyDescent="0.35">
      <c r="A211" s="2978"/>
      <c r="B211" s="105">
        <v>53209990000000</v>
      </c>
      <c r="C211" s="1102" t="s">
        <v>161</v>
      </c>
      <c r="D211" s="944"/>
      <c r="E211" s="115"/>
      <c r="F211" s="116"/>
      <c r="G211" s="1106">
        <f t="shared" si="35"/>
        <v>0</v>
      </c>
      <c r="H211" s="1107">
        <f t="shared" si="36"/>
        <v>0</v>
      </c>
      <c r="I211" s="610"/>
    </row>
    <row r="212" spans="1:9" ht="15" customHeight="1" x14ac:dyDescent="0.35">
      <c r="A212" s="2978"/>
      <c r="B212" s="105">
        <v>53210020100000</v>
      </c>
      <c r="C212" s="1102" t="s">
        <v>162</v>
      </c>
      <c r="D212" s="944"/>
      <c r="E212" s="115"/>
      <c r="F212" s="116"/>
      <c r="G212" s="1106">
        <f t="shared" si="35"/>
        <v>0</v>
      </c>
      <c r="H212" s="1107">
        <f t="shared" si="36"/>
        <v>0</v>
      </c>
      <c r="I212" s="610"/>
    </row>
    <row r="213" spans="1:9" ht="15" customHeight="1" x14ac:dyDescent="0.35">
      <c r="A213" s="2978"/>
      <c r="B213" s="1043"/>
      <c r="C213" s="1097" t="s">
        <v>163</v>
      </c>
      <c r="D213" s="1098">
        <f>SUM(D214:D220)</f>
        <v>6712380</v>
      </c>
      <c r="E213" s="1108"/>
      <c r="F213" s="1108"/>
      <c r="G213" s="1100">
        <f>SUM(G214:G220)</f>
        <v>0</v>
      </c>
      <c r="H213" s="1026">
        <f>SUM(H214:H220)</f>
        <v>6712380</v>
      </c>
      <c r="I213" s="610"/>
    </row>
    <row r="214" spans="1:9" ht="15" customHeight="1" x14ac:dyDescent="0.35">
      <c r="A214" s="2978"/>
      <c r="B214" s="105">
        <v>53206030000000</v>
      </c>
      <c r="C214" s="1102" t="s">
        <v>164</v>
      </c>
      <c r="D214" s="944">
        <v>223380</v>
      </c>
      <c r="E214" s="115"/>
      <c r="F214" s="116"/>
      <c r="G214" s="1106">
        <f t="shared" ref="G214:G220" si="37">E214*F214</f>
        <v>0</v>
      </c>
      <c r="H214" s="1107">
        <f t="shared" ref="H214:H220" si="38">D214+G214</f>
        <v>223380</v>
      </c>
      <c r="I214" s="610"/>
    </row>
    <row r="215" spans="1:9" ht="15" customHeight="1" x14ac:dyDescent="0.35">
      <c r="A215" s="2978"/>
      <c r="B215" s="105">
        <v>53206040000000</v>
      </c>
      <c r="C215" s="1102" t="s">
        <v>165</v>
      </c>
      <c r="D215" s="944"/>
      <c r="E215" s="115"/>
      <c r="F215" s="116"/>
      <c r="G215" s="1106">
        <f t="shared" si="37"/>
        <v>0</v>
      </c>
      <c r="H215" s="1107">
        <f t="shared" si="38"/>
        <v>0</v>
      </c>
      <c r="I215" s="610"/>
    </row>
    <row r="216" spans="1:9" ht="15" customHeight="1" x14ac:dyDescent="0.35">
      <c r="A216" s="2978"/>
      <c r="B216" s="105">
        <v>53206060000000</v>
      </c>
      <c r="C216" s="1102" t="s">
        <v>166</v>
      </c>
      <c r="D216" s="944">
        <f>+CRLM!D69</f>
        <v>4704000</v>
      </c>
      <c r="E216" s="115"/>
      <c r="F216" s="116"/>
      <c r="G216" s="1106">
        <f t="shared" si="37"/>
        <v>0</v>
      </c>
      <c r="H216" s="1107">
        <f t="shared" si="38"/>
        <v>4704000</v>
      </c>
      <c r="I216" s="610"/>
    </row>
    <row r="217" spans="1:9" ht="15" customHeight="1" x14ac:dyDescent="0.35">
      <c r="A217" s="2978"/>
      <c r="B217" s="105">
        <v>53206070000000</v>
      </c>
      <c r="C217" s="1102" t="s">
        <v>167</v>
      </c>
      <c r="D217" s="944"/>
      <c r="E217" s="115"/>
      <c r="F217" s="116"/>
      <c r="G217" s="1106">
        <f t="shared" si="37"/>
        <v>0</v>
      </c>
      <c r="H217" s="1107">
        <f t="shared" si="38"/>
        <v>0</v>
      </c>
      <c r="I217" s="610"/>
    </row>
    <row r="218" spans="1:9" ht="15" customHeight="1" x14ac:dyDescent="0.35">
      <c r="A218" s="2978"/>
      <c r="B218" s="105">
        <v>53206990000000</v>
      </c>
      <c r="C218" s="1102" t="s">
        <v>168</v>
      </c>
      <c r="D218" s="944">
        <f>+CRLM!D77</f>
        <v>1260000</v>
      </c>
      <c r="E218" s="115"/>
      <c r="F218" s="116"/>
      <c r="G218" s="1106">
        <f t="shared" si="37"/>
        <v>0</v>
      </c>
      <c r="H218" s="1107">
        <f t="shared" si="38"/>
        <v>1260000</v>
      </c>
      <c r="I218" s="610"/>
    </row>
    <row r="219" spans="1:9" ht="15" customHeight="1" x14ac:dyDescent="0.35">
      <c r="A219" s="2978"/>
      <c r="B219" s="105">
        <v>53208030000000</v>
      </c>
      <c r="C219" s="1102" t="s">
        <v>169</v>
      </c>
      <c r="D219" s="944"/>
      <c r="E219" s="115"/>
      <c r="F219" s="116"/>
      <c r="G219" s="1106">
        <f t="shared" si="37"/>
        <v>0</v>
      </c>
      <c r="H219" s="1107">
        <f t="shared" si="38"/>
        <v>0</v>
      </c>
      <c r="I219" s="610"/>
    </row>
    <row r="220" spans="1:9" ht="15" customHeight="1" x14ac:dyDescent="0.35">
      <c r="A220" s="2978"/>
      <c r="B220" s="105">
        <v>53212060000000</v>
      </c>
      <c r="C220" s="1102" t="s">
        <v>170</v>
      </c>
      <c r="D220" s="944">
        <f>+CRLM!D81</f>
        <v>525000</v>
      </c>
      <c r="E220" s="114"/>
      <c r="F220" s="116"/>
      <c r="G220" s="1106">
        <f t="shared" si="37"/>
        <v>0</v>
      </c>
      <c r="H220" s="1107">
        <f t="shared" si="38"/>
        <v>525000</v>
      </c>
      <c r="I220" s="610"/>
    </row>
    <row r="221" spans="1:9" ht="15" customHeight="1" x14ac:dyDescent="0.35">
      <c r="A221" s="2978"/>
      <c r="B221" s="1043"/>
      <c r="C221" s="1097" t="s">
        <v>171</v>
      </c>
      <c r="D221" s="1098">
        <f>SUM(D222:D223)</f>
        <v>882000</v>
      </c>
      <c r="E221" s="1108"/>
      <c r="F221" s="1108"/>
      <c r="G221" s="1100">
        <f>SUM(G222:G223)</f>
        <v>0</v>
      </c>
      <c r="H221" s="1026">
        <f>SUM(H222:H223)</f>
        <v>882000</v>
      </c>
      <c r="I221" s="610"/>
    </row>
    <row r="222" spans="1:9" ht="15" customHeight="1" x14ac:dyDescent="0.35">
      <c r="A222" s="2978"/>
      <c r="B222" s="105">
        <v>53210020500000</v>
      </c>
      <c r="C222" s="1102" t="s">
        <v>172</v>
      </c>
      <c r="D222" s="944"/>
      <c r="E222" s="114"/>
      <c r="F222" s="116"/>
      <c r="G222" s="1106">
        <f t="shared" ref="G222:G223" si="39">E222*F222</f>
        <v>0</v>
      </c>
      <c r="H222" s="1115">
        <f t="shared" ref="H222:H223" si="40">D222+G222</f>
        <v>0</v>
      </c>
      <c r="I222" s="610"/>
    </row>
    <row r="223" spans="1:9" ht="15" customHeight="1" x14ac:dyDescent="0.35">
      <c r="A223" s="2978"/>
      <c r="B223" s="1053">
        <v>53204999000000</v>
      </c>
      <c r="C223" s="1071" t="s">
        <v>173</v>
      </c>
      <c r="D223" s="944">
        <f>+CRLM!D83</f>
        <v>882000</v>
      </c>
      <c r="E223" s="115"/>
      <c r="F223" s="116"/>
      <c r="G223" s="1075">
        <f t="shared" si="39"/>
        <v>0</v>
      </c>
      <c r="H223" s="1052">
        <f t="shared" si="40"/>
        <v>882000</v>
      </c>
      <c r="I223" s="610"/>
    </row>
    <row r="224" spans="1:9" ht="15" customHeight="1" x14ac:dyDescent="0.35">
      <c r="A224" s="2979"/>
      <c r="B224" s="1116"/>
      <c r="C224" s="1117" t="s">
        <v>12</v>
      </c>
      <c r="D224" s="1118">
        <f>SUM(D155,D183)</f>
        <v>87260558.092193961</v>
      </c>
      <c r="E224" s="1119"/>
      <c r="F224" s="1119"/>
      <c r="G224" s="1118">
        <f>SUM(G155,G183)</f>
        <v>0</v>
      </c>
      <c r="H224" s="1120">
        <f>SUM(H155,H183)</f>
        <v>87260558.092193961</v>
      </c>
      <c r="I224" s="593"/>
    </row>
    <row r="225" spans="1:9" ht="15" customHeight="1" x14ac:dyDescent="0.35">
      <c r="A225" s="2966" t="s">
        <v>21</v>
      </c>
      <c r="B225" s="2980" t="s">
        <v>97</v>
      </c>
      <c r="C225" s="2982" t="s">
        <v>98</v>
      </c>
      <c r="D225" s="2983" t="s">
        <v>99</v>
      </c>
      <c r="E225" s="2984" t="s">
        <v>100</v>
      </c>
      <c r="F225" s="2984"/>
      <c r="G225" s="2984"/>
      <c r="H225" s="2992" t="str">
        <f>+H153</f>
        <v>COSTO DIRECTO ESTIMADO 2026</v>
      </c>
      <c r="I225" s="2987" t="s">
        <v>101</v>
      </c>
    </row>
    <row r="226" spans="1:9" ht="38.25" customHeight="1" x14ac:dyDescent="0.35">
      <c r="A226" s="2967"/>
      <c r="B226" s="2981"/>
      <c r="C226" s="2999"/>
      <c r="D226" s="3001"/>
      <c r="E226" s="1121" t="s">
        <v>102</v>
      </c>
      <c r="F226" s="117" t="s">
        <v>103</v>
      </c>
      <c r="G226" s="1122" t="s">
        <v>104</v>
      </c>
      <c r="H226" s="2993"/>
      <c r="I226" s="2987"/>
    </row>
    <row r="227" spans="1:9" ht="15" customHeight="1" x14ac:dyDescent="0.35">
      <c r="A227" s="2995" t="str">
        <f>+'B) Reajuste Tarifas y Ocupación'!A45</f>
        <v>Piscina C.R. Los Maitenes (Alto)</v>
      </c>
      <c r="B227" s="1123"/>
      <c r="C227" s="1124" t="s">
        <v>105</v>
      </c>
      <c r="D227" s="1125">
        <f>SUM(D228,D233,D235)</f>
        <v>20760852.901221666</v>
      </c>
      <c r="E227" s="1126"/>
      <c r="F227" s="1126"/>
      <c r="G227" s="1125">
        <f>SUM(G228,G233,G235)</f>
        <v>0</v>
      </c>
      <c r="H227" s="1127">
        <f>SUM(H228,H233,H235)</f>
        <v>20760852.901221666</v>
      </c>
      <c r="I227" s="620"/>
    </row>
    <row r="228" spans="1:9" ht="15" customHeight="1" x14ac:dyDescent="0.35">
      <c r="A228" s="2978"/>
      <c r="B228" s="1043"/>
      <c r="C228" s="1128" t="s">
        <v>106</v>
      </c>
      <c r="D228" s="1129">
        <f>SUM(D229:D232)</f>
        <v>9592067.9012216665</v>
      </c>
      <c r="E228" s="1130"/>
      <c r="F228" s="1130"/>
      <c r="G228" s="1131">
        <f>SUM(G229:G232)</f>
        <v>0</v>
      </c>
      <c r="H228" s="1132">
        <f>SUM(H229:H232)</f>
        <v>9592067.9012216665</v>
      </c>
      <c r="I228" s="620"/>
    </row>
    <row r="229" spans="1:9" ht="15" customHeight="1" x14ac:dyDescent="0.35">
      <c r="A229" s="2978"/>
      <c r="B229" s="105">
        <v>53103040100000</v>
      </c>
      <c r="C229" s="1133" t="s">
        <v>107</v>
      </c>
      <c r="D229" s="1134">
        <f>+'F) Remuneraciones'!M80</f>
        <v>9592067.9012216665</v>
      </c>
      <c r="E229" s="1135"/>
      <c r="F229" s="1135"/>
      <c r="G229" s="1135"/>
      <c r="H229" s="1136">
        <f>D229+G229</f>
        <v>9592067.9012216665</v>
      </c>
      <c r="I229" s="620"/>
    </row>
    <row r="230" spans="1:9" ht="15" customHeight="1" x14ac:dyDescent="0.35">
      <c r="A230" s="2978"/>
      <c r="B230" s="105">
        <v>53103050000000</v>
      </c>
      <c r="C230" s="1133" t="s">
        <v>108</v>
      </c>
      <c r="D230" s="946"/>
      <c r="E230" s="119"/>
      <c r="F230" s="120"/>
      <c r="G230" s="1137">
        <f>E230*F230</f>
        <v>0</v>
      </c>
      <c r="H230" s="1076">
        <f t="shared" ref="H230:H232" si="41">D230+G230</f>
        <v>0</v>
      </c>
      <c r="I230" s="620"/>
    </row>
    <row r="231" spans="1:9" ht="15" customHeight="1" x14ac:dyDescent="0.35">
      <c r="A231" s="2978"/>
      <c r="B231" s="105">
        <v>53103060000000</v>
      </c>
      <c r="C231" s="1133" t="s">
        <v>109</v>
      </c>
      <c r="D231" s="946"/>
      <c r="E231" s="119"/>
      <c r="F231" s="120"/>
      <c r="G231" s="1137">
        <f t="shared" ref="G231:G232" si="42">E231*F231</f>
        <v>0</v>
      </c>
      <c r="H231" s="1138">
        <f t="shared" si="41"/>
        <v>0</v>
      </c>
      <c r="I231" s="591"/>
    </row>
    <row r="232" spans="1:9" ht="15" customHeight="1" x14ac:dyDescent="0.35">
      <c r="A232" s="2978"/>
      <c r="B232" s="105">
        <v>53103080010000</v>
      </c>
      <c r="C232" s="1133" t="s">
        <v>110</v>
      </c>
      <c r="D232" s="946"/>
      <c r="E232" s="119"/>
      <c r="F232" s="120"/>
      <c r="G232" s="1137">
        <f t="shared" si="42"/>
        <v>0</v>
      </c>
      <c r="H232" s="1138">
        <f t="shared" si="41"/>
        <v>0</v>
      </c>
      <c r="I232" s="591"/>
    </row>
    <row r="233" spans="1:9" ht="15" customHeight="1" x14ac:dyDescent="0.35">
      <c r="A233" s="2978"/>
      <c r="B233" s="1043"/>
      <c r="C233" s="1128" t="s">
        <v>111</v>
      </c>
      <c r="D233" s="1129">
        <f>SUM(D234)</f>
        <v>0</v>
      </c>
      <c r="E233" s="1139"/>
      <c r="F233" s="1139"/>
      <c r="G233" s="1140">
        <f>SUM(G234:G234)</f>
        <v>0</v>
      </c>
      <c r="H233" s="1026">
        <f>SUM(H234:H234)</f>
        <v>0</v>
      </c>
      <c r="I233" s="620"/>
    </row>
    <row r="234" spans="1:9" ht="15" customHeight="1" x14ac:dyDescent="0.35">
      <c r="A234" s="2978"/>
      <c r="B234" s="105">
        <v>55201010100001</v>
      </c>
      <c r="C234" s="1133" t="s">
        <v>112</v>
      </c>
      <c r="D234" s="946"/>
      <c r="E234" s="119"/>
      <c r="F234" s="120"/>
      <c r="G234" s="1137">
        <f t="shared" ref="G234" si="43">E234*F234</f>
        <v>0</v>
      </c>
      <c r="H234" s="1138">
        <f>D234+G234</f>
        <v>0</v>
      </c>
      <c r="I234" s="591"/>
    </row>
    <row r="235" spans="1:9" ht="15" customHeight="1" x14ac:dyDescent="0.35">
      <c r="A235" s="2978"/>
      <c r="B235" s="1043"/>
      <c r="C235" s="1128" t="s">
        <v>113</v>
      </c>
      <c r="D235" s="1129">
        <f>SUM(D236:D254)</f>
        <v>11168785</v>
      </c>
      <c r="E235" s="1139"/>
      <c r="F235" s="1139"/>
      <c r="G235" s="1131">
        <f>SUM(G236:G254)</f>
        <v>0</v>
      </c>
      <c r="H235" s="1026">
        <f>SUM(H236:H254)</f>
        <v>11168785</v>
      </c>
      <c r="I235" s="620"/>
    </row>
    <row r="236" spans="1:9" ht="15" customHeight="1" x14ac:dyDescent="0.35">
      <c r="A236" s="2978"/>
      <c r="B236" s="105">
        <v>53201010100000</v>
      </c>
      <c r="C236" s="1133" t="s">
        <v>114</v>
      </c>
      <c r="D236" s="947"/>
      <c r="E236" s="119"/>
      <c r="F236" s="120"/>
      <c r="G236" s="1137">
        <f t="shared" ref="G236:G254" si="44">E236*F236</f>
        <v>0</v>
      </c>
      <c r="H236" s="1138">
        <f t="shared" ref="H236:H254" si="45">D236+G236</f>
        <v>0</v>
      </c>
      <c r="I236" s="591"/>
    </row>
    <row r="237" spans="1:9" ht="15" customHeight="1" x14ac:dyDescent="0.35">
      <c r="A237" s="2978"/>
      <c r="B237" s="105">
        <v>53202010100000</v>
      </c>
      <c r="C237" s="1133" t="s">
        <v>115</v>
      </c>
      <c r="D237" s="947"/>
      <c r="E237" s="119"/>
      <c r="F237" s="120"/>
      <c r="G237" s="1137">
        <f t="shared" si="44"/>
        <v>0</v>
      </c>
      <c r="H237" s="1138">
        <f t="shared" si="45"/>
        <v>0</v>
      </c>
      <c r="I237" s="591"/>
    </row>
    <row r="238" spans="1:9" ht="15" customHeight="1" x14ac:dyDescent="0.35">
      <c r="A238" s="2978"/>
      <c r="B238" s="105">
        <v>53203010100000</v>
      </c>
      <c r="C238" s="1133" t="s">
        <v>116</v>
      </c>
      <c r="D238" s="947"/>
      <c r="E238" s="119"/>
      <c r="F238" s="120"/>
      <c r="G238" s="1137">
        <f t="shared" si="44"/>
        <v>0</v>
      </c>
      <c r="H238" s="1138">
        <f t="shared" si="45"/>
        <v>0</v>
      </c>
      <c r="I238" s="591"/>
    </row>
    <row r="239" spans="1:9" ht="15" customHeight="1" x14ac:dyDescent="0.35">
      <c r="A239" s="2978"/>
      <c r="B239" s="105">
        <v>53203030000000</v>
      </c>
      <c r="C239" s="1133" t="s">
        <v>117</v>
      </c>
      <c r="D239" s="947"/>
      <c r="E239" s="119"/>
      <c r="F239" s="120"/>
      <c r="G239" s="1137">
        <f t="shared" si="44"/>
        <v>0</v>
      </c>
      <c r="H239" s="1138">
        <f t="shared" si="45"/>
        <v>0</v>
      </c>
      <c r="I239" s="591"/>
    </row>
    <row r="240" spans="1:9" ht="15" customHeight="1" x14ac:dyDescent="0.35">
      <c r="A240" s="2978"/>
      <c r="B240" s="105">
        <v>53204030000000</v>
      </c>
      <c r="C240" s="1133" t="s">
        <v>118</v>
      </c>
      <c r="D240" s="947">
        <v>5465615</v>
      </c>
      <c r="E240" s="119"/>
      <c r="F240" s="120"/>
      <c r="G240" s="1137">
        <f t="shared" si="44"/>
        <v>0</v>
      </c>
      <c r="H240" s="1138">
        <f t="shared" si="45"/>
        <v>5465615</v>
      </c>
      <c r="I240" s="591"/>
    </row>
    <row r="241" spans="1:9" ht="15" customHeight="1" x14ac:dyDescent="0.35">
      <c r="A241" s="2978"/>
      <c r="B241" s="105">
        <v>53204100100001</v>
      </c>
      <c r="C241" s="1133" t="s">
        <v>119</v>
      </c>
      <c r="D241" s="947"/>
      <c r="E241" s="119"/>
      <c r="F241" s="120"/>
      <c r="G241" s="1137">
        <f t="shared" si="44"/>
        <v>0</v>
      </c>
      <c r="H241" s="1138">
        <f t="shared" si="45"/>
        <v>0</v>
      </c>
      <c r="I241" s="591"/>
    </row>
    <row r="242" spans="1:9" ht="15" customHeight="1" x14ac:dyDescent="0.35">
      <c r="A242" s="2978"/>
      <c r="B242" s="105">
        <v>53204130100000</v>
      </c>
      <c r="C242" s="1133" t="s">
        <v>120</v>
      </c>
      <c r="D242" s="947"/>
      <c r="E242" s="119"/>
      <c r="F242" s="120"/>
      <c r="G242" s="1137">
        <f t="shared" si="44"/>
        <v>0</v>
      </c>
      <c r="H242" s="1138">
        <f t="shared" si="45"/>
        <v>0</v>
      </c>
      <c r="I242" s="591"/>
    </row>
    <row r="243" spans="1:9" x14ac:dyDescent="0.35">
      <c r="A243" s="2978"/>
      <c r="B243" s="105">
        <v>53205010100000</v>
      </c>
      <c r="C243" s="1133" t="s">
        <v>121</v>
      </c>
      <c r="D243" s="947">
        <v>2030670</v>
      </c>
      <c r="E243" s="119"/>
      <c r="F243" s="120"/>
      <c r="G243" s="1137">
        <f t="shared" si="44"/>
        <v>0</v>
      </c>
      <c r="H243" s="1138">
        <f t="shared" si="45"/>
        <v>2030670</v>
      </c>
      <c r="I243" s="591"/>
    </row>
    <row r="244" spans="1:9" ht="15" customHeight="1" x14ac:dyDescent="0.35">
      <c r="A244" s="2978"/>
      <c r="B244" s="105">
        <v>53205020100000</v>
      </c>
      <c r="C244" s="1133" t="s">
        <v>122</v>
      </c>
      <c r="D244" s="948">
        <v>3272500</v>
      </c>
      <c r="E244" s="119"/>
      <c r="F244" s="120"/>
      <c r="G244" s="1137">
        <f t="shared" si="44"/>
        <v>0</v>
      </c>
      <c r="H244" s="1138">
        <f t="shared" si="45"/>
        <v>3272500</v>
      </c>
      <c r="I244" s="591"/>
    </row>
    <row r="245" spans="1:9" ht="15" customHeight="1" x14ac:dyDescent="0.35">
      <c r="A245" s="2978"/>
      <c r="B245" s="105">
        <v>53205030100000</v>
      </c>
      <c r="C245" s="1133" t="s">
        <v>123</v>
      </c>
      <c r="D245" s="947">
        <v>400000</v>
      </c>
      <c r="E245" s="119"/>
      <c r="F245" s="120"/>
      <c r="G245" s="1137">
        <f t="shared" si="44"/>
        <v>0</v>
      </c>
      <c r="H245" s="1138">
        <f t="shared" si="45"/>
        <v>400000</v>
      </c>
      <c r="I245" s="591"/>
    </row>
    <row r="246" spans="1:9" ht="15" customHeight="1" x14ac:dyDescent="0.35">
      <c r="A246" s="2978"/>
      <c r="B246" s="105">
        <v>53205050100000</v>
      </c>
      <c r="C246" s="1133" t="s">
        <v>124</v>
      </c>
      <c r="D246" s="947"/>
      <c r="E246" s="119"/>
      <c r="F246" s="120"/>
      <c r="G246" s="1137">
        <f t="shared" si="44"/>
        <v>0</v>
      </c>
      <c r="H246" s="1138">
        <f t="shared" si="45"/>
        <v>0</v>
      </c>
      <c r="I246" s="591"/>
    </row>
    <row r="247" spans="1:9" ht="15" customHeight="1" x14ac:dyDescent="0.35">
      <c r="A247" s="2978"/>
      <c r="B247" s="105">
        <v>53205060100000</v>
      </c>
      <c r="C247" s="1133" t="s">
        <v>125</v>
      </c>
      <c r="D247" s="947"/>
      <c r="E247" s="119"/>
      <c r="F247" s="120"/>
      <c r="G247" s="1137">
        <f t="shared" si="44"/>
        <v>0</v>
      </c>
      <c r="H247" s="1138">
        <f t="shared" si="45"/>
        <v>0</v>
      </c>
      <c r="I247" s="591"/>
    </row>
    <row r="248" spans="1:9" ht="15" customHeight="1" x14ac:dyDescent="0.35">
      <c r="A248" s="2978"/>
      <c r="B248" s="105">
        <v>53205070100000</v>
      </c>
      <c r="C248" s="1133" t="s">
        <v>126</v>
      </c>
      <c r="D248" s="947"/>
      <c r="E248" s="119"/>
      <c r="F248" s="120"/>
      <c r="G248" s="1137">
        <f t="shared" si="44"/>
        <v>0</v>
      </c>
      <c r="H248" s="1138">
        <f t="shared" si="45"/>
        <v>0</v>
      </c>
      <c r="I248" s="591"/>
    </row>
    <row r="249" spans="1:9" ht="15" customHeight="1" x14ac:dyDescent="0.35">
      <c r="A249" s="2978"/>
      <c r="B249" s="105">
        <v>53208010100000</v>
      </c>
      <c r="C249" s="1133" t="s">
        <v>127</v>
      </c>
      <c r="D249" s="947"/>
      <c r="E249" s="119"/>
      <c r="F249" s="120"/>
      <c r="G249" s="1137">
        <f t="shared" si="44"/>
        <v>0</v>
      </c>
      <c r="H249" s="1138">
        <f t="shared" si="45"/>
        <v>0</v>
      </c>
      <c r="I249" s="591"/>
    </row>
    <row r="250" spans="1:9" ht="15" customHeight="1" x14ac:dyDescent="0.35">
      <c r="A250" s="2978"/>
      <c r="B250" s="105">
        <v>53208070100001</v>
      </c>
      <c r="C250" s="1133" t="s">
        <v>128</v>
      </c>
      <c r="D250" s="947"/>
      <c r="E250" s="119"/>
      <c r="F250" s="120"/>
      <c r="G250" s="1137">
        <f t="shared" si="44"/>
        <v>0</v>
      </c>
      <c r="H250" s="1138">
        <f t="shared" si="45"/>
        <v>0</v>
      </c>
      <c r="I250" s="591"/>
    </row>
    <row r="251" spans="1:9" ht="15" customHeight="1" x14ac:dyDescent="0.35">
      <c r="A251" s="2978"/>
      <c r="B251" s="105">
        <v>53208100100001</v>
      </c>
      <c r="C251" s="1133" t="s">
        <v>129</v>
      </c>
      <c r="D251" s="947"/>
      <c r="E251" s="119"/>
      <c r="F251" s="120"/>
      <c r="G251" s="1137">
        <f t="shared" si="44"/>
        <v>0</v>
      </c>
      <c r="H251" s="1138">
        <f t="shared" si="45"/>
        <v>0</v>
      </c>
      <c r="I251" s="591"/>
    </row>
    <row r="252" spans="1:9" ht="15" customHeight="1" x14ac:dyDescent="0.35">
      <c r="A252" s="2978"/>
      <c r="B252" s="105">
        <v>53211030000000</v>
      </c>
      <c r="C252" s="1133" t="s">
        <v>130</v>
      </c>
      <c r="D252" s="947"/>
      <c r="E252" s="119"/>
      <c r="F252" s="120"/>
      <c r="G252" s="1137">
        <f t="shared" si="44"/>
        <v>0</v>
      </c>
      <c r="H252" s="1138">
        <f t="shared" si="45"/>
        <v>0</v>
      </c>
      <c r="I252" s="591"/>
    </row>
    <row r="253" spans="1:9" ht="15" customHeight="1" x14ac:dyDescent="0.35">
      <c r="A253" s="2978"/>
      <c r="B253" s="105">
        <v>53212020100000</v>
      </c>
      <c r="C253" s="1133" t="s">
        <v>131</v>
      </c>
      <c r="D253" s="947"/>
      <c r="E253" s="119"/>
      <c r="F253" s="120"/>
      <c r="G253" s="1137">
        <f t="shared" si="44"/>
        <v>0</v>
      </c>
      <c r="H253" s="1138">
        <f t="shared" si="45"/>
        <v>0</v>
      </c>
      <c r="I253" s="591"/>
    </row>
    <row r="254" spans="1:9" ht="15" customHeight="1" x14ac:dyDescent="0.35">
      <c r="A254" s="2978"/>
      <c r="B254" s="105">
        <v>53214020000000</v>
      </c>
      <c r="C254" s="1133" t="s">
        <v>132</v>
      </c>
      <c r="D254" s="947"/>
      <c r="E254" s="119"/>
      <c r="F254" s="120"/>
      <c r="G254" s="1137">
        <f t="shared" si="44"/>
        <v>0</v>
      </c>
      <c r="H254" s="1138">
        <f t="shared" si="45"/>
        <v>0</v>
      </c>
      <c r="I254" s="591"/>
    </row>
    <row r="255" spans="1:9" ht="15" customHeight="1" x14ac:dyDescent="0.35">
      <c r="A255" s="2978"/>
      <c r="B255" s="1123"/>
      <c r="C255" s="1124" t="s">
        <v>133</v>
      </c>
      <c r="D255" s="1141">
        <f>SUM(D256,D261,D264,D275,D285,D293)</f>
        <v>210798</v>
      </c>
      <c r="E255" s="1126"/>
      <c r="F255" s="1126"/>
      <c r="G255" s="1142">
        <f>SUM(G256,G261,G264,G275,G285,G293)</f>
        <v>0</v>
      </c>
      <c r="H255" s="1042">
        <f>SUM(H256,H261,H264,H275,H285,H293)</f>
        <v>210798</v>
      </c>
      <c r="I255" s="620"/>
    </row>
    <row r="256" spans="1:9" ht="15" customHeight="1" x14ac:dyDescent="0.35">
      <c r="A256" s="2978"/>
      <c r="B256" s="1043"/>
      <c r="C256" s="1128" t="s">
        <v>134</v>
      </c>
      <c r="D256" s="1129">
        <f>SUM(D257:D260)</f>
        <v>210798</v>
      </c>
      <c r="E256" s="1139"/>
      <c r="F256" s="1139"/>
      <c r="G256" s="1140">
        <f>SUM(G257:G260)</f>
        <v>0</v>
      </c>
      <c r="H256" s="1143">
        <f>SUM(H257:H260)</f>
        <v>210798</v>
      </c>
      <c r="I256" s="591"/>
    </row>
    <row r="257" spans="1:9" ht="15" customHeight="1" x14ac:dyDescent="0.35">
      <c r="A257" s="2978"/>
      <c r="B257" s="105">
        <v>53202020100000</v>
      </c>
      <c r="C257" s="1133" t="s">
        <v>135</v>
      </c>
      <c r="D257" s="946">
        <v>210798</v>
      </c>
      <c r="E257" s="119"/>
      <c r="F257" s="120"/>
      <c r="G257" s="1137">
        <f>E257*F257</f>
        <v>0</v>
      </c>
      <c r="H257" s="1138">
        <f t="shared" ref="H257:H260" si="46">D257+G257</f>
        <v>210798</v>
      </c>
      <c r="I257" s="591"/>
    </row>
    <row r="258" spans="1:9" ht="15" customHeight="1" x14ac:dyDescent="0.35">
      <c r="A258" s="2978"/>
      <c r="B258" s="105">
        <v>53202030000000</v>
      </c>
      <c r="C258" s="1133" t="s">
        <v>136</v>
      </c>
      <c r="D258" s="946">
        <v>0</v>
      </c>
      <c r="E258" s="119"/>
      <c r="F258" s="120"/>
      <c r="G258" s="1137">
        <f t="shared" ref="G258:G260" si="47">E258*F258</f>
        <v>0</v>
      </c>
      <c r="H258" s="1138">
        <f t="shared" si="46"/>
        <v>0</v>
      </c>
      <c r="I258" s="591"/>
    </row>
    <row r="259" spans="1:9" ht="15" customHeight="1" x14ac:dyDescent="0.35">
      <c r="A259" s="2978"/>
      <c r="B259" s="105">
        <v>53211020000000</v>
      </c>
      <c r="C259" s="1133" t="s">
        <v>137</v>
      </c>
      <c r="D259" s="946"/>
      <c r="E259" s="119"/>
      <c r="F259" s="120"/>
      <c r="G259" s="1137">
        <f t="shared" si="47"/>
        <v>0</v>
      </c>
      <c r="H259" s="1138">
        <f t="shared" si="46"/>
        <v>0</v>
      </c>
      <c r="I259" s="591"/>
    </row>
    <row r="260" spans="1:9" ht="15" customHeight="1" x14ac:dyDescent="0.35">
      <c r="A260" s="2978"/>
      <c r="B260" s="105">
        <v>53101004030000</v>
      </c>
      <c r="C260" s="1133" t="s">
        <v>138</v>
      </c>
      <c r="D260" s="946"/>
      <c r="E260" s="119"/>
      <c r="F260" s="120"/>
      <c r="G260" s="1137">
        <f t="shared" si="47"/>
        <v>0</v>
      </c>
      <c r="H260" s="1138">
        <f t="shared" si="46"/>
        <v>0</v>
      </c>
      <c r="I260" s="591"/>
    </row>
    <row r="261" spans="1:9" ht="15" customHeight="1" x14ac:dyDescent="0.35">
      <c r="A261" s="2978"/>
      <c r="B261" s="1043"/>
      <c r="C261" s="1128" t="s">
        <v>139</v>
      </c>
      <c r="D261" s="1129">
        <f>SUM(D262:D263)</f>
        <v>0</v>
      </c>
      <c r="E261" s="1139"/>
      <c r="F261" s="1139"/>
      <c r="G261" s="1140">
        <f>SUM(G262:G263)</f>
        <v>0</v>
      </c>
      <c r="H261" s="1143">
        <f>SUM(H262:H263)</f>
        <v>0</v>
      </c>
      <c r="I261" s="591"/>
    </row>
    <row r="262" spans="1:9" ht="15" customHeight="1" x14ac:dyDescent="0.35">
      <c r="A262" s="2978"/>
      <c r="B262" s="105">
        <v>53205080000000</v>
      </c>
      <c r="C262" s="1144" t="s">
        <v>140</v>
      </c>
      <c r="D262" s="946"/>
      <c r="E262" s="119"/>
      <c r="F262" s="120"/>
      <c r="G262" s="1137">
        <f t="shared" ref="G262:G263" si="48">E262*F262</f>
        <v>0</v>
      </c>
      <c r="H262" s="1138">
        <f t="shared" ref="H262:H263" si="49">D262+G262</f>
        <v>0</v>
      </c>
      <c r="I262" s="591"/>
    </row>
    <row r="263" spans="1:9" ht="15" customHeight="1" x14ac:dyDescent="0.35">
      <c r="A263" s="2978"/>
      <c r="B263" s="105">
        <v>53205990000000</v>
      </c>
      <c r="C263" s="1133" t="s">
        <v>141</v>
      </c>
      <c r="D263" s="946"/>
      <c r="E263" s="119"/>
      <c r="F263" s="120"/>
      <c r="G263" s="1137">
        <f t="shared" si="48"/>
        <v>0</v>
      </c>
      <c r="H263" s="1138">
        <f t="shared" si="49"/>
        <v>0</v>
      </c>
      <c r="I263" s="591"/>
    </row>
    <row r="264" spans="1:9" ht="15" customHeight="1" x14ac:dyDescent="0.35">
      <c r="A264" s="2978"/>
      <c r="B264" s="1043"/>
      <c r="C264" s="1128" t="s">
        <v>142</v>
      </c>
      <c r="D264" s="1129">
        <f>SUM(D265:D274)</f>
        <v>0</v>
      </c>
      <c r="E264" s="1139"/>
      <c r="F264" s="1139"/>
      <c r="G264" s="1131">
        <f>SUM(G265:G274)</f>
        <v>0</v>
      </c>
      <c r="H264" s="1026">
        <f>SUM(H265:H274)</f>
        <v>0</v>
      </c>
      <c r="I264" s="620"/>
    </row>
    <row r="265" spans="1:9" ht="15" customHeight="1" x14ac:dyDescent="0.35">
      <c r="A265" s="2978"/>
      <c r="B265" s="105">
        <v>53203010200000</v>
      </c>
      <c r="C265" s="1133" t="s">
        <v>143</v>
      </c>
      <c r="D265" s="946"/>
      <c r="E265" s="118"/>
      <c r="F265" s="120"/>
      <c r="G265" s="1137">
        <f t="shared" ref="G265:G274" si="50">E265*F265</f>
        <v>0</v>
      </c>
      <c r="H265" s="1138">
        <f t="shared" ref="H265:H274" si="51">D265+G265</f>
        <v>0</v>
      </c>
      <c r="I265" s="591"/>
    </row>
    <row r="266" spans="1:9" ht="15" customHeight="1" x14ac:dyDescent="0.35">
      <c r="A266" s="2978"/>
      <c r="B266" s="105">
        <v>53204010000000</v>
      </c>
      <c r="C266" s="1133" t="s">
        <v>144</v>
      </c>
      <c r="D266" s="946"/>
      <c r="E266" s="119"/>
      <c r="F266" s="120"/>
      <c r="G266" s="1137">
        <f t="shared" si="50"/>
        <v>0</v>
      </c>
      <c r="H266" s="1138">
        <f t="shared" si="51"/>
        <v>0</v>
      </c>
      <c r="I266" s="591"/>
    </row>
    <row r="267" spans="1:9" ht="15" customHeight="1" x14ac:dyDescent="0.35">
      <c r="A267" s="2978"/>
      <c r="B267" s="105">
        <v>53204040200000</v>
      </c>
      <c r="C267" s="1144" t="s">
        <v>145</v>
      </c>
      <c r="D267" s="946"/>
      <c r="E267" s="119"/>
      <c r="F267" s="120"/>
      <c r="G267" s="1137">
        <f t="shared" si="50"/>
        <v>0</v>
      </c>
      <c r="H267" s="1138">
        <f t="shared" si="51"/>
        <v>0</v>
      </c>
      <c r="I267" s="591"/>
    </row>
    <row r="268" spans="1:9" ht="15" customHeight="1" x14ac:dyDescent="0.35">
      <c r="A268" s="2978"/>
      <c r="B268" s="105">
        <v>53204060000000</v>
      </c>
      <c r="C268" s="1144" t="s">
        <v>146</v>
      </c>
      <c r="D268" s="946"/>
      <c r="E268" s="119"/>
      <c r="F268" s="120"/>
      <c r="G268" s="1137">
        <f t="shared" si="50"/>
        <v>0</v>
      </c>
      <c r="H268" s="1138">
        <f t="shared" si="51"/>
        <v>0</v>
      </c>
      <c r="I268" s="591"/>
    </row>
    <row r="269" spans="1:9" ht="15" customHeight="1" x14ac:dyDescent="0.35">
      <c r="A269" s="2978"/>
      <c r="B269" s="105">
        <v>53204070000000</v>
      </c>
      <c r="C269" s="1133" t="s">
        <v>147</v>
      </c>
      <c r="D269" s="944"/>
      <c r="E269" s="119"/>
      <c r="F269" s="120"/>
      <c r="G269" s="1137">
        <f t="shared" si="50"/>
        <v>0</v>
      </c>
      <c r="H269" s="1138">
        <f t="shared" si="51"/>
        <v>0</v>
      </c>
      <c r="I269" s="591"/>
    </row>
    <row r="270" spans="1:9" ht="15" customHeight="1" x14ac:dyDescent="0.35">
      <c r="A270" s="2978"/>
      <c r="B270" s="105">
        <v>53204080000000</v>
      </c>
      <c r="C270" s="1144" t="s">
        <v>148</v>
      </c>
      <c r="D270" s="946"/>
      <c r="E270" s="119"/>
      <c r="F270" s="120"/>
      <c r="G270" s="1137">
        <f t="shared" si="50"/>
        <v>0</v>
      </c>
      <c r="H270" s="1138">
        <f t="shared" si="51"/>
        <v>0</v>
      </c>
      <c r="I270" s="591"/>
    </row>
    <row r="271" spans="1:9" ht="15" customHeight="1" x14ac:dyDescent="0.35">
      <c r="A271" s="2978"/>
      <c r="B271" s="105">
        <v>53214010000000</v>
      </c>
      <c r="C271" s="1144" t="s">
        <v>149</v>
      </c>
      <c r="D271" s="946"/>
      <c r="E271" s="119"/>
      <c r="F271" s="120"/>
      <c r="G271" s="1137">
        <f t="shared" si="50"/>
        <v>0</v>
      </c>
      <c r="H271" s="1138">
        <f t="shared" si="51"/>
        <v>0</v>
      </c>
      <c r="I271" s="591"/>
    </row>
    <row r="272" spans="1:9" ht="15" customHeight="1" x14ac:dyDescent="0.35">
      <c r="A272" s="2978"/>
      <c r="B272" s="105">
        <v>53214040000000</v>
      </c>
      <c r="C272" s="1133" t="s">
        <v>150</v>
      </c>
      <c r="D272" s="946"/>
      <c r="E272" s="118"/>
      <c r="F272" s="120"/>
      <c r="G272" s="1137">
        <f t="shared" si="50"/>
        <v>0</v>
      </c>
      <c r="H272" s="1138">
        <f t="shared" si="51"/>
        <v>0</v>
      </c>
      <c r="I272" s="591"/>
    </row>
    <row r="273" spans="1:9" ht="15" customHeight="1" x14ac:dyDescent="0.35">
      <c r="A273" s="2978"/>
      <c r="B273" s="105">
        <v>55201010100004</v>
      </c>
      <c r="C273" s="1133" t="s">
        <v>151</v>
      </c>
      <c r="D273" s="946"/>
      <c r="E273" s="118"/>
      <c r="F273" s="120"/>
      <c r="G273" s="1137">
        <f t="shared" si="50"/>
        <v>0</v>
      </c>
      <c r="H273" s="1138">
        <f t="shared" si="51"/>
        <v>0</v>
      </c>
      <c r="I273" s="591"/>
    </row>
    <row r="274" spans="1:9" ht="15" customHeight="1" x14ac:dyDescent="0.35">
      <c r="A274" s="2978"/>
      <c r="B274" s="105">
        <v>55201010100005</v>
      </c>
      <c r="C274" s="1133" t="s">
        <v>152</v>
      </c>
      <c r="D274" s="946"/>
      <c r="E274" s="118"/>
      <c r="F274" s="120"/>
      <c r="G274" s="1137">
        <f t="shared" si="50"/>
        <v>0</v>
      </c>
      <c r="H274" s="1138">
        <f t="shared" si="51"/>
        <v>0</v>
      </c>
      <c r="I274" s="591"/>
    </row>
    <row r="275" spans="1:9" ht="15" customHeight="1" x14ac:dyDescent="0.35">
      <c r="A275" s="2978"/>
      <c r="B275" s="1043"/>
      <c r="C275" s="1128" t="s">
        <v>153</v>
      </c>
      <c r="D275" s="1129">
        <f>SUM(D276:D284)</f>
        <v>0</v>
      </c>
      <c r="E275" s="1139"/>
      <c r="F275" s="1139"/>
      <c r="G275" s="1131">
        <f>SUM(G276:G284)</f>
        <v>0</v>
      </c>
      <c r="H275" s="1026">
        <f>SUM(H276:H284)</f>
        <v>0</v>
      </c>
      <c r="I275" s="620"/>
    </row>
    <row r="276" spans="1:9" ht="15" customHeight="1" x14ac:dyDescent="0.35">
      <c r="A276" s="2978"/>
      <c r="B276" s="105">
        <v>53207010000000</v>
      </c>
      <c r="C276" s="1133" t="s">
        <v>154</v>
      </c>
      <c r="D276" s="946"/>
      <c r="E276" s="119"/>
      <c r="F276" s="120"/>
      <c r="G276" s="1137">
        <f t="shared" ref="G276:G284" si="52">E276*F276</f>
        <v>0</v>
      </c>
      <c r="H276" s="1138">
        <f t="shared" ref="H276:H284" si="53">D276+G276</f>
        <v>0</v>
      </c>
      <c r="I276" s="591"/>
    </row>
    <row r="277" spans="1:9" ht="15" customHeight="1" x14ac:dyDescent="0.35">
      <c r="A277" s="2978"/>
      <c r="B277" s="105">
        <v>53207020000000</v>
      </c>
      <c r="C277" s="1133" t="s">
        <v>155</v>
      </c>
      <c r="D277" s="946"/>
      <c r="E277" s="119"/>
      <c r="F277" s="120"/>
      <c r="G277" s="1137">
        <f t="shared" si="52"/>
        <v>0</v>
      </c>
      <c r="H277" s="1138">
        <f t="shared" si="53"/>
        <v>0</v>
      </c>
      <c r="I277" s="591" t="s">
        <v>1236</v>
      </c>
    </row>
    <row r="278" spans="1:9" ht="15" customHeight="1" x14ac:dyDescent="0.35">
      <c r="A278" s="2978"/>
      <c r="B278" s="105">
        <v>53208020000000</v>
      </c>
      <c r="C278" s="1133" t="s">
        <v>156</v>
      </c>
      <c r="D278" s="946"/>
      <c r="E278" s="119"/>
      <c r="F278" s="120"/>
      <c r="G278" s="1137">
        <f t="shared" si="52"/>
        <v>0</v>
      </c>
      <c r="H278" s="1138">
        <f t="shared" si="53"/>
        <v>0</v>
      </c>
      <c r="I278" s="591"/>
    </row>
    <row r="279" spans="1:9" ht="15" customHeight="1" x14ac:dyDescent="0.35">
      <c r="A279" s="2978"/>
      <c r="B279" s="105">
        <v>53208990000000</v>
      </c>
      <c r="C279" s="1133" t="s">
        <v>157</v>
      </c>
      <c r="D279" s="946"/>
      <c r="E279" s="119"/>
      <c r="F279" s="120"/>
      <c r="G279" s="1137">
        <f t="shared" si="52"/>
        <v>0</v>
      </c>
      <c r="H279" s="1138">
        <f t="shared" si="53"/>
        <v>0</v>
      </c>
      <c r="I279" s="591"/>
    </row>
    <row r="280" spans="1:9" ht="15" customHeight="1" x14ac:dyDescent="0.35">
      <c r="A280" s="2978"/>
      <c r="B280" s="105">
        <v>53209010000000</v>
      </c>
      <c r="C280" s="1133" t="s">
        <v>158</v>
      </c>
      <c r="D280" s="946"/>
      <c r="E280" s="119"/>
      <c r="F280" s="120"/>
      <c r="G280" s="1137">
        <f t="shared" si="52"/>
        <v>0</v>
      </c>
      <c r="H280" s="1138">
        <f t="shared" si="53"/>
        <v>0</v>
      </c>
      <c r="I280" s="591"/>
    </row>
    <row r="281" spans="1:9" ht="15" customHeight="1" x14ac:dyDescent="0.35">
      <c r="A281" s="2978"/>
      <c r="B281" s="105">
        <v>53209040000000</v>
      </c>
      <c r="C281" s="1133" t="s">
        <v>159</v>
      </c>
      <c r="D281" s="946"/>
      <c r="E281" s="119"/>
      <c r="F281" s="120"/>
      <c r="G281" s="1137">
        <f t="shared" si="52"/>
        <v>0</v>
      </c>
      <c r="H281" s="1138">
        <f t="shared" si="53"/>
        <v>0</v>
      </c>
      <c r="I281" s="591"/>
    </row>
    <row r="282" spans="1:9" ht="15" customHeight="1" x14ac:dyDescent="0.35">
      <c r="A282" s="2978"/>
      <c r="B282" s="105">
        <v>53209050000000</v>
      </c>
      <c r="C282" s="1133" t="s">
        <v>160</v>
      </c>
      <c r="D282" s="946"/>
      <c r="E282" s="119"/>
      <c r="F282" s="120"/>
      <c r="G282" s="1137">
        <f t="shared" si="52"/>
        <v>0</v>
      </c>
      <c r="H282" s="1138">
        <f t="shared" si="53"/>
        <v>0</v>
      </c>
      <c r="I282" s="591"/>
    </row>
    <row r="283" spans="1:9" ht="15" customHeight="1" x14ac:dyDescent="0.35">
      <c r="A283" s="2978"/>
      <c r="B283" s="105">
        <v>53209990000000</v>
      </c>
      <c r="C283" s="1133" t="s">
        <v>161</v>
      </c>
      <c r="D283" s="946"/>
      <c r="E283" s="119"/>
      <c r="F283" s="120"/>
      <c r="G283" s="1137">
        <f t="shared" si="52"/>
        <v>0</v>
      </c>
      <c r="H283" s="1138">
        <f t="shared" si="53"/>
        <v>0</v>
      </c>
      <c r="I283" s="591"/>
    </row>
    <row r="284" spans="1:9" ht="15" customHeight="1" x14ac:dyDescent="0.35">
      <c r="A284" s="2978"/>
      <c r="B284" s="105">
        <v>53210020100000</v>
      </c>
      <c r="C284" s="1133" t="s">
        <v>162</v>
      </c>
      <c r="D284" s="944"/>
      <c r="E284" s="119"/>
      <c r="F284" s="120"/>
      <c r="G284" s="1137">
        <f t="shared" si="52"/>
        <v>0</v>
      </c>
      <c r="H284" s="1138">
        <f t="shared" si="53"/>
        <v>0</v>
      </c>
      <c r="I284" s="591"/>
    </row>
    <row r="285" spans="1:9" ht="15" customHeight="1" x14ac:dyDescent="0.35">
      <c r="A285" s="2978"/>
      <c r="B285" s="1043"/>
      <c r="C285" s="1128" t="s">
        <v>163</v>
      </c>
      <c r="D285" s="1129">
        <f>SUM(D286:D292)</f>
        <v>0</v>
      </c>
      <c r="E285" s="1139"/>
      <c r="F285" s="1139"/>
      <c r="G285" s="1131">
        <f>SUM(G286:G292)</f>
        <v>0</v>
      </c>
      <c r="H285" s="1026">
        <f>SUM(H286:H292)</f>
        <v>0</v>
      </c>
      <c r="I285" s="620"/>
    </row>
    <row r="286" spans="1:9" ht="15" customHeight="1" x14ac:dyDescent="0.35">
      <c r="A286" s="2978"/>
      <c r="B286" s="105">
        <v>53206030000000</v>
      </c>
      <c r="C286" s="1133" t="s">
        <v>164</v>
      </c>
      <c r="D286" s="946"/>
      <c r="E286" s="119"/>
      <c r="F286" s="120"/>
      <c r="G286" s="1137">
        <f t="shared" ref="G286:G292" si="54">E286*F286</f>
        <v>0</v>
      </c>
      <c r="H286" s="1138">
        <f t="shared" ref="H286:H292" si="55">D286+G286</f>
        <v>0</v>
      </c>
      <c r="I286" s="591"/>
    </row>
    <row r="287" spans="1:9" ht="15" customHeight="1" x14ac:dyDescent="0.35">
      <c r="A287" s="2978"/>
      <c r="B287" s="105">
        <v>53206040000000</v>
      </c>
      <c r="C287" s="1133" t="s">
        <v>165</v>
      </c>
      <c r="D287" s="946"/>
      <c r="E287" s="119"/>
      <c r="F287" s="120"/>
      <c r="G287" s="1137">
        <f t="shared" si="54"/>
        <v>0</v>
      </c>
      <c r="H287" s="1138">
        <f t="shared" si="55"/>
        <v>0</v>
      </c>
      <c r="I287" s="591"/>
    </row>
    <row r="288" spans="1:9" ht="15" customHeight="1" x14ac:dyDescent="0.35">
      <c r="A288" s="2978"/>
      <c r="B288" s="105">
        <v>53206060000000</v>
      </c>
      <c r="C288" s="1133" t="s">
        <v>166</v>
      </c>
      <c r="D288" s="946"/>
      <c r="E288" s="119"/>
      <c r="F288" s="120"/>
      <c r="G288" s="1137">
        <f t="shared" si="54"/>
        <v>0</v>
      </c>
      <c r="H288" s="1138">
        <f t="shared" si="55"/>
        <v>0</v>
      </c>
      <c r="I288" s="591"/>
    </row>
    <row r="289" spans="1:9" ht="15" customHeight="1" x14ac:dyDescent="0.35">
      <c r="A289" s="2978"/>
      <c r="B289" s="105">
        <v>53206070000000</v>
      </c>
      <c r="C289" s="1133" t="s">
        <v>167</v>
      </c>
      <c r="D289" s="946"/>
      <c r="E289" s="119"/>
      <c r="F289" s="120"/>
      <c r="G289" s="1137">
        <f t="shared" si="54"/>
        <v>0</v>
      </c>
      <c r="H289" s="1138">
        <f t="shared" si="55"/>
        <v>0</v>
      </c>
      <c r="I289" s="591"/>
    </row>
    <row r="290" spans="1:9" ht="15" customHeight="1" x14ac:dyDescent="0.35">
      <c r="A290" s="2978"/>
      <c r="B290" s="105">
        <v>53206990000000</v>
      </c>
      <c r="C290" s="1133" t="s">
        <v>168</v>
      </c>
      <c r="D290" s="949"/>
      <c r="E290" s="119"/>
      <c r="F290" s="120"/>
      <c r="G290" s="1137">
        <f t="shared" si="54"/>
        <v>0</v>
      </c>
      <c r="H290" s="1138">
        <f t="shared" si="55"/>
        <v>0</v>
      </c>
      <c r="I290" s="591"/>
    </row>
    <row r="291" spans="1:9" ht="15" customHeight="1" x14ac:dyDescent="0.35">
      <c r="A291" s="2978"/>
      <c r="B291" s="105">
        <v>53208030000000</v>
      </c>
      <c r="C291" s="1133" t="s">
        <v>169</v>
      </c>
      <c r="D291" s="946"/>
      <c r="E291" s="119"/>
      <c r="F291" s="120"/>
      <c r="G291" s="1137">
        <f t="shared" si="54"/>
        <v>0</v>
      </c>
      <c r="H291" s="1138">
        <f t="shared" si="55"/>
        <v>0</v>
      </c>
      <c r="I291" s="591"/>
    </row>
    <row r="292" spans="1:9" ht="15" customHeight="1" x14ac:dyDescent="0.35">
      <c r="A292" s="2978"/>
      <c r="B292" s="105">
        <v>53212060000000</v>
      </c>
      <c r="C292" s="1133" t="s">
        <v>170</v>
      </c>
      <c r="D292" s="946"/>
      <c r="E292" s="118"/>
      <c r="F292" s="120"/>
      <c r="G292" s="1137">
        <f t="shared" si="54"/>
        <v>0</v>
      </c>
      <c r="H292" s="1138">
        <f t="shared" si="55"/>
        <v>0</v>
      </c>
      <c r="I292" s="591"/>
    </row>
    <row r="293" spans="1:9" ht="15" customHeight="1" x14ac:dyDescent="0.35">
      <c r="A293" s="2978"/>
      <c r="B293" s="1043"/>
      <c r="C293" s="1128" t="s">
        <v>171</v>
      </c>
      <c r="D293" s="1129">
        <f>SUM(D294:D295)</f>
        <v>0</v>
      </c>
      <c r="E293" s="1139"/>
      <c r="F293" s="1139"/>
      <c r="G293" s="1131">
        <f>SUM(G294:G295)</f>
        <v>0</v>
      </c>
      <c r="H293" s="1026">
        <f>SUM(H294:H295)</f>
        <v>0</v>
      </c>
      <c r="I293" s="620"/>
    </row>
    <row r="294" spans="1:9" ht="15" customHeight="1" x14ac:dyDescent="0.35">
      <c r="A294" s="2978"/>
      <c r="B294" s="105">
        <v>53210020500000</v>
      </c>
      <c r="C294" s="1133" t="s">
        <v>172</v>
      </c>
      <c r="D294" s="946"/>
      <c r="E294" s="118"/>
      <c r="F294" s="120"/>
      <c r="G294" s="1137">
        <f t="shared" ref="G294:G295" si="56">E294*F294</f>
        <v>0</v>
      </c>
      <c r="H294" s="1145">
        <f t="shared" ref="H294:H295" si="57">D294+G294</f>
        <v>0</v>
      </c>
      <c r="I294" s="591"/>
    </row>
    <row r="295" spans="1:9" ht="15" customHeight="1" x14ac:dyDescent="0.35">
      <c r="A295" s="2978"/>
      <c r="B295" s="1053">
        <v>53204999000000</v>
      </c>
      <c r="C295" s="1035" t="s">
        <v>173</v>
      </c>
      <c r="D295" s="946"/>
      <c r="E295" s="119"/>
      <c r="F295" s="120"/>
      <c r="G295" s="1036">
        <f t="shared" si="56"/>
        <v>0</v>
      </c>
      <c r="H295" s="1145">
        <f t="shared" si="57"/>
        <v>0</v>
      </c>
      <c r="I295" s="591"/>
    </row>
    <row r="296" spans="1:9" ht="15" customHeight="1" x14ac:dyDescent="0.35">
      <c r="A296" s="2979"/>
      <c r="B296" s="1146"/>
      <c r="C296" s="1147" t="s">
        <v>12</v>
      </c>
      <c r="D296" s="1148">
        <f>SUM(D227,D255)</f>
        <v>20971650.901221666</v>
      </c>
      <c r="E296" s="1149"/>
      <c r="F296" s="1149"/>
      <c r="G296" s="1148">
        <f>SUM(G227,G255)</f>
        <v>0</v>
      </c>
      <c r="H296" s="1150">
        <f>SUM(H227,H255)</f>
        <v>20971650.901221666</v>
      </c>
      <c r="I296" s="620"/>
    </row>
    <row r="297" spans="1:9" ht="15" customHeight="1" x14ac:dyDescent="0.35">
      <c r="A297" s="2996" t="s">
        <v>21</v>
      </c>
      <c r="B297" s="2997" t="s">
        <v>97</v>
      </c>
      <c r="C297" s="2998" t="s">
        <v>98</v>
      </c>
      <c r="D297" s="3000" t="s">
        <v>99</v>
      </c>
      <c r="E297" s="3002" t="s">
        <v>100</v>
      </c>
      <c r="F297" s="3002"/>
      <c r="G297" s="3002"/>
      <c r="H297" s="3011" t="str">
        <f>+H225</f>
        <v>COSTO DIRECTO ESTIMADO 2026</v>
      </c>
      <c r="I297" s="2987" t="s">
        <v>101</v>
      </c>
    </row>
    <row r="298" spans="1:9" ht="38.25" customHeight="1" x14ac:dyDescent="0.35">
      <c r="A298" s="2967"/>
      <c r="B298" s="2981"/>
      <c r="C298" s="2999"/>
      <c r="D298" s="3001"/>
      <c r="E298" s="1121" t="s">
        <v>102</v>
      </c>
      <c r="F298" s="117" t="s">
        <v>103</v>
      </c>
      <c r="G298" s="1122" t="s">
        <v>104</v>
      </c>
      <c r="H298" s="2993"/>
      <c r="I298" s="2987"/>
    </row>
    <row r="299" spans="1:9" ht="15" customHeight="1" x14ac:dyDescent="0.35">
      <c r="A299" s="3012" t="str">
        <f>+'B) Reajuste Tarifas y Ocupación'!A47</f>
        <v>Piscina C.R. Los Maitenes (Bajo)</v>
      </c>
      <c r="B299" s="1151"/>
      <c r="C299" s="1152" t="s">
        <v>105</v>
      </c>
      <c r="D299" s="1153">
        <f>SUM(D300,D305,D307)</f>
        <v>24620053.901221666</v>
      </c>
      <c r="E299" s="1154"/>
      <c r="F299" s="1154"/>
      <c r="G299" s="1153">
        <f>SUM(G300,G305,G307)</f>
        <v>0</v>
      </c>
      <c r="H299" s="1155">
        <f>SUM(H300,H305,H307)</f>
        <v>24620053.901221666</v>
      </c>
      <c r="I299" s="610"/>
    </row>
    <row r="300" spans="1:9" ht="15" customHeight="1" x14ac:dyDescent="0.35">
      <c r="A300" s="2978"/>
      <c r="B300" s="1043"/>
      <c r="C300" s="1156" t="s">
        <v>106</v>
      </c>
      <c r="D300" s="1157">
        <f>SUM(D301:D304)</f>
        <v>9592067.9012216665</v>
      </c>
      <c r="E300" s="1158"/>
      <c r="F300" s="1158"/>
      <c r="G300" s="1159">
        <f>SUM(G301:G304)</f>
        <v>0</v>
      </c>
      <c r="H300" s="1160">
        <f>SUM(H301:H304)</f>
        <v>9592067.9012216665</v>
      </c>
      <c r="I300" s="610"/>
    </row>
    <row r="301" spans="1:9" ht="15" customHeight="1" x14ac:dyDescent="0.35">
      <c r="A301" s="2978"/>
      <c r="B301" s="105">
        <v>53103040100000</v>
      </c>
      <c r="C301" s="1161" t="s">
        <v>107</v>
      </c>
      <c r="D301" s="1162">
        <f>+'F) Remuneraciones'!M102</f>
        <v>9592067.9012216665</v>
      </c>
      <c r="E301" s="1163"/>
      <c r="F301" s="1163"/>
      <c r="G301" s="1163"/>
      <c r="H301" s="1164">
        <f>D301+G301</f>
        <v>9592067.9012216665</v>
      </c>
      <c r="I301" s="610"/>
    </row>
    <row r="302" spans="1:9" ht="15" customHeight="1" x14ac:dyDescent="0.35">
      <c r="A302" s="2978"/>
      <c r="B302" s="105">
        <v>53103050000000</v>
      </c>
      <c r="C302" s="1161" t="s">
        <v>108</v>
      </c>
      <c r="D302" s="950"/>
      <c r="E302" s="122"/>
      <c r="F302" s="123"/>
      <c r="G302" s="1165">
        <f>E302*F302</f>
        <v>0</v>
      </c>
      <c r="H302" s="1076">
        <f t="shared" ref="H302:H304" si="58">D302+G302</f>
        <v>0</v>
      </c>
      <c r="I302" s="610"/>
    </row>
    <row r="303" spans="1:9" ht="15" customHeight="1" x14ac:dyDescent="0.35">
      <c r="A303" s="2978"/>
      <c r="B303" s="105">
        <v>53103060000000</v>
      </c>
      <c r="C303" s="1161" t="s">
        <v>109</v>
      </c>
      <c r="D303" s="950"/>
      <c r="E303" s="122"/>
      <c r="F303" s="123"/>
      <c r="G303" s="1165">
        <f t="shared" ref="G303:G304" si="59">E303*F303</f>
        <v>0</v>
      </c>
      <c r="H303" s="1166">
        <f t="shared" si="58"/>
        <v>0</v>
      </c>
      <c r="I303" s="610"/>
    </row>
    <row r="304" spans="1:9" ht="15" customHeight="1" x14ac:dyDescent="0.35">
      <c r="A304" s="2978"/>
      <c r="B304" s="105">
        <v>53103080010000</v>
      </c>
      <c r="C304" s="1161" t="s">
        <v>110</v>
      </c>
      <c r="D304" s="950"/>
      <c r="E304" s="122"/>
      <c r="F304" s="123"/>
      <c r="G304" s="1165">
        <f t="shared" si="59"/>
        <v>0</v>
      </c>
      <c r="H304" s="1166">
        <f t="shared" si="58"/>
        <v>0</v>
      </c>
      <c r="I304" s="610"/>
    </row>
    <row r="305" spans="1:9" ht="15" customHeight="1" x14ac:dyDescent="0.35">
      <c r="A305" s="2978"/>
      <c r="B305" s="1043"/>
      <c r="C305" s="1156" t="s">
        <v>111</v>
      </c>
      <c r="D305" s="1157">
        <f>SUM(D306)</f>
        <v>0</v>
      </c>
      <c r="E305" s="1167"/>
      <c r="F305" s="1167"/>
      <c r="G305" s="1168">
        <f>SUM(G306:G306)</f>
        <v>0</v>
      </c>
      <c r="H305" s="1026">
        <f>SUM(H306:H306)</f>
        <v>0</v>
      </c>
      <c r="I305" s="610"/>
    </row>
    <row r="306" spans="1:9" ht="15" customHeight="1" x14ac:dyDescent="0.35">
      <c r="A306" s="2978"/>
      <c r="B306" s="105">
        <v>55201010100001</v>
      </c>
      <c r="C306" s="1161" t="s">
        <v>112</v>
      </c>
      <c r="D306" s="950"/>
      <c r="E306" s="122"/>
      <c r="F306" s="123"/>
      <c r="G306" s="1165">
        <f t="shared" ref="G306" si="60">E306*F306</f>
        <v>0</v>
      </c>
      <c r="H306" s="1166">
        <f>D306+G306</f>
        <v>0</v>
      </c>
      <c r="I306" s="610"/>
    </row>
    <row r="307" spans="1:9" ht="15" customHeight="1" x14ac:dyDescent="0.35">
      <c r="A307" s="2978"/>
      <c r="B307" s="1043"/>
      <c r="C307" s="1156" t="s">
        <v>113</v>
      </c>
      <c r="D307" s="1157">
        <f>SUM(D308:D326)</f>
        <v>15027986</v>
      </c>
      <c r="E307" s="1167"/>
      <c r="F307" s="1167"/>
      <c r="G307" s="1159">
        <f>SUM(G308:G326)</f>
        <v>0</v>
      </c>
      <c r="H307" s="1026">
        <f>SUM(H308:H326)</f>
        <v>15027986</v>
      </c>
      <c r="I307" s="610"/>
    </row>
    <row r="308" spans="1:9" ht="15" customHeight="1" x14ac:dyDescent="0.35">
      <c r="A308" s="2978"/>
      <c r="B308" s="105">
        <v>53201010100000</v>
      </c>
      <c r="C308" s="1161" t="s">
        <v>114</v>
      </c>
      <c r="D308" s="950"/>
      <c r="E308" s="122"/>
      <c r="F308" s="123"/>
      <c r="G308" s="1165">
        <f t="shared" ref="G308:G326" si="61">E308*F308</f>
        <v>0</v>
      </c>
      <c r="H308" s="1166">
        <f t="shared" ref="H308:H326" si="62">D308+G308</f>
        <v>0</v>
      </c>
      <c r="I308" s="610"/>
    </row>
    <row r="309" spans="1:9" ht="15" customHeight="1" x14ac:dyDescent="0.35">
      <c r="A309" s="2978"/>
      <c r="B309" s="105">
        <v>53202010100000</v>
      </c>
      <c r="C309" s="1161" t="s">
        <v>115</v>
      </c>
      <c r="D309" s="950"/>
      <c r="E309" s="122"/>
      <c r="F309" s="123"/>
      <c r="G309" s="1165">
        <f t="shared" si="61"/>
        <v>0</v>
      </c>
      <c r="H309" s="1166">
        <f t="shared" si="62"/>
        <v>0</v>
      </c>
      <c r="I309" s="610"/>
    </row>
    <row r="310" spans="1:9" ht="15" customHeight="1" x14ac:dyDescent="0.35">
      <c r="A310" s="2978"/>
      <c r="B310" s="105">
        <v>53203010100000</v>
      </c>
      <c r="C310" s="1161" t="s">
        <v>116</v>
      </c>
      <c r="D310" s="950"/>
      <c r="E310" s="122"/>
      <c r="F310" s="123"/>
      <c r="G310" s="1165">
        <f t="shared" si="61"/>
        <v>0</v>
      </c>
      <c r="H310" s="1166">
        <f t="shared" si="62"/>
        <v>0</v>
      </c>
      <c r="I310" s="610"/>
    </row>
    <row r="311" spans="1:9" ht="15" customHeight="1" x14ac:dyDescent="0.35">
      <c r="A311" s="2978"/>
      <c r="B311" s="105">
        <v>53203030000000</v>
      </c>
      <c r="C311" s="1161" t="s">
        <v>117</v>
      </c>
      <c r="D311" s="950"/>
      <c r="E311" s="122"/>
      <c r="F311" s="123"/>
      <c r="G311" s="1165">
        <f t="shared" si="61"/>
        <v>0</v>
      </c>
      <c r="H311" s="1166">
        <f t="shared" si="62"/>
        <v>0</v>
      </c>
      <c r="I311" s="610"/>
    </row>
    <row r="312" spans="1:9" ht="15" customHeight="1" x14ac:dyDescent="0.35">
      <c r="A312" s="2978"/>
      <c r="B312" s="105">
        <v>53204030000000</v>
      </c>
      <c r="C312" s="1161" t="s">
        <v>118</v>
      </c>
      <c r="D312" s="950">
        <v>7800000</v>
      </c>
      <c r="E312" s="122"/>
      <c r="F312" s="123"/>
      <c r="G312" s="1165">
        <f t="shared" si="61"/>
        <v>0</v>
      </c>
      <c r="H312" s="1166">
        <f t="shared" si="62"/>
        <v>7800000</v>
      </c>
      <c r="I312" s="610"/>
    </row>
    <row r="313" spans="1:9" ht="15" customHeight="1" x14ac:dyDescent="0.35">
      <c r="A313" s="2978"/>
      <c r="B313" s="105">
        <v>53204100100001</v>
      </c>
      <c r="C313" s="1161" t="s">
        <v>119</v>
      </c>
      <c r="D313" s="950"/>
      <c r="E313" s="122"/>
      <c r="F313" s="123"/>
      <c r="G313" s="1165">
        <f t="shared" si="61"/>
        <v>0</v>
      </c>
      <c r="H313" s="1166">
        <f t="shared" si="62"/>
        <v>0</v>
      </c>
      <c r="I313" s="610"/>
    </row>
    <row r="314" spans="1:9" ht="15" customHeight="1" x14ac:dyDescent="0.35">
      <c r="A314" s="2978"/>
      <c r="B314" s="105">
        <v>53204130100000</v>
      </c>
      <c r="C314" s="1161" t="s">
        <v>120</v>
      </c>
      <c r="D314" s="950"/>
      <c r="E314" s="122"/>
      <c r="F314" s="123"/>
      <c r="G314" s="1165">
        <f t="shared" si="61"/>
        <v>0</v>
      </c>
      <c r="H314" s="1166">
        <f t="shared" si="62"/>
        <v>0</v>
      </c>
      <c r="I314" s="610"/>
    </row>
    <row r="315" spans="1:9" x14ac:dyDescent="0.35">
      <c r="A315" s="2978"/>
      <c r="B315" s="105">
        <v>53205010100000</v>
      </c>
      <c r="C315" s="1161" t="s">
        <v>121</v>
      </c>
      <c r="D315" s="944">
        <v>2030670</v>
      </c>
      <c r="E315" s="122"/>
      <c r="F315" s="123"/>
      <c r="G315" s="1165">
        <f t="shared" si="61"/>
        <v>0</v>
      </c>
      <c r="H315" s="1166">
        <f t="shared" si="62"/>
        <v>2030670</v>
      </c>
      <c r="I315" s="610"/>
    </row>
    <row r="316" spans="1:9" ht="15" customHeight="1" x14ac:dyDescent="0.35">
      <c r="A316" s="2978"/>
      <c r="B316" s="105">
        <v>53205020100000</v>
      </c>
      <c r="C316" s="1161" t="s">
        <v>122</v>
      </c>
      <c r="D316" s="950">
        <v>4760000</v>
      </c>
      <c r="E316" s="122"/>
      <c r="F316" s="123"/>
      <c r="G316" s="1165">
        <f t="shared" si="61"/>
        <v>0</v>
      </c>
      <c r="H316" s="1166">
        <f t="shared" si="62"/>
        <v>4760000</v>
      </c>
      <c r="I316" s="847"/>
    </row>
    <row r="317" spans="1:9" ht="15" customHeight="1" x14ac:dyDescent="0.35">
      <c r="A317" s="2978"/>
      <c r="B317" s="105">
        <v>53205030100000</v>
      </c>
      <c r="C317" s="1161" t="s">
        <v>123</v>
      </c>
      <c r="D317" s="944">
        <v>437316</v>
      </c>
      <c r="E317" s="122"/>
      <c r="F317" s="123"/>
      <c r="G317" s="1165">
        <f t="shared" si="61"/>
        <v>0</v>
      </c>
      <c r="H317" s="1166">
        <f t="shared" si="62"/>
        <v>437316</v>
      </c>
      <c r="I317" s="610"/>
    </row>
    <row r="318" spans="1:9" ht="15" customHeight="1" x14ac:dyDescent="0.35">
      <c r="A318" s="2978"/>
      <c r="B318" s="105">
        <v>53205050100000</v>
      </c>
      <c r="C318" s="1161" t="s">
        <v>124</v>
      </c>
      <c r="D318" s="950"/>
      <c r="E318" s="122"/>
      <c r="F318" s="123"/>
      <c r="G318" s="1165">
        <f t="shared" si="61"/>
        <v>0</v>
      </c>
      <c r="H318" s="1166">
        <f t="shared" si="62"/>
        <v>0</v>
      </c>
      <c r="I318" s="610"/>
    </row>
    <row r="319" spans="1:9" ht="15" customHeight="1" x14ac:dyDescent="0.35">
      <c r="A319" s="2978"/>
      <c r="B319" s="105">
        <v>53205060100000</v>
      </c>
      <c r="C319" s="1161" t="s">
        <v>125</v>
      </c>
      <c r="D319" s="950"/>
      <c r="E319" s="122"/>
      <c r="F319" s="123"/>
      <c r="G319" s="1165">
        <f t="shared" si="61"/>
        <v>0</v>
      </c>
      <c r="H319" s="1166">
        <f t="shared" si="62"/>
        <v>0</v>
      </c>
      <c r="I319" s="610"/>
    </row>
    <row r="320" spans="1:9" ht="15" customHeight="1" x14ac:dyDescent="0.35">
      <c r="A320" s="2978"/>
      <c r="B320" s="105">
        <v>53205070100000</v>
      </c>
      <c r="C320" s="1161" t="s">
        <v>126</v>
      </c>
      <c r="D320" s="950"/>
      <c r="E320" s="122"/>
      <c r="F320" s="123"/>
      <c r="G320" s="1165">
        <f t="shared" si="61"/>
        <v>0</v>
      </c>
      <c r="H320" s="1166">
        <f t="shared" si="62"/>
        <v>0</v>
      </c>
      <c r="I320" s="610"/>
    </row>
    <row r="321" spans="1:9" ht="15" customHeight="1" x14ac:dyDescent="0.35">
      <c r="A321" s="2978"/>
      <c r="B321" s="105">
        <v>53208010100000</v>
      </c>
      <c r="C321" s="1161" t="s">
        <v>127</v>
      </c>
      <c r="D321" s="946"/>
      <c r="E321" s="122"/>
      <c r="F321" s="123"/>
      <c r="G321" s="1165">
        <f t="shared" si="61"/>
        <v>0</v>
      </c>
      <c r="H321" s="1166">
        <f t="shared" si="62"/>
        <v>0</v>
      </c>
      <c r="I321" s="610"/>
    </row>
    <row r="322" spans="1:9" ht="15" customHeight="1" x14ac:dyDescent="0.35">
      <c r="A322" s="2978"/>
      <c r="B322" s="105">
        <v>53208070100001</v>
      </c>
      <c r="C322" s="1161" t="s">
        <v>128</v>
      </c>
      <c r="D322" s="950"/>
      <c r="E322" s="122"/>
      <c r="F322" s="123"/>
      <c r="G322" s="1165">
        <f t="shared" si="61"/>
        <v>0</v>
      </c>
      <c r="H322" s="1166">
        <f t="shared" si="62"/>
        <v>0</v>
      </c>
      <c r="I322" s="610"/>
    </row>
    <row r="323" spans="1:9" ht="15" customHeight="1" x14ac:dyDescent="0.35">
      <c r="A323" s="2978"/>
      <c r="B323" s="105">
        <v>53208100100001</v>
      </c>
      <c r="C323" s="1161" t="s">
        <v>129</v>
      </c>
      <c r="D323" s="950"/>
      <c r="E323" s="122"/>
      <c r="F323" s="123"/>
      <c r="G323" s="1165">
        <f t="shared" si="61"/>
        <v>0</v>
      </c>
      <c r="H323" s="1166">
        <f t="shared" si="62"/>
        <v>0</v>
      </c>
      <c r="I323" s="610"/>
    </row>
    <row r="324" spans="1:9" ht="15" customHeight="1" x14ac:dyDescent="0.35">
      <c r="A324" s="2978"/>
      <c r="B324" s="105">
        <v>53211030000000</v>
      </c>
      <c r="C324" s="1161" t="s">
        <v>130</v>
      </c>
      <c r="D324" s="950"/>
      <c r="E324" s="122"/>
      <c r="F324" s="123"/>
      <c r="G324" s="1165">
        <f t="shared" si="61"/>
        <v>0</v>
      </c>
      <c r="H324" s="1166">
        <f t="shared" si="62"/>
        <v>0</v>
      </c>
      <c r="I324" s="610"/>
    </row>
    <row r="325" spans="1:9" ht="15" customHeight="1" x14ac:dyDescent="0.35">
      <c r="A325" s="2978"/>
      <c r="B325" s="105">
        <v>53212020100000</v>
      </c>
      <c r="C325" s="1161" t="s">
        <v>131</v>
      </c>
      <c r="D325" s="950"/>
      <c r="E325" s="122"/>
      <c r="F325" s="123"/>
      <c r="G325" s="1165">
        <f t="shared" si="61"/>
        <v>0</v>
      </c>
      <c r="H325" s="1166">
        <f t="shared" si="62"/>
        <v>0</v>
      </c>
      <c r="I325" s="610"/>
    </row>
    <row r="326" spans="1:9" ht="15" customHeight="1" x14ac:dyDescent="0.35">
      <c r="A326" s="2978"/>
      <c r="B326" s="105">
        <v>53214020000000</v>
      </c>
      <c r="C326" s="1161" t="s">
        <v>132</v>
      </c>
      <c r="D326" s="950"/>
      <c r="E326" s="122"/>
      <c r="F326" s="123"/>
      <c r="G326" s="1165">
        <f t="shared" si="61"/>
        <v>0</v>
      </c>
      <c r="H326" s="1166">
        <f t="shared" si="62"/>
        <v>0</v>
      </c>
      <c r="I326" s="610"/>
    </row>
    <row r="327" spans="1:9" ht="15" customHeight="1" x14ac:dyDescent="0.35">
      <c r="A327" s="2978"/>
      <c r="B327" s="1151"/>
      <c r="C327" s="1152" t="s">
        <v>133</v>
      </c>
      <c r="D327" s="1169">
        <f>SUM(D328,D333,D336,D347,D357,D365)</f>
        <v>210798</v>
      </c>
      <c r="E327" s="1154"/>
      <c r="F327" s="1154"/>
      <c r="G327" s="1170">
        <f>SUM(G328,G333,G336,G347,G357,G365)</f>
        <v>0</v>
      </c>
      <c r="H327" s="1042">
        <f>SUM(H328,H333,H336,H347,H357,H365)</f>
        <v>210798</v>
      </c>
      <c r="I327" s="610"/>
    </row>
    <row r="328" spans="1:9" ht="15" customHeight="1" x14ac:dyDescent="0.35">
      <c r="A328" s="2978"/>
      <c r="B328" s="1043"/>
      <c r="C328" s="1156" t="s">
        <v>134</v>
      </c>
      <c r="D328" s="1157">
        <f>SUM(D329:D332)</f>
        <v>210798</v>
      </c>
      <c r="E328" s="1167"/>
      <c r="F328" s="1167"/>
      <c r="G328" s="1168">
        <f>SUM(G329:G332)</f>
        <v>0</v>
      </c>
      <c r="H328" s="1171">
        <f>SUM(H329:H332)</f>
        <v>210798</v>
      </c>
      <c r="I328" s="610"/>
    </row>
    <row r="329" spans="1:9" ht="15" customHeight="1" x14ac:dyDescent="0.35">
      <c r="A329" s="2978"/>
      <c r="B329" s="105">
        <v>53202020100000</v>
      </c>
      <c r="C329" s="1161" t="s">
        <v>135</v>
      </c>
      <c r="D329" s="950">
        <v>210798</v>
      </c>
      <c r="E329" s="119"/>
      <c r="F329" s="120"/>
      <c r="G329" s="1165">
        <f>E329*F329</f>
        <v>0</v>
      </c>
      <c r="H329" s="1166">
        <f t="shared" ref="H329:H332" si="63">D329+G329</f>
        <v>210798</v>
      </c>
      <c r="I329" s="610"/>
    </row>
    <row r="330" spans="1:9" ht="15" customHeight="1" x14ac:dyDescent="0.35">
      <c r="A330" s="2978"/>
      <c r="B330" s="105">
        <v>53202030000000</v>
      </c>
      <c r="C330" s="1161" t="s">
        <v>136</v>
      </c>
      <c r="D330" s="950"/>
      <c r="E330" s="122"/>
      <c r="F330" s="123"/>
      <c r="G330" s="1165">
        <f t="shared" ref="G330:G332" si="64">E330*F330</f>
        <v>0</v>
      </c>
      <c r="H330" s="1166">
        <f t="shared" si="63"/>
        <v>0</v>
      </c>
      <c r="I330" s="610"/>
    </row>
    <row r="331" spans="1:9" ht="15" customHeight="1" x14ac:dyDescent="0.35">
      <c r="A331" s="2978"/>
      <c r="B331" s="105">
        <v>53211020000000</v>
      </c>
      <c r="C331" s="1161" t="s">
        <v>137</v>
      </c>
      <c r="D331" s="950"/>
      <c r="E331" s="122"/>
      <c r="F331" s="123"/>
      <c r="G331" s="1165">
        <f t="shared" si="64"/>
        <v>0</v>
      </c>
      <c r="H331" s="1166">
        <f t="shared" si="63"/>
        <v>0</v>
      </c>
      <c r="I331" s="591"/>
    </row>
    <row r="332" spans="1:9" ht="15" customHeight="1" x14ac:dyDescent="0.35">
      <c r="A332" s="2978"/>
      <c r="B332" s="105">
        <v>53101004030000</v>
      </c>
      <c r="C332" s="1161" t="s">
        <v>138</v>
      </c>
      <c r="D332" s="950"/>
      <c r="E332" s="122"/>
      <c r="F332" s="123"/>
      <c r="G332" s="1165">
        <f t="shared" si="64"/>
        <v>0</v>
      </c>
      <c r="H332" s="1166">
        <f t="shared" si="63"/>
        <v>0</v>
      </c>
      <c r="I332" s="591"/>
    </row>
    <row r="333" spans="1:9" ht="15" customHeight="1" x14ac:dyDescent="0.35">
      <c r="A333" s="2978"/>
      <c r="B333" s="1043"/>
      <c r="C333" s="1156" t="s">
        <v>139</v>
      </c>
      <c r="D333" s="1157">
        <f>SUM(D334:D335)</f>
        <v>0</v>
      </c>
      <c r="E333" s="1167"/>
      <c r="F333" s="1167"/>
      <c r="G333" s="1168">
        <f>SUM(G334:G335)</f>
        <v>0</v>
      </c>
      <c r="H333" s="1171">
        <f>SUM(H334:H335)</f>
        <v>0</v>
      </c>
      <c r="I333" s="591"/>
    </row>
    <row r="334" spans="1:9" ht="15" customHeight="1" x14ac:dyDescent="0.35">
      <c r="A334" s="2978"/>
      <c r="B334" s="105">
        <v>53205080000000</v>
      </c>
      <c r="C334" s="1172" t="s">
        <v>140</v>
      </c>
      <c r="D334" s="950"/>
      <c r="E334" s="122"/>
      <c r="F334" s="123"/>
      <c r="G334" s="1165">
        <f t="shared" ref="G334:G335" si="65">E334*F334</f>
        <v>0</v>
      </c>
      <c r="H334" s="1166">
        <f t="shared" ref="H334:H335" si="66">D334+G334</f>
        <v>0</v>
      </c>
      <c r="I334" s="591"/>
    </row>
    <row r="335" spans="1:9" ht="15" customHeight="1" x14ac:dyDescent="0.35">
      <c r="A335" s="2978"/>
      <c r="B335" s="105">
        <v>53205990000000</v>
      </c>
      <c r="C335" s="1161" t="s">
        <v>141</v>
      </c>
      <c r="D335" s="950"/>
      <c r="E335" s="122"/>
      <c r="F335" s="123"/>
      <c r="G335" s="1165">
        <f t="shared" si="65"/>
        <v>0</v>
      </c>
      <c r="H335" s="1166">
        <f t="shared" si="66"/>
        <v>0</v>
      </c>
      <c r="I335" s="591"/>
    </row>
    <row r="336" spans="1:9" ht="15" customHeight="1" x14ac:dyDescent="0.35">
      <c r="A336" s="2978"/>
      <c r="B336" s="1043"/>
      <c r="C336" s="1156" t="s">
        <v>142</v>
      </c>
      <c r="D336" s="1157">
        <f>SUM(D337:D346)</f>
        <v>0</v>
      </c>
      <c r="E336" s="1167"/>
      <c r="F336" s="1167"/>
      <c r="G336" s="1159">
        <f>SUM(G337:G346)</f>
        <v>0</v>
      </c>
      <c r="H336" s="1026">
        <f>SUM(H337:H346)</f>
        <v>0</v>
      </c>
      <c r="I336" s="621"/>
    </row>
    <row r="337" spans="1:9" ht="15" customHeight="1" x14ac:dyDescent="0.35">
      <c r="A337" s="2978"/>
      <c r="B337" s="105">
        <v>53203010200000</v>
      </c>
      <c r="C337" s="1161" t="s">
        <v>143</v>
      </c>
      <c r="D337" s="950"/>
      <c r="E337" s="122"/>
      <c r="F337" s="123"/>
      <c r="G337" s="1165">
        <f t="shared" ref="G337:G346" si="67">E337*F337</f>
        <v>0</v>
      </c>
      <c r="H337" s="1166">
        <f t="shared" ref="H337:H346" si="68">D337+G337</f>
        <v>0</v>
      </c>
      <c r="I337" s="591"/>
    </row>
    <row r="338" spans="1:9" ht="15" customHeight="1" x14ac:dyDescent="0.35">
      <c r="A338" s="2978"/>
      <c r="B338" s="105">
        <v>53204010000000</v>
      </c>
      <c r="C338" s="1161" t="s">
        <v>144</v>
      </c>
      <c r="D338" s="950"/>
      <c r="E338" s="122"/>
      <c r="F338" s="123"/>
      <c r="G338" s="1165">
        <f t="shared" si="67"/>
        <v>0</v>
      </c>
      <c r="H338" s="1166">
        <f t="shared" si="68"/>
        <v>0</v>
      </c>
      <c r="I338" s="591"/>
    </row>
    <row r="339" spans="1:9" ht="15" customHeight="1" x14ac:dyDescent="0.35">
      <c r="A339" s="2978"/>
      <c r="B339" s="105">
        <v>53204040200000</v>
      </c>
      <c r="C339" s="1172" t="s">
        <v>145</v>
      </c>
      <c r="D339" s="950"/>
      <c r="E339" s="122"/>
      <c r="F339" s="123"/>
      <c r="G339" s="1165">
        <f t="shared" si="67"/>
        <v>0</v>
      </c>
      <c r="H339" s="1166">
        <f t="shared" si="68"/>
        <v>0</v>
      </c>
      <c r="I339" s="591"/>
    </row>
    <row r="340" spans="1:9" ht="15" customHeight="1" x14ac:dyDescent="0.35">
      <c r="A340" s="2978"/>
      <c r="B340" s="105">
        <v>53204060000000</v>
      </c>
      <c r="C340" s="1172" t="s">
        <v>146</v>
      </c>
      <c r="D340" s="950"/>
      <c r="E340" s="122"/>
      <c r="F340" s="123"/>
      <c r="G340" s="1165">
        <f t="shared" si="67"/>
        <v>0</v>
      </c>
      <c r="H340" s="1166">
        <f t="shared" si="68"/>
        <v>0</v>
      </c>
      <c r="I340" s="591"/>
    </row>
    <row r="341" spans="1:9" ht="15" customHeight="1" x14ac:dyDescent="0.35">
      <c r="A341" s="2978"/>
      <c r="B341" s="105">
        <v>53204070000000</v>
      </c>
      <c r="C341" s="1161" t="s">
        <v>147</v>
      </c>
      <c r="D341" s="944"/>
      <c r="E341" s="122"/>
      <c r="F341" s="123"/>
      <c r="G341" s="1165">
        <f t="shared" si="67"/>
        <v>0</v>
      </c>
      <c r="H341" s="1166">
        <f t="shared" si="68"/>
        <v>0</v>
      </c>
      <c r="I341" s="591"/>
    </row>
    <row r="342" spans="1:9" ht="15" customHeight="1" x14ac:dyDescent="0.35">
      <c r="A342" s="2978"/>
      <c r="B342" s="105">
        <v>53204080000000</v>
      </c>
      <c r="C342" s="1172" t="s">
        <v>148</v>
      </c>
      <c r="D342" s="950"/>
      <c r="E342" s="122"/>
      <c r="F342" s="123"/>
      <c r="G342" s="1165">
        <f t="shared" si="67"/>
        <v>0</v>
      </c>
      <c r="H342" s="1166">
        <f t="shared" si="68"/>
        <v>0</v>
      </c>
      <c r="I342" s="591"/>
    </row>
    <row r="343" spans="1:9" ht="15" customHeight="1" x14ac:dyDescent="0.35">
      <c r="A343" s="2978"/>
      <c r="B343" s="105">
        <v>53214010000000</v>
      </c>
      <c r="C343" s="1172" t="s">
        <v>149</v>
      </c>
      <c r="D343" s="950"/>
      <c r="E343" s="121"/>
      <c r="F343" s="123"/>
      <c r="G343" s="1165">
        <f t="shared" si="67"/>
        <v>0</v>
      </c>
      <c r="H343" s="1166">
        <f t="shared" si="68"/>
        <v>0</v>
      </c>
      <c r="I343" s="591"/>
    </row>
    <row r="344" spans="1:9" ht="15" customHeight="1" x14ac:dyDescent="0.35">
      <c r="A344" s="2978"/>
      <c r="B344" s="105">
        <v>53214040000000</v>
      </c>
      <c r="C344" s="1161" t="s">
        <v>150</v>
      </c>
      <c r="D344" s="950"/>
      <c r="E344" s="121"/>
      <c r="F344" s="123"/>
      <c r="G344" s="1165">
        <f t="shared" si="67"/>
        <v>0</v>
      </c>
      <c r="H344" s="1166">
        <f t="shared" si="68"/>
        <v>0</v>
      </c>
      <c r="I344" s="591"/>
    </row>
    <row r="345" spans="1:9" ht="15" customHeight="1" x14ac:dyDescent="0.35">
      <c r="A345" s="2978"/>
      <c r="B345" s="105">
        <v>55201010100004</v>
      </c>
      <c r="C345" s="1161" t="s">
        <v>151</v>
      </c>
      <c r="D345" s="950"/>
      <c r="E345" s="121"/>
      <c r="F345" s="123"/>
      <c r="G345" s="1165">
        <f t="shared" si="67"/>
        <v>0</v>
      </c>
      <c r="H345" s="1166">
        <f t="shared" si="68"/>
        <v>0</v>
      </c>
      <c r="I345" s="591"/>
    </row>
    <row r="346" spans="1:9" ht="15" customHeight="1" x14ac:dyDescent="0.35">
      <c r="A346" s="2978"/>
      <c r="B346" s="105">
        <v>55201010100005</v>
      </c>
      <c r="C346" s="1161" t="s">
        <v>152</v>
      </c>
      <c r="D346" s="950"/>
      <c r="E346" s="121"/>
      <c r="F346" s="123"/>
      <c r="G346" s="1165">
        <f t="shared" si="67"/>
        <v>0</v>
      </c>
      <c r="H346" s="1166">
        <f t="shared" si="68"/>
        <v>0</v>
      </c>
      <c r="I346" s="591"/>
    </row>
    <row r="347" spans="1:9" ht="15" customHeight="1" x14ac:dyDescent="0.35">
      <c r="A347" s="2978"/>
      <c r="B347" s="1043"/>
      <c r="C347" s="1156" t="s">
        <v>153</v>
      </c>
      <c r="D347" s="1157">
        <f>SUM(D348:D356)</f>
        <v>0</v>
      </c>
      <c r="E347" s="1167"/>
      <c r="F347" s="1167"/>
      <c r="G347" s="1159">
        <f>SUM(G348:G356)</f>
        <v>0</v>
      </c>
      <c r="H347" s="1026">
        <f>SUM(H348:H356)</f>
        <v>0</v>
      </c>
      <c r="I347" s="621"/>
    </row>
    <row r="348" spans="1:9" ht="15" customHeight="1" x14ac:dyDescent="0.35">
      <c r="A348" s="2978"/>
      <c r="B348" s="105">
        <v>53207010000000</v>
      </c>
      <c r="C348" s="1161" t="s">
        <v>154</v>
      </c>
      <c r="D348" s="950"/>
      <c r="E348" s="122"/>
      <c r="F348" s="123"/>
      <c r="G348" s="1165">
        <f t="shared" ref="G348:G356" si="69">E348*F348</f>
        <v>0</v>
      </c>
      <c r="H348" s="1166">
        <f t="shared" ref="H348:H356" si="70">D348+G348</f>
        <v>0</v>
      </c>
      <c r="I348" s="591"/>
    </row>
    <row r="349" spans="1:9" ht="15" customHeight="1" x14ac:dyDescent="0.35">
      <c r="A349" s="2978"/>
      <c r="B349" s="105">
        <v>53207020000000</v>
      </c>
      <c r="C349" s="1161" t="s">
        <v>155</v>
      </c>
      <c r="D349" s="950"/>
      <c r="E349" s="122"/>
      <c r="F349" s="123"/>
      <c r="G349" s="1165">
        <f t="shared" si="69"/>
        <v>0</v>
      </c>
      <c r="H349" s="1166">
        <f t="shared" si="70"/>
        <v>0</v>
      </c>
      <c r="I349" s="591" t="s">
        <v>1236</v>
      </c>
    </row>
    <row r="350" spans="1:9" ht="15" customHeight="1" x14ac:dyDescent="0.35">
      <c r="A350" s="2978"/>
      <c r="B350" s="105">
        <v>53208020000000</v>
      </c>
      <c r="C350" s="1161" t="s">
        <v>156</v>
      </c>
      <c r="D350" s="950"/>
      <c r="E350" s="122"/>
      <c r="F350" s="123"/>
      <c r="G350" s="1165">
        <f t="shared" si="69"/>
        <v>0</v>
      </c>
      <c r="H350" s="1166">
        <f t="shared" si="70"/>
        <v>0</v>
      </c>
      <c r="I350" s="591"/>
    </row>
    <row r="351" spans="1:9" ht="15" customHeight="1" x14ac:dyDescent="0.35">
      <c r="A351" s="2978"/>
      <c r="B351" s="105">
        <v>53208990000000</v>
      </c>
      <c r="C351" s="1161" t="s">
        <v>157</v>
      </c>
      <c r="D351" s="950"/>
      <c r="E351" s="122"/>
      <c r="F351" s="123"/>
      <c r="G351" s="1165">
        <f t="shared" si="69"/>
        <v>0</v>
      </c>
      <c r="H351" s="1166">
        <f t="shared" si="70"/>
        <v>0</v>
      </c>
      <c r="I351" s="591"/>
    </row>
    <row r="352" spans="1:9" ht="15" customHeight="1" x14ac:dyDescent="0.35">
      <c r="A352" s="2978"/>
      <c r="B352" s="105">
        <v>53209010000000</v>
      </c>
      <c r="C352" s="1161" t="s">
        <v>158</v>
      </c>
      <c r="D352" s="950"/>
      <c r="E352" s="122"/>
      <c r="F352" s="123"/>
      <c r="G352" s="1165">
        <f t="shared" si="69"/>
        <v>0</v>
      </c>
      <c r="H352" s="1166">
        <f t="shared" si="70"/>
        <v>0</v>
      </c>
      <c r="I352" s="591"/>
    </row>
    <row r="353" spans="1:9" ht="15" customHeight="1" x14ac:dyDescent="0.35">
      <c r="A353" s="2978"/>
      <c r="B353" s="105">
        <v>53209040000000</v>
      </c>
      <c r="C353" s="1161" t="s">
        <v>159</v>
      </c>
      <c r="D353" s="950"/>
      <c r="E353" s="122"/>
      <c r="F353" s="123"/>
      <c r="G353" s="1165">
        <f t="shared" si="69"/>
        <v>0</v>
      </c>
      <c r="H353" s="1166">
        <f t="shared" si="70"/>
        <v>0</v>
      </c>
      <c r="I353" s="591"/>
    </row>
    <row r="354" spans="1:9" ht="15" customHeight="1" x14ac:dyDescent="0.35">
      <c r="A354" s="2978"/>
      <c r="B354" s="105">
        <v>53209050000000</v>
      </c>
      <c r="C354" s="1161" t="s">
        <v>160</v>
      </c>
      <c r="D354" s="950"/>
      <c r="E354" s="122"/>
      <c r="F354" s="123"/>
      <c r="G354" s="1165">
        <f t="shared" si="69"/>
        <v>0</v>
      </c>
      <c r="H354" s="1166">
        <f t="shared" si="70"/>
        <v>0</v>
      </c>
      <c r="I354" s="591"/>
    </row>
    <row r="355" spans="1:9" ht="15" customHeight="1" x14ac:dyDescent="0.35">
      <c r="A355" s="2978"/>
      <c r="B355" s="105">
        <v>53209990000000</v>
      </c>
      <c r="C355" s="1161" t="s">
        <v>161</v>
      </c>
      <c r="D355" s="950"/>
      <c r="E355" s="122"/>
      <c r="F355" s="123"/>
      <c r="G355" s="1165">
        <f t="shared" si="69"/>
        <v>0</v>
      </c>
      <c r="H355" s="1166">
        <f t="shared" si="70"/>
        <v>0</v>
      </c>
      <c r="I355" s="591"/>
    </row>
    <row r="356" spans="1:9" ht="15" customHeight="1" x14ac:dyDescent="0.35">
      <c r="A356" s="2978"/>
      <c r="B356" s="105">
        <v>53210020100000</v>
      </c>
      <c r="C356" s="1161" t="s">
        <v>162</v>
      </c>
      <c r="D356" s="944"/>
      <c r="E356" s="122"/>
      <c r="F356" s="123"/>
      <c r="G356" s="1165">
        <f t="shared" si="69"/>
        <v>0</v>
      </c>
      <c r="H356" s="1166">
        <f t="shared" si="70"/>
        <v>0</v>
      </c>
      <c r="I356" s="591"/>
    </row>
    <row r="357" spans="1:9" ht="15" customHeight="1" x14ac:dyDescent="0.35">
      <c r="A357" s="2978"/>
      <c r="B357" s="1043"/>
      <c r="C357" s="1156" t="s">
        <v>163</v>
      </c>
      <c r="D357" s="1157">
        <f>SUM(D358:D364)</f>
        <v>0</v>
      </c>
      <c r="E357" s="1167"/>
      <c r="F357" s="1167"/>
      <c r="G357" s="1159">
        <f>SUM(G358:G364)</f>
        <v>0</v>
      </c>
      <c r="H357" s="1026">
        <f>SUM(H358:H364)</f>
        <v>0</v>
      </c>
      <c r="I357" s="621"/>
    </row>
    <row r="358" spans="1:9" ht="15" customHeight="1" x14ac:dyDescent="0.35">
      <c r="A358" s="2978"/>
      <c r="B358" s="105">
        <v>53206030000000</v>
      </c>
      <c r="C358" s="1161" t="s">
        <v>164</v>
      </c>
      <c r="D358" s="950"/>
      <c r="E358" s="122"/>
      <c r="F358" s="123"/>
      <c r="G358" s="1165">
        <f t="shared" ref="G358:G364" si="71">E358*F358</f>
        <v>0</v>
      </c>
      <c r="H358" s="1166">
        <f t="shared" ref="H358:H364" si="72">D358+G358</f>
        <v>0</v>
      </c>
      <c r="I358" s="591"/>
    </row>
    <row r="359" spans="1:9" ht="15" customHeight="1" x14ac:dyDescent="0.35">
      <c r="A359" s="2978"/>
      <c r="B359" s="105">
        <v>53206040000000</v>
      </c>
      <c r="C359" s="1161" t="s">
        <v>165</v>
      </c>
      <c r="D359" s="950"/>
      <c r="E359" s="122"/>
      <c r="F359" s="123"/>
      <c r="G359" s="1165">
        <f t="shared" si="71"/>
        <v>0</v>
      </c>
      <c r="H359" s="1166">
        <f t="shared" si="72"/>
        <v>0</v>
      </c>
      <c r="I359" s="591"/>
    </row>
    <row r="360" spans="1:9" ht="15" customHeight="1" x14ac:dyDescent="0.35">
      <c r="A360" s="2978"/>
      <c r="B360" s="105">
        <v>53206060000000</v>
      </c>
      <c r="C360" s="1161" t="s">
        <v>166</v>
      </c>
      <c r="D360" s="950"/>
      <c r="E360" s="122"/>
      <c r="F360" s="123"/>
      <c r="G360" s="1165">
        <f t="shared" si="71"/>
        <v>0</v>
      </c>
      <c r="H360" s="1166">
        <f t="shared" si="72"/>
        <v>0</v>
      </c>
      <c r="I360" s="591"/>
    </row>
    <row r="361" spans="1:9" ht="15" customHeight="1" x14ac:dyDescent="0.35">
      <c r="A361" s="2978"/>
      <c r="B361" s="105">
        <v>53206070000000</v>
      </c>
      <c r="C361" s="1161" t="s">
        <v>167</v>
      </c>
      <c r="D361" s="950"/>
      <c r="E361" s="122"/>
      <c r="F361" s="123"/>
      <c r="G361" s="1165">
        <f t="shared" si="71"/>
        <v>0</v>
      </c>
      <c r="H361" s="1166">
        <f t="shared" si="72"/>
        <v>0</v>
      </c>
      <c r="I361" s="591"/>
    </row>
    <row r="362" spans="1:9" ht="15" customHeight="1" x14ac:dyDescent="0.35">
      <c r="A362" s="2978"/>
      <c r="B362" s="105">
        <v>53206990000000</v>
      </c>
      <c r="C362" s="1161" t="s">
        <v>168</v>
      </c>
      <c r="D362" s="951"/>
      <c r="E362" s="122"/>
      <c r="F362" s="123"/>
      <c r="G362" s="1165">
        <f t="shared" si="71"/>
        <v>0</v>
      </c>
      <c r="H362" s="1166">
        <f t="shared" si="72"/>
        <v>0</v>
      </c>
      <c r="I362" s="591"/>
    </row>
    <row r="363" spans="1:9" ht="15" customHeight="1" x14ac:dyDescent="0.35">
      <c r="A363" s="2978"/>
      <c r="B363" s="105">
        <v>53208030000000</v>
      </c>
      <c r="C363" s="1161" t="s">
        <v>169</v>
      </c>
      <c r="D363" s="950"/>
      <c r="E363" s="122"/>
      <c r="F363" s="123"/>
      <c r="G363" s="1165">
        <f t="shared" si="71"/>
        <v>0</v>
      </c>
      <c r="H363" s="1166">
        <f t="shared" si="72"/>
        <v>0</v>
      </c>
    </row>
    <row r="364" spans="1:9" ht="15" customHeight="1" x14ac:dyDescent="0.35">
      <c r="A364" s="2978"/>
      <c r="B364" s="105">
        <v>53212060000000</v>
      </c>
      <c r="C364" s="1161" t="s">
        <v>170</v>
      </c>
      <c r="D364" s="950"/>
      <c r="E364" s="121"/>
      <c r="F364" s="123"/>
      <c r="G364" s="1165">
        <f t="shared" si="71"/>
        <v>0</v>
      </c>
      <c r="H364" s="1166">
        <f t="shared" si="72"/>
        <v>0</v>
      </c>
      <c r="I364" s="591"/>
    </row>
    <row r="365" spans="1:9" ht="15" customHeight="1" x14ac:dyDescent="0.35">
      <c r="A365" s="2978"/>
      <c r="B365" s="1043"/>
      <c r="C365" s="1156" t="s">
        <v>171</v>
      </c>
      <c r="D365" s="1157">
        <f>SUM(D366:D367)</f>
        <v>0</v>
      </c>
      <c r="E365" s="1167"/>
      <c r="F365" s="1167"/>
      <c r="G365" s="1159">
        <f>SUM(G366:G367)</f>
        <v>0</v>
      </c>
      <c r="H365" s="1026">
        <f>SUM(H366:H367)</f>
        <v>0</v>
      </c>
      <c r="I365" s="621"/>
    </row>
    <row r="366" spans="1:9" ht="15" customHeight="1" x14ac:dyDescent="0.35">
      <c r="A366" s="2978"/>
      <c r="B366" s="105">
        <v>53210020500000</v>
      </c>
      <c r="C366" s="1161" t="s">
        <v>172</v>
      </c>
      <c r="D366" s="952"/>
      <c r="E366" s="121"/>
      <c r="F366" s="123"/>
      <c r="G366" s="1165">
        <f t="shared" ref="G366:G367" si="73">E366*F366</f>
        <v>0</v>
      </c>
      <c r="H366" s="1173">
        <f t="shared" ref="H366:H367" si="74">D366+G366</f>
        <v>0</v>
      </c>
      <c r="I366" s="591"/>
    </row>
    <row r="367" spans="1:9" ht="15" customHeight="1" x14ac:dyDescent="0.35">
      <c r="A367" s="2978"/>
      <c r="B367" s="1053">
        <v>53204999000000</v>
      </c>
      <c r="C367" s="1035" t="s">
        <v>173</v>
      </c>
      <c r="D367" s="950"/>
      <c r="E367" s="122"/>
      <c r="F367" s="123"/>
      <c r="G367" s="1036">
        <f t="shared" si="73"/>
        <v>0</v>
      </c>
      <c r="H367" s="1173">
        <f t="shared" si="74"/>
        <v>0</v>
      </c>
      <c r="I367" s="591"/>
    </row>
    <row r="368" spans="1:9" ht="15" customHeight="1" x14ac:dyDescent="0.35">
      <c r="A368" s="2979"/>
      <c r="B368" s="1174"/>
      <c r="C368" s="1175" t="s">
        <v>12</v>
      </c>
      <c r="D368" s="1176">
        <f>SUM(D299,D327)</f>
        <v>24830851.901221666</v>
      </c>
      <c r="E368" s="1177"/>
      <c r="F368" s="1177"/>
      <c r="G368" s="1176">
        <f>SUM(G299,G327)</f>
        <v>0</v>
      </c>
      <c r="H368" s="1178">
        <f>SUM(H299,H327)</f>
        <v>24830851.901221666</v>
      </c>
      <c r="I368" s="621"/>
    </row>
    <row r="369" spans="1:9" ht="15" customHeight="1" x14ac:dyDescent="0.35">
      <c r="A369" s="3013" t="s">
        <v>21</v>
      </c>
      <c r="B369" s="3014" t="s">
        <v>97</v>
      </c>
      <c r="C369" s="3015" t="s">
        <v>98</v>
      </c>
      <c r="D369" s="3016" t="s">
        <v>99</v>
      </c>
      <c r="E369" s="3017" t="s">
        <v>100</v>
      </c>
      <c r="F369" s="3017"/>
      <c r="G369" s="3017"/>
      <c r="H369" s="3018" t="str">
        <f>+H297</f>
        <v>COSTO DIRECTO ESTIMADO 2026</v>
      </c>
      <c r="I369" s="2987" t="s">
        <v>101</v>
      </c>
    </row>
    <row r="370" spans="1:9" ht="38.25" customHeight="1" x14ac:dyDescent="0.35">
      <c r="A370" s="2967"/>
      <c r="B370" s="2981"/>
      <c r="C370" s="2999"/>
      <c r="D370" s="3001"/>
      <c r="E370" s="1121" t="s">
        <v>102</v>
      </c>
      <c r="F370" s="117" t="s">
        <v>103</v>
      </c>
      <c r="G370" s="1122" t="s">
        <v>104</v>
      </c>
      <c r="H370" s="2993"/>
      <c r="I370" s="2987"/>
    </row>
    <row r="371" spans="1:9" ht="15" customHeight="1" x14ac:dyDescent="0.35">
      <c r="A371" s="3005" t="str">
        <f>+'B) Reajuste Tarifas y Ocupación'!A49</f>
        <v>C. R. Las Salinas</v>
      </c>
      <c r="B371" s="1179"/>
      <c r="C371" s="1180" t="s">
        <v>105</v>
      </c>
      <c r="D371" s="1181">
        <f>SUM(D372,D377,D379)</f>
        <v>67792614.290241718</v>
      </c>
      <c r="E371" s="1182"/>
      <c r="F371" s="1182"/>
      <c r="G371" s="1181">
        <f>SUM(G372,G377,G379)</f>
        <v>0</v>
      </c>
      <c r="H371" s="1183">
        <f>SUM(H372,H377,H379)</f>
        <v>67792614.290241718</v>
      </c>
      <c r="I371" s="610"/>
    </row>
    <row r="372" spans="1:9" ht="15" customHeight="1" x14ac:dyDescent="0.35">
      <c r="A372" s="2978"/>
      <c r="B372" s="1043"/>
      <c r="C372" s="1184" t="s">
        <v>106</v>
      </c>
      <c r="D372" s="1185">
        <f>SUM(D373:D376)</f>
        <v>28345453.990241721</v>
      </c>
      <c r="E372" s="1186"/>
      <c r="F372" s="1186"/>
      <c r="G372" s="1187">
        <f>SUM(G373:G376)</f>
        <v>0</v>
      </c>
      <c r="H372" s="1188">
        <f>SUM(H373:H376)</f>
        <v>28345453.990241721</v>
      </c>
      <c r="I372" s="610"/>
    </row>
    <row r="373" spans="1:9" ht="15" customHeight="1" x14ac:dyDescent="0.35">
      <c r="A373" s="2978"/>
      <c r="B373" s="105">
        <v>53103040100000</v>
      </c>
      <c r="C373" s="124" t="s">
        <v>107</v>
      </c>
      <c r="D373" s="1189">
        <f>+'F) Remuneraciones'!M124</f>
        <v>28345453.990241721</v>
      </c>
      <c r="E373" s="1190"/>
      <c r="F373" s="1190"/>
      <c r="G373" s="1190"/>
      <c r="H373" s="1191">
        <f>D373+G373</f>
        <v>28345453.990241721</v>
      </c>
      <c r="I373" s="610"/>
    </row>
    <row r="374" spans="1:9" ht="15" customHeight="1" x14ac:dyDescent="0.35">
      <c r="A374" s="2978"/>
      <c r="B374" s="105">
        <v>53103050000000</v>
      </c>
      <c r="C374" s="124" t="s">
        <v>108</v>
      </c>
      <c r="D374" s="952"/>
      <c r="E374" s="125"/>
      <c r="F374" s="126"/>
      <c r="G374" s="1192">
        <f>E374*F374</f>
        <v>0</v>
      </c>
      <c r="H374" s="1076">
        <f t="shared" ref="H374:H376" si="75">D374+G374</f>
        <v>0</v>
      </c>
      <c r="I374" s="610"/>
    </row>
    <row r="375" spans="1:9" ht="15" customHeight="1" x14ac:dyDescent="0.35">
      <c r="A375" s="2978"/>
      <c r="B375" s="105">
        <v>53103060000000</v>
      </c>
      <c r="C375" s="124" t="s">
        <v>109</v>
      </c>
      <c r="D375" s="952"/>
      <c r="E375" s="125"/>
      <c r="F375" s="126"/>
      <c r="G375" s="1192">
        <f t="shared" ref="G375:G376" si="76">E375*F375</f>
        <v>0</v>
      </c>
      <c r="H375" s="1193">
        <f t="shared" si="75"/>
        <v>0</v>
      </c>
      <c r="I375" s="610"/>
    </row>
    <row r="376" spans="1:9" ht="15" customHeight="1" x14ac:dyDescent="0.35">
      <c r="A376" s="2978"/>
      <c r="B376" s="105">
        <v>53103080010000</v>
      </c>
      <c r="C376" s="124" t="s">
        <v>110</v>
      </c>
      <c r="D376" s="950"/>
      <c r="E376" s="125"/>
      <c r="F376" s="126"/>
      <c r="G376" s="1192">
        <f t="shared" si="76"/>
        <v>0</v>
      </c>
      <c r="H376" s="1193">
        <f t="shared" si="75"/>
        <v>0</v>
      </c>
      <c r="I376" s="610"/>
    </row>
    <row r="377" spans="1:9" ht="15" customHeight="1" x14ac:dyDescent="0.35">
      <c r="A377" s="2978"/>
      <c r="B377" s="1043"/>
      <c r="C377" s="1184" t="s">
        <v>111</v>
      </c>
      <c r="D377" s="1185">
        <f>SUM(D378)</f>
        <v>0</v>
      </c>
      <c r="E377" s="1194"/>
      <c r="F377" s="1194"/>
      <c r="G377" s="1195">
        <f>SUM(G378:G378)</f>
        <v>0</v>
      </c>
      <c r="H377" s="1026">
        <f>SUM(H378:H378)</f>
        <v>0</v>
      </c>
      <c r="I377" s="610"/>
    </row>
    <row r="378" spans="1:9" ht="15" customHeight="1" x14ac:dyDescent="0.35">
      <c r="A378" s="2978"/>
      <c r="B378" s="105">
        <v>55201010100001</v>
      </c>
      <c r="C378" s="124" t="s">
        <v>112</v>
      </c>
      <c r="D378" s="952"/>
      <c r="E378" s="125"/>
      <c r="F378" s="126"/>
      <c r="G378" s="1192">
        <f t="shared" ref="G378" si="77">E378*F378</f>
        <v>0</v>
      </c>
      <c r="H378" s="1193">
        <f>D378+G378</f>
        <v>0</v>
      </c>
      <c r="I378" s="610"/>
    </row>
    <row r="379" spans="1:9" ht="15" customHeight="1" x14ac:dyDescent="0.35">
      <c r="A379" s="2978"/>
      <c r="B379" s="1043"/>
      <c r="C379" s="1184" t="s">
        <v>113</v>
      </c>
      <c r="D379" s="1185">
        <f>SUM(D380:D398)</f>
        <v>39447160.299999997</v>
      </c>
      <c r="E379" s="1194"/>
      <c r="F379" s="1194"/>
      <c r="G379" s="1187">
        <f>SUM(G380:G398)</f>
        <v>0</v>
      </c>
      <c r="H379" s="1026">
        <f>SUM(H380:H398)</f>
        <v>39447160.299999997</v>
      </c>
      <c r="I379" s="610"/>
    </row>
    <row r="380" spans="1:9" ht="15" customHeight="1" x14ac:dyDescent="0.35">
      <c r="A380" s="2978"/>
      <c r="B380" s="105">
        <v>53201010100000</v>
      </c>
      <c r="C380" s="124" t="s">
        <v>114</v>
      </c>
      <c r="D380" s="1196">
        <v>0</v>
      </c>
      <c r="E380" s="1197">
        <v>0</v>
      </c>
      <c r="F380" s="1198">
        <v>0</v>
      </c>
      <c r="G380" s="1192">
        <f>E380*F380</f>
        <v>0</v>
      </c>
      <c r="H380" s="1193">
        <f t="shared" ref="H380:H398" si="78">D380+G380</f>
        <v>0</v>
      </c>
      <c r="I380" s="610"/>
    </row>
    <row r="381" spans="1:9" ht="15" customHeight="1" x14ac:dyDescent="0.35">
      <c r="A381" s="2978"/>
      <c r="B381" s="105">
        <v>53202010100000</v>
      </c>
      <c r="C381" s="124" t="s">
        <v>115</v>
      </c>
      <c r="D381" s="952"/>
      <c r="E381" s="125"/>
      <c r="F381" s="126"/>
      <c r="G381" s="1192">
        <f>E381*F381</f>
        <v>0</v>
      </c>
      <c r="H381" s="1193">
        <f t="shared" si="78"/>
        <v>0</v>
      </c>
      <c r="I381" s="610"/>
    </row>
    <row r="382" spans="1:9" ht="15" customHeight="1" x14ac:dyDescent="0.35">
      <c r="A382" s="2978"/>
      <c r="B382" s="105">
        <v>53203010100000</v>
      </c>
      <c r="C382" s="124" t="s">
        <v>116</v>
      </c>
      <c r="D382" s="952">
        <v>483000</v>
      </c>
      <c r="E382" s="125"/>
      <c r="F382" s="126"/>
      <c r="G382" s="1192">
        <f t="shared" ref="G382:G398" si="79">E382*F382</f>
        <v>0</v>
      </c>
      <c r="H382" s="1193">
        <f t="shared" si="78"/>
        <v>483000</v>
      </c>
      <c r="I382" s="610"/>
    </row>
    <row r="383" spans="1:9" ht="15" customHeight="1" x14ac:dyDescent="0.35">
      <c r="A383" s="2978"/>
      <c r="B383" s="105">
        <v>53203030000000</v>
      </c>
      <c r="C383" s="124" t="s">
        <v>117</v>
      </c>
      <c r="D383" s="952"/>
      <c r="E383" s="125"/>
      <c r="F383" s="126"/>
      <c r="G383" s="1192">
        <f t="shared" si="79"/>
        <v>0</v>
      </c>
      <c r="H383" s="1193">
        <f t="shared" si="78"/>
        <v>0</v>
      </c>
      <c r="I383" s="610"/>
    </row>
    <row r="384" spans="1:9" ht="15" customHeight="1" x14ac:dyDescent="0.35">
      <c r="A384" s="2978"/>
      <c r="B384" s="105">
        <v>53204030000000</v>
      </c>
      <c r="C384" s="124" t="s">
        <v>118</v>
      </c>
      <c r="D384" s="952"/>
      <c r="E384" s="125"/>
      <c r="F384" s="126"/>
      <c r="G384" s="1192">
        <f t="shared" si="79"/>
        <v>0</v>
      </c>
      <c r="H384" s="1193">
        <f>D384+G384</f>
        <v>0</v>
      </c>
      <c r="I384" s="610"/>
    </row>
    <row r="385" spans="1:9" ht="15" customHeight="1" x14ac:dyDescent="0.35">
      <c r="A385" s="2978"/>
      <c r="B385" s="105">
        <v>53204100100001</v>
      </c>
      <c r="C385" s="124" t="s">
        <v>119</v>
      </c>
      <c r="D385" s="952">
        <v>14490000</v>
      </c>
      <c r="E385" s="125"/>
      <c r="F385" s="126"/>
      <c r="G385" s="1192">
        <f t="shared" si="79"/>
        <v>0</v>
      </c>
      <c r="H385" s="1193">
        <f t="shared" si="78"/>
        <v>14490000</v>
      </c>
      <c r="I385" s="610"/>
    </row>
    <row r="386" spans="1:9" ht="15" customHeight="1" x14ac:dyDescent="0.35">
      <c r="A386" s="2978"/>
      <c r="B386" s="105">
        <v>53204130100000</v>
      </c>
      <c r="C386" s="124" t="s">
        <v>120</v>
      </c>
      <c r="D386" s="952"/>
      <c r="E386" s="125"/>
      <c r="F386" s="126"/>
      <c r="G386" s="1192">
        <f t="shared" si="79"/>
        <v>0</v>
      </c>
      <c r="H386" s="1193">
        <f t="shared" si="78"/>
        <v>0</v>
      </c>
      <c r="I386" s="610"/>
    </row>
    <row r="387" spans="1:9" x14ac:dyDescent="0.35">
      <c r="A387" s="2978"/>
      <c r="B387" s="105">
        <v>53205010100000</v>
      </c>
      <c r="C387" s="124" t="s">
        <v>121</v>
      </c>
      <c r="D387" s="952">
        <v>6096028.0499999998</v>
      </c>
      <c r="E387" s="125"/>
      <c r="F387" s="126"/>
      <c r="G387" s="1192">
        <f t="shared" si="79"/>
        <v>0</v>
      </c>
      <c r="H387" s="1193">
        <f t="shared" si="78"/>
        <v>6096028.0499999998</v>
      </c>
      <c r="I387" s="610"/>
    </row>
    <row r="388" spans="1:9" ht="15" customHeight="1" x14ac:dyDescent="0.35">
      <c r="A388" s="2978"/>
      <c r="B388" s="105">
        <v>53205020100000</v>
      </c>
      <c r="C388" s="124" t="s">
        <v>122</v>
      </c>
      <c r="D388" s="952">
        <f>22000000-D460</f>
        <v>13366309</v>
      </c>
      <c r="E388" s="125"/>
      <c r="F388" s="126"/>
      <c r="G388" s="1192">
        <f t="shared" si="79"/>
        <v>0</v>
      </c>
      <c r="H388" s="1193">
        <f t="shared" si="78"/>
        <v>13366309</v>
      </c>
      <c r="I388" s="610"/>
    </row>
    <row r="389" spans="1:9" ht="15" customHeight="1" x14ac:dyDescent="0.35">
      <c r="A389" s="2978"/>
      <c r="B389" s="105">
        <v>53205030100000</v>
      </c>
      <c r="C389" s="124" t="s">
        <v>123</v>
      </c>
      <c r="D389" s="952">
        <v>1277850</v>
      </c>
      <c r="E389" s="125"/>
      <c r="F389" s="126"/>
      <c r="G389" s="1192">
        <f t="shared" si="79"/>
        <v>0</v>
      </c>
      <c r="H389" s="1193">
        <f t="shared" si="78"/>
        <v>1277850</v>
      </c>
      <c r="I389" s="610"/>
    </row>
    <row r="390" spans="1:9" ht="15" customHeight="1" x14ac:dyDescent="0.35">
      <c r="A390" s="2978"/>
      <c r="B390" s="105">
        <v>53205050100000</v>
      </c>
      <c r="C390" s="124" t="s">
        <v>124</v>
      </c>
      <c r="D390" s="952">
        <v>644225.4</v>
      </c>
      <c r="E390" s="125"/>
      <c r="F390" s="126"/>
      <c r="G390" s="1192">
        <f t="shared" si="79"/>
        <v>0</v>
      </c>
      <c r="H390" s="1193">
        <f t="shared" si="78"/>
        <v>644225.4</v>
      </c>
      <c r="I390" s="847"/>
    </row>
    <row r="391" spans="1:9" ht="15" customHeight="1" x14ac:dyDescent="0.35">
      <c r="A391" s="2978"/>
      <c r="B391" s="105">
        <v>53205060100000</v>
      </c>
      <c r="C391" s="124" t="s">
        <v>125</v>
      </c>
      <c r="D391" s="952">
        <v>318482.85000000003</v>
      </c>
      <c r="E391" s="125"/>
      <c r="F391" s="126"/>
      <c r="G391" s="1192">
        <f t="shared" si="79"/>
        <v>0</v>
      </c>
      <c r="H391" s="1193">
        <f t="shared" si="78"/>
        <v>318482.85000000003</v>
      </c>
      <c r="I391" s="610"/>
    </row>
    <row r="392" spans="1:9" ht="15" customHeight="1" x14ac:dyDescent="0.35">
      <c r="A392" s="2978"/>
      <c r="B392" s="105">
        <v>53205070100000</v>
      </c>
      <c r="C392" s="124" t="s">
        <v>126</v>
      </c>
      <c r="D392" s="952"/>
      <c r="E392" s="125"/>
      <c r="F392" s="126"/>
      <c r="G392" s="1192">
        <f t="shared" si="79"/>
        <v>0</v>
      </c>
      <c r="H392" s="1193">
        <f t="shared" si="78"/>
        <v>0</v>
      </c>
      <c r="I392" s="610"/>
    </row>
    <row r="393" spans="1:9" ht="15" customHeight="1" x14ac:dyDescent="0.35">
      <c r="A393" s="2978"/>
      <c r="B393" s="105">
        <v>53208010100000</v>
      </c>
      <c r="C393" s="124" t="s">
        <v>127</v>
      </c>
      <c r="D393" s="952">
        <v>844452</v>
      </c>
      <c r="E393" s="125"/>
      <c r="F393" s="126"/>
      <c r="G393" s="1192">
        <f t="shared" si="79"/>
        <v>0</v>
      </c>
      <c r="H393" s="1193">
        <f t="shared" si="78"/>
        <v>844452</v>
      </c>
      <c r="I393" s="610"/>
    </row>
    <row r="394" spans="1:9" ht="15" customHeight="1" x14ac:dyDescent="0.35">
      <c r="A394" s="2978"/>
      <c r="B394" s="105">
        <v>53208070100001</v>
      </c>
      <c r="C394" s="124" t="s">
        <v>128</v>
      </c>
      <c r="D394" s="952"/>
      <c r="E394" s="125"/>
      <c r="F394" s="126"/>
      <c r="G394" s="1192">
        <f t="shared" si="79"/>
        <v>0</v>
      </c>
      <c r="H394" s="1193">
        <f t="shared" si="78"/>
        <v>0</v>
      </c>
      <c r="I394" s="610"/>
    </row>
    <row r="395" spans="1:9" ht="15" customHeight="1" x14ac:dyDescent="0.35">
      <c r="A395" s="2978"/>
      <c r="B395" s="105">
        <v>53208100100001</v>
      </c>
      <c r="C395" s="124" t="s">
        <v>129</v>
      </c>
      <c r="D395" s="952"/>
      <c r="E395" s="125"/>
      <c r="F395" s="126"/>
      <c r="G395" s="1192">
        <f t="shared" si="79"/>
        <v>0</v>
      </c>
      <c r="H395" s="1193">
        <f t="shared" si="78"/>
        <v>0</v>
      </c>
      <c r="I395" s="610"/>
    </row>
    <row r="396" spans="1:9" ht="15" customHeight="1" x14ac:dyDescent="0.35">
      <c r="A396" s="2978"/>
      <c r="B396" s="105">
        <v>53211030000000</v>
      </c>
      <c r="C396" s="124" t="s">
        <v>130</v>
      </c>
      <c r="D396" s="952"/>
      <c r="E396" s="125"/>
      <c r="F396" s="126"/>
      <c r="G396" s="1192">
        <f t="shared" si="79"/>
        <v>0</v>
      </c>
      <c r="H396" s="1193">
        <f t="shared" si="78"/>
        <v>0</v>
      </c>
      <c r="I396" s="610"/>
    </row>
    <row r="397" spans="1:9" ht="15" customHeight="1" x14ac:dyDescent="0.35">
      <c r="A397" s="2978"/>
      <c r="B397" s="105">
        <v>53212020100000</v>
      </c>
      <c r="C397" s="124" t="s">
        <v>131</v>
      </c>
      <c r="D397" s="952">
        <v>1926813</v>
      </c>
      <c r="E397" s="125"/>
      <c r="F397" s="126"/>
      <c r="G397" s="1192">
        <f t="shared" si="79"/>
        <v>0</v>
      </c>
      <c r="H397" s="1193">
        <f t="shared" si="78"/>
        <v>1926813</v>
      </c>
      <c r="I397" s="610"/>
    </row>
    <row r="398" spans="1:9" ht="15" customHeight="1" x14ac:dyDescent="0.35">
      <c r="A398" s="2978"/>
      <c r="B398" s="105">
        <v>53214020000000</v>
      </c>
      <c r="C398" s="124" t="s">
        <v>132</v>
      </c>
      <c r="D398" s="952"/>
      <c r="E398" s="125"/>
      <c r="F398" s="126"/>
      <c r="G398" s="1192">
        <f t="shared" si="79"/>
        <v>0</v>
      </c>
      <c r="H398" s="1193">
        <f t="shared" si="78"/>
        <v>0</v>
      </c>
      <c r="I398" s="611"/>
    </row>
    <row r="399" spans="1:9" ht="15" customHeight="1" x14ac:dyDescent="0.35">
      <c r="A399" s="2978"/>
      <c r="B399" s="1179"/>
      <c r="C399" s="1180" t="s">
        <v>133</v>
      </c>
      <c r="D399" s="1199">
        <f>SUM(D400,D405,D408,D419,D429,D437)</f>
        <v>0</v>
      </c>
      <c r="E399" s="1182"/>
      <c r="F399" s="1182"/>
      <c r="G399" s="1200">
        <f>SUM(G400,G405,G408,G419,G429,G437)</f>
        <v>0</v>
      </c>
      <c r="H399" s="1042">
        <f>SUM(H400,H405,H408,H419,H429,H437)</f>
        <v>0</v>
      </c>
      <c r="I399" s="610"/>
    </row>
    <row r="400" spans="1:9" ht="15" customHeight="1" x14ac:dyDescent="0.35">
      <c r="A400" s="2978"/>
      <c r="B400" s="1043"/>
      <c r="C400" s="1184" t="s">
        <v>134</v>
      </c>
      <c r="D400" s="1185">
        <f>SUM(D401:D404)</f>
        <v>0</v>
      </c>
      <c r="E400" s="1194"/>
      <c r="F400" s="1194"/>
      <c r="G400" s="1195">
        <f>SUM(G401:G404)</f>
        <v>0</v>
      </c>
      <c r="H400" s="1201">
        <f>SUM(H401:H404)</f>
        <v>0</v>
      </c>
      <c r="I400" s="610"/>
    </row>
    <row r="401" spans="1:9" ht="15" customHeight="1" x14ac:dyDescent="0.35">
      <c r="A401" s="2978"/>
      <c r="B401" s="105">
        <v>53202020100000</v>
      </c>
      <c r="C401" s="124" t="s">
        <v>135</v>
      </c>
      <c r="D401" s="952"/>
      <c r="E401" s="125"/>
      <c r="F401" s="126"/>
      <c r="G401" s="1192">
        <f>E401*F401</f>
        <v>0</v>
      </c>
      <c r="H401" s="1193">
        <f>D401+G401</f>
        <v>0</v>
      </c>
      <c r="I401" s="610"/>
    </row>
    <row r="402" spans="1:9" ht="15" customHeight="1" x14ac:dyDescent="0.35">
      <c r="A402" s="2978"/>
      <c r="B402" s="105">
        <v>53202030000000</v>
      </c>
      <c r="C402" s="124" t="s">
        <v>136</v>
      </c>
      <c r="D402" s="952"/>
      <c r="E402" s="125"/>
      <c r="F402" s="126"/>
      <c r="G402" s="1192">
        <f>E402*F402</f>
        <v>0</v>
      </c>
      <c r="H402" s="1193">
        <f>D402+G402</f>
        <v>0</v>
      </c>
      <c r="I402" s="610"/>
    </row>
    <row r="403" spans="1:9" ht="15" customHeight="1" x14ac:dyDescent="0.35">
      <c r="A403" s="2978"/>
      <c r="B403" s="105">
        <v>53211020000000</v>
      </c>
      <c r="C403" s="124" t="s">
        <v>137</v>
      </c>
      <c r="D403" s="952"/>
      <c r="E403" s="125"/>
      <c r="F403" s="126"/>
      <c r="G403" s="1192">
        <f t="shared" ref="G403:G404" si="80">E403*F403</f>
        <v>0</v>
      </c>
      <c r="H403" s="1193">
        <f>D403+G403</f>
        <v>0</v>
      </c>
      <c r="I403" s="610"/>
    </row>
    <row r="404" spans="1:9" ht="15" customHeight="1" x14ac:dyDescent="0.35">
      <c r="A404" s="2978"/>
      <c r="B404" s="105">
        <v>53101004030000</v>
      </c>
      <c r="C404" s="124" t="s">
        <v>138</v>
      </c>
      <c r="D404" s="952"/>
      <c r="E404" s="125"/>
      <c r="F404" s="126"/>
      <c r="G404" s="1192">
        <f t="shared" si="80"/>
        <v>0</v>
      </c>
      <c r="H404" s="1193">
        <f>D404+G404</f>
        <v>0</v>
      </c>
      <c r="I404" s="610"/>
    </row>
    <row r="405" spans="1:9" ht="15" customHeight="1" x14ac:dyDescent="0.35">
      <c r="A405" s="2978"/>
      <c r="B405" s="1043"/>
      <c r="C405" s="1184" t="s">
        <v>139</v>
      </c>
      <c r="D405" s="1185">
        <f>SUM(D406:D407)</f>
        <v>0</v>
      </c>
      <c r="E405" s="1194"/>
      <c r="F405" s="1194"/>
      <c r="G405" s="1195">
        <f>SUM(G406:G407)</f>
        <v>0</v>
      </c>
      <c r="H405" s="1201">
        <f>SUM(H406:H407)</f>
        <v>0</v>
      </c>
      <c r="I405" s="610"/>
    </row>
    <row r="406" spans="1:9" ht="15" customHeight="1" x14ac:dyDescent="0.35">
      <c r="A406" s="2978"/>
      <c r="B406" s="105">
        <v>53205080000000</v>
      </c>
      <c r="C406" s="1202" t="s">
        <v>140</v>
      </c>
      <c r="D406" s="952"/>
      <c r="E406" s="125"/>
      <c r="F406" s="126"/>
      <c r="G406" s="1192">
        <f t="shared" ref="G406:G407" si="81">E406*F406</f>
        <v>0</v>
      </c>
      <c r="H406" s="1193">
        <f>D406+G406</f>
        <v>0</v>
      </c>
      <c r="I406" s="610"/>
    </row>
    <row r="407" spans="1:9" ht="15" customHeight="1" x14ac:dyDescent="0.35">
      <c r="A407" s="2978"/>
      <c r="B407" s="105">
        <v>53205990000000</v>
      </c>
      <c r="C407" s="124" t="s">
        <v>141</v>
      </c>
      <c r="D407" s="952"/>
      <c r="E407" s="125"/>
      <c r="F407" s="126"/>
      <c r="G407" s="1192">
        <f t="shared" si="81"/>
        <v>0</v>
      </c>
      <c r="H407" s="1193">
        <f>D407+G407</f>
        <v>0</v>
      </c>
      <c r="I407" s="610"/>
    </row>
    <row r="408" spans="1:9" ht="15" customHeight="1" x14ac:dyDescent="0.35">
      <c r="A408" s="2978"/>
      <c r="B408" s="1043"/>
      <c r="C408" s="1184" t="s">
        <v>142</v>
      </c>
      <c r="D408" s="1185">
        <f>SUM(D409:D418)</f>
        <v>0</v>
      </c>
      <c r="E408" s="1194"/>
      <c r="F408" s="1194"/>
      <c r="G408" s="1187">
        <f>SUM(G409:G418)</f>
        <v>0</v>
      </c>
      <c r="H408" s="1026">
        <f>SUM(H409:H418)</f>
        <v>0</v>
      </c>
      <c r="I408" s="610"/>
    </row>
    <row r="409" spans="1:9" ht="15" customHeight="1" x14ac:dyDescent="0.35">
      <c r="A409" s="2978"/>
      <c r="B409" s="105">
        <v>53203010200000</v>
      </c>
      <c r="C409" s="124" t="s">
        <v>143</v>
      </c>
      <c r="D409" s="947"/>
      <c r="E409" s="125"/>
      <c r="F409" s="126"/>
      <c r="G409" s="1192">
        <f t="shared" ref="G409:G418" si="82">E409*F409</f>
        <v>0</v>
      </c>
      <c r="H409" s="1193">
        <f t="shared" ref="H409:H418" si="83">D409+G409</f>
        <v>0</v>
      </c>
      <c r="I409" s="610"/>
    </row>
    <row r="410" spans="1:9" ht="15" customHeight="1" x14ac:dyDescent="0.35">
      <c r="A410" s="2978"/>
      <c r="B410" s="105">
        <v>53204010000000</v>
      </c>
      <c r="C410" s="124" t="s">
        <v>144</v>
      </c>
      <c r="D410" s="947"/>
      <c r="E410" s="125"/>
      <c r="F410" s="126"/>
      <c r="G410" s="1192">
        <f t="shared" si="82"/>
        <v>0</v>
      </c>
      <c r="H410" s="1193">
        <f t="shared" si="83"/>
        <v>0</v>
      </c>
      <c r="I410" s="610"/>
    </row>
    <row r="411" spans="1:9" ht="15" customHeight="1" x14ac:dyDescent="0.35">
      <c r="A411" s="2978"/>
      <c r="B411" s="105">
        <v>53204040200000</v>
      </c>
      <c r="C411" s="1202" t="s">
        <v>145</v>
      </c>
      <c r="D411" s="947"/>
      <c r="E411" s="125"/>
      <c r="F411" s="126"/>
      <c r="G411" s="1192">
        <f t="shared" si="82"/>
        <v>0</v>
      </c>
      <c r="H411" s="1193">
        <f t="shared" si="83"/>
        <v>0</v>
      </c>
      <c r="I411" s="610"/>
    </row>
    <row r="412" spans="1:9" ht="15" customHeight="1" x14ac:dyDescent="0.35">
      <c r="A412" s="2978"/>
      <c r="B412" s="105">
        <v>53204060000000</v>
      </c>
      <c r="C412" s="1202" t="s">
        <v>146</v>
      </c>
      <c r="D412" s="947"/>
      <c r="E412" s="125"/>
      <c r="F412" s="126"/>
      <c r="G412" s="1192">
        <f t="shared" si="82"/>
        <v>0</v>
      </c>
      <c r="H412" s="1193">
        <f t="shared" si="83"/>
        <v>0</v>
      </c>
    </row>
    <row r="413" spans="1:9" ht="15" customHeight="1" x14ac:dyDescent="0.35">
      <c r="A413" s="2978"/>
      <c r="B413" s="105">
        <v>53204070000000</v>
      </c>
      <c r="C413" s="1202" t="s">
        <v>147</v>
      </c>
      <c r="D413" s="947"/>
      <c r="E413" s="125"/>
      <c r="F413" s="126"/>
      <c r="G413" s="1192">
        <f t="shared" si="82"/>
        <v>0</v>
      </c>
      <c r="H413" s="1193">
        <f t="shared" si="83"/>
        <v>0</v>
      </c>
      <c r="I413" s="610"/>
    </row>
    <row r="414" spans="1:9" ht="15" customHeight="1" x14ac:dyDescent="0.35">
      <c r="A414" s="2978"/>
      <c r="B414" s="105">
        <v>53204080000000</v>
      </c>
      <c r="C414" s="1202" t="s">
        <v>148</v>
      </c>
      <c r="D414" s="947"/>
      <c r="E414" s="125"/>
      <c r="F414" s="126"/>
      <c r="G414" s="1192">
        <f t="shared" si="82"/>
        <v>0</v>
      </c>
      <c r="H414" s="1193">
        <f t="shared" si="83"/>
        <v>0</v>
      </c>
      <c r="I414" s="610"/>
    </row>
    <row r="415" spans="1:9" ht="15" customHeight="1" x14ac:dyDescent="0.35">
      <c r="A415" s="2978"/>
      <c r="B415" s="105">
        <v>53214010000000</v>
      </c>
      <c r="C415" s="1202" t="s">
        <v>149</v>
      </c>
      <c r="D415" s="947"/>
      <c r="E415" s="125"/>
      <c r="F415" s="126"/>
      <c r="G415" s="1192">
        <f t="shared" si="82"/>
        <v>0</v>
      </c>
      <c r="H415" s="1193">
        <f t="shared" si="83"/>
        <v>0</v>
      </c>
      <c r="I415" s="610"/>
    </row>
    <row r="416" spans="1:9" ht="15" customHeight="1" x14ac:dyDescent="0.35">
      <c r="A416" s="2978"/>
      <c r="B416" s="105">
        <v>53214040000000</v>
      </c>
      <c r="C416" s="1202" t="s">
        <v>150</v>
      </c>
      <c r="D416" s="947"/>
      <c r="E416" s="125"/>
      <c r="F416" s="126"/>
      <c r="G416" s="1192">
        <f t="shared" si="82"/>
        <v>0</v>
      </c>
      <c r="H416" s="1193">
        <f t="shared" si="83"/>
        <v>0</v>
      </c>
      <c r="I416" s="610"/>
    </row>
    <row r="417" spans="1:9" ht="15" customHeight="1" x14ac:dyDescent="0.35">
      <c r="A417" s="2978"/>
      <c r="B417" s="105">
        <v>55201010100004</v>
      </c>
      <c r="C417" s="124" t="s">
        <v>151</v>
      </c>
      <c r="D417" s="952"/>
      <c r="E417" s="125"/>
      <c r="F417" s="126"/>
      <c r="G417" s="1192">
        <f t="shared" si="82"/>
        <v>0</v>
      </c>
      <c r="H417" s="1193">
        <f t="shared" si="83"/>
        <v>0</v>
      </c>
      <c r="I417" s="610"/>
    </row>
    <row r="418" spans="1:9" ht="15" customHeight="1" x14ac:dyDescent="0.35">
      <c r="A418" s="2978"/>
      <c r="B418" s="105">
        <v>55201010100005</v>
      </c>
      <c r="C418" s="124" t="s">
        <v>152</v>
      </c>
      <c r="D418" s="952"/>
      <c r="E418" s="125"/>
      <c r="F418" s="126"/>
      <c r="G418" s="1192">
        <f t="shared" si="82"/>
        <v>0</v>
      </c>
      <c r="H418" s="1193">
        <f t="shared" si="83"/>
        <v>0</v>
      </c>
      <c r="I418" s="610"/>
    </row>
    <row r="419" spans="1:9" ht="15" customHeight="1" x14ac:dyDescent="0.35">
      <c r="A419" s="2978"/>
      <c r="B419" s="1043"/>
      <c r="C419" s="1184" t="s">
        <v>153</v>
      </c>
      <c r="D419" s="1185">
        <f>SUM(D420:D428)</f>
        <v>0</v>
      </c>
      <c r="E419" s="1194"/>
      <c r="F419" s="1194"/>
      <c r="G419" s="1187">
        <f>SUM(G420:G428)</f>
        <v>0</v>
      </c>
      <c r="H419" s="1026">
        <f>SUM(H420:H428)</f>
        <v>0</v>
      </c>
      <c r="I419" s="610"/>
    </row>
    <row r="420" spans="1:9" ht="15" customHeight="1" x14ac:dyDescent="0.35">
      <c r="A420" s="2978"/>
      <c r="B420" s="105">
        <v>53207010000000</v>
      </c>
      <c r="C420" s="124" t="s">
        <v>154</v>
      </c>
      <c r="D420" s="952"/>
      <c r="E420" s="125"/>
      <c r="F420" s="126"/>
      <c r="G420" s="1192">
        <f t="shared" ref="G420:G428" si="84">E420*F420</f>
        <v>0</v>
      </c>
      <c r="H420" s="1193">
        <f t="shared" ref="H420:H428" si="85">D420+G420</f>
        <v>0</v>
      </c>
      <c r="I420" s="610"/>
    </row>
    <row r="421" spans="1:9" ht="15" customHeight="1" x14ac:dyDescent="0.35">
      <c r="A421" s="2978"/>
      <c r="B421" s="105">
        <v>53207020000000</v>
      </c>
      <c r="C421" s="124" t="s">
        <v>155</v>
      </c>
      <c r="D421" s="952"/>
      <c r="E421" s="125"/>
      <c r="F421" s="126"/>
      <c r="G421" s="1192">
        <f t="shared" si="84"/>
        <v>0</v>
      </c>
      <c r="H421" s="1193">
        <f t="shared" si="85"/>
        <v>0</v>
      </c>
      <c r="I421" s="610"/>
    </row>
    <row r="422" spans="1:9" ht="15" customHeight="1" x14ac:dyDescent="0.35">
      <c r="A422" s="2978"/>
      <c r="B422" s="105">
        <v>53208020000000</v>
      </c>
      <c r="C422" s="124" t="s">
        <v>156</v>
      </c>
      <c r="D422" s="952"/>
      <c r="E422" s="125"/>
      <c r="F422" s="126"/>
      <c r="G422" s="1192">
        <f t="shared" si="84"/>
        <v>0</v>
      </c>
      <c r="H422" s="1193">
        <f t="shared" si="85"/>
        <v>0</v>
      </c>
      <c r="I422" s="610"/>
    </row>
    <row r="423" spans="1:9" ht="15" customHeight="1" x14ac:dyDescent="0.35">
      <c r="A423" s="2978"/>
      <c r="B423" s="105">
        <v>53208990000000</v>
      </c>
      <c r="C423" s="124" t="s">
        <v>157</v>
      </c>
      <c r="D423" s="952"/>
      <c r="E423" s="125"/>
      <c r="F423" s="126"/>
      <c r="G423" s="1192">
        <f t="shared" si="84"/>
        <v>0</v>
      </c>
      <c r="H423" s="1193">
        <f t="shared" si="85"/>
        <v>0</v>
      </c>
      <c r="I423" s="610"/>
    </row>
    <row r="424" spans="1:9" ht="15" customHeight="1" x14ac:dyDescent="0.35">
      <c r="A424" s="2978"/>
      <c r="B424" s="105">
        <v>53209010000000</v>
      </c>
      <c r="C424" s="124" t="s">
        <v>158</v>
      </c>
      <c r="D424" s="952"/>
      <c r="E424" s="125"/>
      <c r="F424" s="126"/>
      <c r="G424" s="1192">
        <f t="shared" si="84"/>
        <v>0</v>
      </c>
      <c r="H424" s="1193">
        <f t="shared" si="85"/>
        <v>0</v>
      </c>
      <c r="I424" s="610"/>
    </row>
    <row r="425" spans="1:9" ht="15" customHeight="1" x14ac:dyDescent="0.35">
      <c r="A425" s="2978"/>
      <c r="B425" s="105">
        <v>53209040000000</v>
      </c>
      <c r="C425" s="124" t="s">
        <v>159</v>
      </c>
      <c r="D425" s="952"/>
      <c r="E425" s="125"/>
      <c r="F425" s="126"/>
      <c r="G425" s="1192">
        <f t="shared" si="84"/>
        <v>0</v>
      </c>
      <c r="H425" s="1193">
        <f t="shared" si="85"/>
        <v>0</v>
      </c>
      <c r="I425" s="610"/>
    </row>
    <row r="426" spans="1:9" ht="15" customHeight="1" x14ac:dyDescent="0.35">
      <c r="A426" s="2978"/>
      <c r="B426" s="105">
        <v>53209050000000</v>
      </c>
      <c r="C426" s="124" t="s">
        <v>160</v>
      </c>
      <c r="D426" s="952"/>
      <c r="E426" s="125"/>
      <c r="F426" s="126"/>
      <c r="G426" s="1192">
        <f t="shared" si="84"/>
        <v>0</v>
      </c>
      <c r="H426" s="1193">
        <f t="shared" si="85"/>
        <v>0</v>
      </c>
      <c r="I426" s="610"/>
    </row>
    <row r="427" spans="1:9" ht="15" customHeight="1" x14ac:dyDescent="0.35">
      <c r="A427" s="2978"/>
      <c r="B427" s="105">
        <v>53209990000000</v>
      </c>
      <c r="C427" s="124" t="s">
        <v>161</v>
      </c>
      <c r="D427" s="952"/>
      <c r="E427" s="125"/>
      <c r="F427" s="126"/>
      <c r="G427" s="1192">
        <f t="shared" si="84"/>
        <v>0</v>
      </c>
      <c r="H427" s="1193">
        <f t="shared" si="85"/>
        <v>0</v>
      </c>
      <c r="I427" s="610"/>
    </row>
    <row r="428" spans="1:9" ht="15" customHeight="1" x14ac:dyDescent="0.35">
      <c r="A428" s="2978"/>
      <c r="B428" s="105">
        <v>53210020100000</v>
      </c>
      <c r="C428" s="124" t="s">
        <v>162</v>
      </c>
      <c r="D428" s="952"/>
      <c r="E428" s="125"/>
      <c r="F428" s="126"/>
      <c r="G428" s="1192">
        <f t="shared" si="84"/>
        <v>0</v>
      </c>
      <c r="H428" s="1193">
        <f t="shared" si="85"/>
        <v>0</v>
      </c>
      <c r="I428" s="610"/>
    </row>
    <row r="429" spans="1:9" ht="15" customHeight="1" x14ac:dyDescent="0.35">
      <c r="A429" s="2978"/>
      <c r="B429" s="1043"/>
      <c r="C429" s="1184" t="s">
        <v>163</v>
      </c>
      <c r="D429" s="1185">
        <f>SUM(D430:D436)</f>
        <v>0</v>
      </c>
      <c r="E429" s="1194"/>
      <c r="F429" s="1194"/>
      <c r="G429" s="1187">
        <f>SUM(G430:G436)</f>
        <v>0</v>
      </c>
      <c r="H429" s="1026">
        <f>SUM(H430:H436)</f>
        <v>0</v>
      </c>
      <c r="I429" s="610"/>
    </row>
    <row r="430" spans="1:9" ht="15" customHeight="1" x14ac:dyDescent="0.35">
      <c r="A430" s="2978"/>
      <c r="B430" s="105">
        <v>53206030000000</v>
      </c>
      <c r="C430" s="124" t="s">
        <v>164</v>
      </c>
      <c r="D430" s="952"/>
      <c r="E430" s="125"/>
      <c r="F430" s="126"/>
      <c r="G430" s="1192">
        <f t="shared" ref="G430:G436" si="86">E430*F430</f>
        <v>0</v>
      </c>
      <c r="H430" s="1193">
        <f t="shared" ref="H430:H436" si="87">D430+G430</f>
        <v>0</v>
      </c>
      <c r="I430" s="610"/>
    </row>
    <row r="431" spans="1:9" ht="15" customHeight="1" x14ac:dyDescent="0.35">
      <c r="A431" s="2978"/>
      <c r="B431" s="105">
        <v>53206040000000</v>
      </c>
      <c r="C431" s="124" t="s">
        <v>165</v>
      </c>
      <c r="D431" s="952"/>
      <c r="E431" s="125"/>
      <c r="F431" s="126"/>
      <c r="G431" s="1192">
        <f t="shared" si="86"/>
        <v>0</v>
      </c>
      <c r="H431" s="1193">
        <f t="shared" si="87"/>
        <v>0</v>
      </c>
      <c r="I431" s="610"/>
    </row>
    <row r="432" spans="1:9" ht="15" customHeight="1" x14ac:dyDescent="0.35">
      <c r="A432" s="2978"/>
      <c r="B432" s="105">
        <v>53206060000000</v>
      </c>
      <c r="C432" s="124" t="s">
        <v>166</v>
      </c>
      <c r="D432" s="952"/>
      <c r="E432" s="125"/>
      <c r="F432" s="126"/>
      <c r="G432" s="1192">
        <f t="shared" si="86"/>
        <v>0</v>
      </c>
      <c r="H432" s="1193">
        <f t="shared" si="87"/>
        <v>0</v>
      </c>
      <c r="I432" s="610"/>
    </row>
    <row r="433" spans="1:9" ht="15" customHeight="1" x14ac:dyDescent="0.35">
      <c r="A433" s="2978"/>
      <c r="B433" s="105">
        <v>53206070000000</v>
      </c>
      <c r="C433" s="124" t="s">
        <v>167</v>
      </c>
      <c r="D433" s="952"/>
      <c r="E433" s="125"/>
      <c r="F433" s="126"/>
      <c r="G433" s="1192">
        <f t="shared" si="86"/>
        <v>0</v>
      </c>
      <c r="H433" s="1193">
        <f t="shared" si="87"/>
        <v>0</v>
      </c>
      <c r="I433" s="610"/>
    </row>
    <row r="434" spans="1:9" ht="15" customHeight="1" x14ac:dyDescent="0.35">
      <c r="A434" s="2978"/>
      <c r="B434" s="105">
        <v>53206990000000</v>
      </c>
      <c r="C434" s="124" t="s">
        <v>168</v>
      </c>
      <c r="D434" s="952"/>
      <c r="E434" s="125"/>
      <c r="F434" s="126"/>
      <c r="G434" s="1192">
        <f t="shared" si="86"/>
        <v>0</v>
      </c>
      <c r="H434" s="1193">
        <f t="shared" si="87"/>
        <v>0</v>
      </c>
      <c r="I434" s="610"/>
    </row>
    <row r="435" spans="1:9" ht="15" customHeight="1" x14ac:dyDescent="0.35">
      <c r="A435" s="2978"/>
      <c r="B435" s="105">
        <v>53208030000000</v>
      </c>
      <c r="C435" s="124" t="s">
        <v>169</v>
      </c>
      <c r="D435" s="952"/>
      <c r="E435" s="125"/>
      <c r="F435" s="126"/>
      <c r="G435" s="1192">
        <f t="shared" si="86"/>
        <v>0</v>
      </c>
      <c r="H435" s="1193">
        <f t="shared" si="87"/>
        <v>0</v>
      </c>
      <c r="I435" s="610"/>
    </row>
    <row r="436" spans="1:9" ht="15" customHeight="1" x14ac:dyDescent="0.35">
      <c r="A436" s="2978"/>
      <c r="B436" s="105">
        <v>53212060000000</v>
      </c>
      <c r="C436" s="124" t="s">
        <v>170</v>
      </c>
      <c r="D436" s="952"/>
      <c r="E436" s="125"/>
      <c r="F436" s="126"/>
      <c r="G436" s="1192">
        <f t="shared" si="86"/>
        <v>0</v>
      </c>
      <c r="H436" s="1193">
        <f t="shared" si="87"/>
        <v>0</v>
      </c>
      <c r="I436" s="610"/>
    </row>
    <row r="437" spans="1:9" ht="15" customHeight="1" x14ac:dyDescent="0.35">
      <c r="A437" s="2978"/>
      <c r="B437" s="1043"/>
      <c r="C437" s="1184" t="s">
        <v>171</v>
      </c>
      <c r="D437" s="1185">
        <f>SUM(D438:D439)</f>
        <v>0</v>
      </c>
      <c r="E437" s="1194"/>
      <c r="F437" s="1194"/>
      <c r="G437" s="1187">
        <f>SUM(G438:G439)</f>
        <v>0</v>
      </c>
      <c r="H437" s="1026">
        <f>SUM(H438:H439)</f>
        <v>0</v>
      </c>
      <c r="I437" s="610"/>
    </row>
    <row r="438" spans="1:9" ht="15" customHeight="1" x14ac:dyDescent="0.35">
      <c r="A438" s="2978"/>
      <c r="B438" s="105">
        <v>53210020500000</v>
      </c>
      <c r="C438" s="124" t="s">
        <v>172</v>
      </c>
      <c r="D438" s="952"/>
      <c r="E438" s="125"/>
      <c r="F438" s="126"/>
      <c r="G438" s="1192">
        <f t="shared" ref="G438:G439" si="88">E438*F438</f>
        <v>0</v>
      </c>
      <c r="H438" s="1203">
        <f>D438+G438</f>
        <v>0</v>
      </c>
      <c r="I438" s="610"/>
    </row>
    <row r="439" spans="1:9" ht="15" customHeight="1" x14ac:dyDescent="0.35">
      <c r="A439" s="2978"/>
      <c r="B439" s="1053">
        <v>53204999000000</v>
      </c>
      <c r="C439" s="1035" t="s">
        <v>173</v>
      </c>
      <c r="D439" s="952"/>
      <c r="E439" s="125"/>
      <c r="F439" s="126"/>
      <c r="G439" s="1036">
        <f t="shared" si="88"/>
        <v>0</v>
      </c>
      <c r="H439" s="1203">
        <f>D439+G439</f>
        <v>0</v>
      </c>
      <c r="I439" s="610"/>
    </row>
    <row r="440" spans="1:9" ht="15" customHeight="1" x14ac:dyDescent="0.35">
      <c r="A440" s="2979"/>
      <c r="B440" s="1204"/>
      <c r="C440" s="1205" t="s">
        <v>12</v>
      </c>
      <c r="D440" s="1206">
        <f>SUM(D371,D399)</f>
        <v>67792614.290241718</v>
      </c>
      <c r="E440" s="1207"/>
      <c r="F440" s="1207"/>
      <c r="G440" s="1206">
        <f>SUM(G371,G399)</f>
        <v>0</v>
      </c>
      <c r="H440" s="1208">
        <f>SUM(H371,H399)</f>
        <v>67792614.290241718</v>
      </c>
      <c r="I440" s="610"/>
    </row>
    <row r="441" spans="1:9" ht="15" customHeight="1" x14ac:dyDescent="0.35">
      <c r="A441" s="3006" t="s">
        <v>21</v>
      </c>
      <c r="B441" s="3007" t="s">
        <v>97</v>
      </c>
      <c r="C441" s="3008" t="s">
        <v>98</v>
      </c>
      <c r="D441" s="3009" t="s">
        <v>99</v>
      </c>
      <c r="E441" s="3010" t="s">
        <v>100</v>
      </c>
      <c r="F441" s="3010"/>
      <c r="G441" s="3010"/>
      <c r="H441" s="3025" t="str">
        <f>+H369</f>
        <v>COSTO DIRECTO ESTIMADO 2026</v>
      </c>
      <c r="I441" s="3026" t="s">
        <v>101</v>
      </c>
    </row>
    <row r="442" spans="1:9" ht="38.25" customHeight="1" x14ac:dyDescent="0.35">
      <c r="A442" s="2967"/>
      <c r="B442" s="2981"/>
      <c r="C442" s="2999"/>
      <c r="D442" s="3001"/>
      <c r="E442" s="1121" t="s">
        <v>102</v>
      </c>
      <c r="F442" s="117" t="s">
        <v>103</v>
      </c>
      <c r="G442" s="1122" t="s">
        <v>104</v>
      </c>
      <c r="H442" s="2993"/>
      <c r="I442" s="3026"/>
    </row>
    <row r="443" spans="1:9" ht="15" customHeight="1" x14ac:dyDescent="0.35">
      <c r="A443" s="3027" t="str">
        <f>+'B) Reajuste Tarifas y Ocupación'!A63</f>
        <v>Piscina C.R. Las Salinas</v>
      </c>
      <c r="B443" s="1209"/>
      <c r="C443" s="1210" t="s">
        <v>105</v>
      </c>
      <c r="D443" s="1211">
        <f>SUM(D444,D449,D451)</f>
        <v>31083195.53738945</v>
      </c>
      <c r="E443" s="1212"/>
      <c r="F443" s="1212"/>
      <c r="G443" s="1211">
        <f>SUM(G444,G449,G451)</f>
        <v>0</v>
      </c>
      <c r="H443" s="1213">
        <f>SUM(H444,H449,H451)</f>
        <v>31083195.53738945</v>
      </c>
      <c r="I443" s="610"/>
    </row>
    <row r="444" spans="1:9" ht="15" customHeight="1" x14ac:dyDescent="0.35">
      <c r="A444" s="2978"/>
      <c r="B444" s="1043"/>
      <c r="C444" s="1214" t="s">
        <v>106</v>
      </c>
      <c r="D444" s="1215">
        <f>SUM(D445:D448)</f>
        <v>10929945.53738945</v>
      </c>
      <c r="E444" s="1216"/>
      <c r="F444" s="1216"/>
      <c r="G444" s="1217">
        <f>SUM(G445:G448)</f>
        <v>0</v>
      </c>
      <c r="H444" s="1218">
        <f>SUM(H445:H448)</f>
        <v>10929945.53738945</v>
      </c>
      <c r="I444" s="610"/>
    </row>
    <row r="445" spans="1:9" ht="15" customHeight="1" x14ac:dyDescent="0.35">
      <c r="A445" s="2978"/>
      <c r="B445" s="105">
        <v>53103040100000</v>
      </c>
      <c r="C445" s="1219" t="s">
        <v>107</v>
      </c>
      <c r="D445" s="1220">
        <f>+'F) Remuneraciones'!M146</f>
        <v>10929945.53738945</v>
      </c>
      <c r="E445" s="1221"/>
      <c r="F445" s="1221"/>
      <c r="G445" s="1221"/>
      <c r="H445" s="1222">
        <f>D445+G445</f>
        <v>10929945.53738945</v>
      </c>
      <c r="I445" s="610"/>
    </row>
    <row r="446" spans="1:9" ht="15" customHeight="1" x14ac:dyDescent="0.35">
      <c r="A446" s="2978"/>
      <c r="B446" s="105">
        <v>53103050000000</v>
      </c>
      <c r="C446" s="1219" t="s">
        <v>108</v>
      </c>
      <c r="D446" s="952"/>
      <c r="E446" s="125"/>
      <c r="F446" s="126"/>
      <c r="G446" s="1223">
        <f>E446*F446</f>
        <v>0</v>
      </c>
      <c r="H446" s="1076">
        <f>D446+G446</f>
        <v>0</v>
      </c>
      <c r="I446" s="610"/>
    </row>
    <row r="447" spans="1:9" ht="15" customHeight="1" x14ac:dyDescent="0.35">
      <c r="A447" s="2978"/>
      <c r="B447" s="105">
        <v>53103060000000</v>
      </c>
      <c r="C447" s="1219" t="s">
        <v>109</v>
      </c>
      <c r="D447" s="952"/>
      <c r="E447" s="125"/>
      <c r="F447" s="126"/>
      <c r="G447" s="1223">
        <f t="shared" ref="G447:G448" si="89">E447*F447</f>
        <v>0</v>
      </c>
      <c r="H447" s="1224">
        <f>D447+G447</f>
        <v>0</v>
      </c>
      <c r="I447" s="610"/>
    </row>
    <row r="448" spans="1:9" ht="15" customHeight="1" x14ac:dyDescent="0.35">
      <c r="A448" s="2978"/>
      <c r="B448" s="105">
        <v>53103080010000</v>
      </c>
      <c r="C448" s="1219" t="s">
        <v>110</v>
      </c>
      <c r="D448" s="952"/>
      <c r="E448" s="125"/>
      <c r="F448" s="126"/>
      <c r="G448" s="1223">
        <f t="shared" si="89"/>
        <v>0</v>
      </c>
      <c r="H448" s="1224">
        <f>D448+G448</f>
        <v>0</v>
      </c>
      <c r="I448" s="610"/>
    </row>
    <row r="449" spans="1:9" ht="15" customHeight="1" x14ac:dyDescent="0.35">
      <c r="A449" s="2978"/>
      <c r="B449" s="1043"/>
      <c r="C449" s="1214" t="s">
        <v>111</v>
      </c>
      <c r="D449" s="1215">
        <f>SUM(D450)</f>
        <v>0</v>
      </c>
      <c r="E449" s="1225"/>
      <c r="F449" s="1225"/>
      <c r="G449" s="1226">
        <f>SUM(G450:G450)</f>
        <v>0</v>
      </c>
      <c r="H449" s="1026">
        <f>SUM(H450:H450)</f>
        <v>0</v>
      </c>
      <c r="I449" s="610"/>
    </row>
    <row r="450" spans="1:9" ht="15" customHeight="1" x14ac:dyDescent="0.35">
      <c r="A450" s="2978"/>
      <c r="B450" s="105">
        <v>55201010100001</v>
      </c>
      <c r="C450" s="1219" t="s">
        <v>112</v>
      </c>
      <c r="D450" s="952"/>
      <c r="E450" s="125"/>
      <c r="F450" s="126"/>
      <c r="G450" s="1223">
        <f t="shared" ref="G450" si="90">E450*F450</f>
        <v>0</v>
      </c>
      <c r="H450" s="1224">
        <f>D450+G450</f>
        <v>0</v>
      </c>
      <c r="I450" s="610"/>
    </row>
    <row r="451" spans="1:9" ht="15" customHeight="1" x14ac:dyDescent="0.35">
      <c r="A451" s="2978"/>
      <c r="B451" s="1043"/>
      <c r="C451" s="1214" t="s">
        <v>113</v>
      </c>
      <c r="D451" s="1215">
        <f>SUM(D452:D470)</f>
        <v>20153250</v>
      </c>
      <c r="E451" s="1225"/>
      <c r="F451" s="1225"/>
      <c r="G451" s="1217">
        <f>SUM(G452:G470)</f>
        <v>0</v>
      </c>
      <c r="H451" s="1026">
        <f>SUM(H452:H470)</f>
        <v>20153250</v>
      </c>
      <c r="I451" s="610"/>
    </row>
    <row r="452" spans="1:9" ht="15" customHeight="1" x14ac:dyDescent="0.35">
      <c r="A452" s="2978"/>
      <c r="B452" s="105">
        <v>53201010100000</v>
      </c>
      <c r="C452" s="1219" t="s">
        <v>114</v>
      </c>
      <c r="D452" s="952"/>
      <c r="E452" s="125"/>
      <c r="F452" s="126"/>
      <c r="G452" s="1223">
        <f t="shared" ref="G452:G470" si="91">E452*F452</f>
        <v>0</v>
      </c>
      <c r="H452" s="1224">
        <f t="shared" ref="H452:H470" si="92">D452+G452</f>
        <v>0</v>
      </c>
      <c r="I452" s="610"/>
    </row>
    <row r="453" spans="1:9" ht="15" customHeight="1" x14ac:dyDescent="0.35">
      <c r="A453" s="2978"/>
      <c r="B453" s="105">
        <v>53202010100000</v>
      </c>
      <c r="C453" s="1219" t="s">
        <v>115</v>
      </c>
      <c r="D453" s="952"/>
      <c r="E453" s="125"/>
      <c r="F453" s="126"/>
      <c r="G453" s="1223">
        <f t="shared" si="91"/>
        <v>0</v>
      </c>
      <c r="H453" s="1224">
        <f t="shared" si="92"/>
        <v>0</v>
      </c>
      <c r="I453" s="610"/>
    </row>
    <row r="454" spans="1:9" ht="15" customHeight="1" x14ac:dyDescent="0.35">
      <c r="A454" s="2978"/>
      <c r="B454" s="105">
        <v>53203010100000</v>
      </c>
      <c r="C454" s="1219" t="s">
        <v>116</v>
      </c>
      <c r="D454" s="952"/>
      <c r="E454" s="125"/>
      <c r="F454" s="126"/>
      <c r="G454" s="1223">
        <f t="shared" si="91"/>
        <v>0</v>
      </c>
      <c r="H454" s="1224">
        <f t="shared" si="92"/>
        <v>0</v>
      </c>
      <c r="I454" s="610"/>
    </row>
    <row r="455" spans="1:9" ht="15" customHeight="1" x14ac:dyDescent="0.35">
      <c r="A455" s="2978"/>
      <c r="B455" s="105">
        <v>53203030000000</v>
      </c>
      <c r="C455" s="1219" t="s">
        <v>117</v>
      </c>
      <c r="D455" s="952"/>
      <c r="E455" s="125"/>
      <c r="F455" s="126"/>
      <c r="G455" s="1223">
        <f t="shared" si="91"/>
        <v>0</v>
      </c>
      <c r="H455" s="1224">
        <f t="shared" si="92"/>
        <v>0</v>
      </c>
      <c r="I455" s="610"/>
    </row>
    <row r="456" spans="1:9" ht="15" customHeight="1" x14ac:dyDescent="0.35">
      <c r="A456" s="2978"/>
      <c r="B456" s="105">
        <v>53204030000000</v>
      </c>
      <c r="C456" s="1219" t="s">
        <v>118</v>
      </c>
      <c r="D456" s="952">
        <v>11519559</v>
      </c>
      <c r="E456" s="125"/>
      <c r="F456" s="126"/>
      <c r="G456" s="1223">
        <f t="shared" si="91"/>
        <v>0</v>
      </c>
      <c r="H456" s="1224">
        <f>D456+G456</f>
        <v>11519559</v>
      </c>
      <c r="I456" s="611"/>
    </row>
    <row r="457" spans="1:9" ht="15" customHeight="1" x14ac:dyDescent="0.35">
      <c r="A457" s="2978"/>
      <c r="B457" s="105">
        <v>53204100100001</v>
      </c>
      <c r="C457" s="1219" t="s">
        <v>119</v>
      </c>
      <c r="D457" s="952"/>
      <c r="E457" s="125"/>
      <c r="F457" s="126"/>
      <c r="G457" s="1223">
        <f t="shared" si="91"/>
        <v>0</v>
      </c>
      <c r="H457" s="1224">
        <f t="shared" si="92"/>
        <v>0</v>
      </c>
      <c r="I457" s="610"/>
    </row>
    <row r="458" spans="1:9" ht="15" customHeight="1" x14ac:dyDescent="0.35">
      <c r="A458" s="2978"/>
      <c r="B458" s="105">
        <v>53204130100000</v>
      </c>
      <c r="C458" s="1219" t="s">
        <v>120</v>
      </c>
      <c r="D458" s="952"/>
      <c r="E458" s="125"/>
      <c r="F458" s="126"/>
      <c r="G458" s="1223">
        <f t="shared" si="91"/>
        <v>0</v>
      </c>
      <c r="H458" s="1224">
        <f t="shared" si="92"/>
        <v>0</v>
      </c>
      <c r="I458" s="610"/>
    </row>
    <row r="459" spans="1:9" x14ac:dyDescent="0.35">
      <c r="A459" s="2978"/>
      <c r="B459" s="105">
        <v>53205010100000</v>
      </c>
      <c r="C459" s="1219" t="s">
        <v>121</v>
      </c>
      <c r="D459" s="952"/>
      <c r="E459" s="125"/>
      <c r="F459" s="126"/>
      <c r="G459" s="1223">
        <f t="shared" si="91"/>
        <v>0</v>
      </c>
      <c r="H459" s="1224">
        <f t="shared" si="92"/>
        <v>0</v>
      </c>
      <c r="I459" s="610"/>
    </row>
    <row r="460" spans="1:9" ht="15" customHeight="1" x14ac:dyDescent="0.35">
      <c r="A460" s="2978"/>
      <c r="B460" s="105">
        <v>53205020100000</v>
      </c>
      <c r="C460" s="1219" t="s">
        <v>122</v>
      </c>
      <c r="D460" s="952">
        <v>8633691</v>
      </c>
      <c r="E460" s="125"/>
      <c r="F460" s="126"/>
      <c r="G460" s="1223">
        <f t="shared" si="91"/>
        <v>0</v>
      </c>
      <c r="H460" s="1224">
        <f t="shared" si="92"/>
        <v>8633691</v>
      </c>
      <c r="I460" s="610"/>
    </row>
    <row r="461" spans="1:9" ht="15" customHeight="1" x14ac:dyDescent="0.35">
      <c r="A461" s="2978"/>
      <c r="B461" s="105">
        <v>53205030100000</v>
      </c>
      <c r="C461" s="1219" t="s">
        <v>123</v>
      </c>
      <c r="D461" s="952"/>
      <c r="E461" s="125"/>
      <c r="F461" s="126"/>
      <c r="G461" s="1223">
        <f t="shared" si="91"/>
        <v>0</v>
      </c>
      <c r="H461" s="1224">
        <f t="shared" si="92"/>
        <v>0</v>
      </c>
      <c r="I461" s="610"/>
    </row>
    <row r="462" spans="1:9" ht="15" customHeight="1" x14ac:dyDescent="0.35">
      <c r="A462" s="2978"/>
      <c r="B462" s="105">
        <v>53205050100000</v>
      </c>
      <c r="C462" s="1219" t="s">
        <v>124</v>
      </c>
      <c r="D462" s="952"/>
      <c r="E462" s="125"/>
      <c r="F462" s="126"/>
      <c r="G462" s="1223">
        <f t="shared" si="91"/>
        <v>0</v>
      </c>
      <c r="H462" s="1224">
        <f t="shared" si="92"/>
        <v>0</v>
      </c>
      <c r="I462" s="610"/>
    </row>
    <row r="463" spans="1:9" ht="15" customHeight="1" x14ac:dyDescent="0.35">
      <c r="A463" s="2978"/>
      <c r="B463" s="105">
        <v>53205060100000</v>
      </c>
      <c r="C463" s="1219" t="s">
        <v>125</v>
      </c>
      <c r="D463" s="952"/>
      <c r="E463" s="125"/>
      <c r="F463" s="126"/>
      <c r="G463" s="1223">
        <f t="shared" si="91"/>
        <v>0</v>
      </c>
      <c r="H463" s="1224">
        <f t="shared" si="92"/>
        <v>0</v>
      </c>
      <c r="I463" s="610"/>
    </row>
    <row r="464" spans="1:9" ht="15" customHeight="1" x14ac:dyDescent="0.35">
      <c r="A464" s="2978"/>
      <c r="B464" s="105">
        <v>53205070100000</v>
      </c>
      <c r="C464" s="1219" t="s">
        <v>126</v>
      </c>
      <c r="D464" s="952"/>
      <c r="E464" s="125"/>
      <c r="F464" s="126"/>
      <c r="G464" s="1223">
        <f t="shared" si="91"/>
        <v>0</v>
      </c>
      <c r="H464" s="1224">
        <f t="shared" si="92"/>
        <v>0</v>
      </c>
      <c r="I464" s="610"/>
    </row>
    <row r="465" spans="1:9" ht="15" customHeight="1" x14ac:dyDescent="0.35">
      <c r="A465" s="2978"/>
      <c r="B465" s="105">
        <v>53208010100000</v>
      </c>
      <c r="C465" s="1219" t="s">
        <v>127</v>
      </c>
      <c r="D465" s="952"/>
      <c r="E465" s="125"/>
      <c r="F465" s="126"/>
      <c r="G465" s="1223">
        <f t="shared" si="91"/>
        <v>0</v>
      </c>
      <c r="H465" s="1224">
        <f t="shared" si="92"/>
        <v>0</v>
      </c>
      <c r="I465" s="610"/>
    </row>
    <row r="466" spans="1:9" ht="15" customHeight="1" x14ac:dyDescent="0.35">
      <c r="A466" s="2978"/>
      <c r="B466" s="105">
        <v>53208070100001</v>
      </c>
      <c r="C466" s="1219" t="s">
        <v>128</v>
      </c>
      <c r="D466" s="952"/>
      <c r="E466" s="125"/>
      <c r="F466" s="126"/>
      <c r="G466" s="1223">
        <f t="shared" si="91"/>
        <v>0</v>
      </c>
      <c r="H466" s="1224">
        <f t="shared" si="92"/>
        <v>0</v>
      </c>
      <c r="I466" s="610"/>
    </row>
    <row r="467" spans="1:9" ht="15" customHeight="1" x14ac:dyDescent="0.35">
      <c r="A467" s="2978"/>
      <c r="B467" s="105">
        <v>53208100100001</v>
      </c>
      <c r="C467" s="1219" t="s">
        <v>129</v>
      </c>
      <c r="D467" s="952"/>
      <c r="E467" s="125"/>
      <c r="F467" s="126"/>
      <c r="G467" s="1223">
        <f t="shared" si="91"/>
        <v>0</v>
      </c>
      <c r="H467" s="1224">
        <f t="shared" si="92"/>
        <v>0</v>
      </c>
      <c r="I467" s="610"/>
    </row>
    <row r="468" spans="1:9" ht="15" customHeight="1" x14ac:dyDescent="0.35">
      <c r="A468" s="2978"/>
      <c r="B468" s="105">
        <v>53211030000000</v>
      </c>
      <c r="C468" s="1219" t="s">
        <v>130</v>
      </c>
      <c r="D468" s="952"/>
      <c r="E468" s="125"/>
      <c r="F468" s="126"/>
      <c r="G468" s="1223">
        <f t="shared" si="91"/>
        <v>0</v>
      </c>
      <c r="H468" s="1224">
        <f t="shared" si="92"/>
        <v>0</v>
      </c>
      <c r="I468" s="610"/>
    </row>
    <row r="469" spans="1:9" ht="15" customHeight="1" x14ac:dyDescent="0.35">
      <c r="A469" s="2978"/>
      <c r="B469" s="105">
        <v>53212020100000</v>
      </c>
      <c r="C469" s="1219" t="s">
        <v>131</v>
      </c>
      <c r="D469" s="952"/>
      <c r="E469" s="125"/>
      <c r="F469" s="126"/>
      <c r="G469" s="1223">
        <f t="shared" si="91"/>
        <v>0</v>
      </c>
      <c r="H469" s="1224">
        <f t="shared" si="92"/>
        <v>0</v>
      </c>
      <c r="I469" s="610"/>
    </row>
    <row r="470" spans="1:9" ht="15" customHeight="1" x14ac:dyDescent="0.35">
      <c r="A470" s="2978"/>
      <c r="B470" s="105">
        <v>53214020000000</v>
      </c>
      <c r="C470" s="1219" t="s">
        <v>132</v>
      </c>
      <c r="D470" s="952"/>
      <c r="E470" s="125"/>
      <c r="F470" s="126"/>
      <c r="G470" s="1223">
        <f t="shared" si="91"/>
        <v>0</v>
      </c>
      <c r="H470" s="1224">
        <f t="shared" si="92"/>
        <v>0</v>
      </c>
      <c r="I470" s="610"/>
    </row>
    <row r="471" spans="1:9" ht="15" customHeight="1" x14ac:dyDescent="0.35">
      <c r="A471" s="2978"/>
      <c r="B471" s="1209"/>
      <c r="C471" s="1210" t="s">
        <v>133</v>
      </c>
      <c r="D471" s="1227">
        <f>SUM(D472,D477,D480,D491,D501,D509)</f>
        <v>295407</v>
      </c>
      <c r="E471" s="1212"/>
      <c r="F471" s="1212"/>
      <c r="G471" s="1228">
        <f>SUM(G472,G477,G480,G491,G501,G509)</f>
        <v>0</v>
      </c>
      <c r="H471" s="1042">
        <f>SUM(H472,H477,H480,H491,H501,H509)</f>
        <v>295407</v>
      </c>
      <c r="I471" s="610"/>
    </row>
    <row r="472" spans="1:9" ht="15" customHeight="1" x14ac:dyDescent="0.35">
      <c r="A472" s="2978"/>
      <c r="B472" s="1043"/>
      <c r="C472" s="1214" t="s">
        <v>134</v>
      </c>
      <c r="D472" s="1215">
        <f>SUM(D473:D476)</f>
        <v>295407</v>
      </c>
      <c r="E472" s="1225"/>
      <c r="F472" s="1225"/>
      <c r="G472" s="1226">
        <f>SUM(G473:G476)</f>
        <v>0</v>
      </c>
      <c r="H472" s="1229">
        <f>SUM(H473:H476)</f>
        <v>295407</v>
      </c>
      <c r="I472" s="610"/>
    </row>
    <row r="473" spans="1:9" ht="15" customHeight="1" x14ac:dyDescent="0.35">
      <c r="A473" s="2978"/>
      <c r="B473" s="105">
        <v>53202020100000</v>
      </c>
      <c r="C473" s="1219" t="s">
        <v>135</v>
      </c>
      <c r="D473" s="952">
        <v>295407</v>
      </c>
      <c r="E473" s="125"/>
      <c r="F473" s="126"/>
      <c r="G473" s="1223">
        <f>E473*F473</f>
        <v>0</v>
      </c>
      <c r="H473" s="1224">
        <f>D473+G473</f>
        <v>295407</v>
      </c>
      <c r="I473" s="610"/>
    </row>
    <row r="474" spans="1:9" ht="15" customHeight="1" x14ac:dyDescent="0.35">
      <c r="A474" s="2978"/>
      <c r="B474" s="105">
        <v>53202030000000</v>
      </c>
      <c r="C474" s="1219" t="s">
        <v>136</v>
      </c>
      <c r="D474" s="952">
        <v>0</v>
      </c>
      <c r="E474" s="125"/>
      <c r="F474" s="126"/>
      <c r="G474" s="1223">
        <f t="shared" ref="G474:G476" si="93">E474*F474</f>
        <v>0</v>
      </c>
      <c r="H474" s="1224">
        <f>D474+G474</f>
        <v>0</v>
      </c>
      <c r="I474" s="610"/>
    </row>
    <row r="475" spans="1:9" ht="15" customHeight="1" x14ac:dyDescent="0.35">
      <c r="A475" s="2978"/>
      <c r="B475" s="105">
        <v>53211020000000</v>
      </c>
      <c r="C475" s="1219" t="s">
        <v>137</v>
      </c>
      <c r="D475" s="952"/>
      <c r="E475" s="125"/>
      <c r="F475" s="126"/>
      <c r="G475" s="1223">
        <f t="shared" si="93"/>
        <v>0</v>
      </c>
      <c r="H475" s="1224">
        <f>D475+G475</f>
        <v>0</v>
      </c>
      <c r="I475" s="610"/>
    </row>
    <row r="476" spans="1:9" ht="15" customHeight="1" x14ac:dyDescent="0.35">
      <c r="A476" s="2978"/>
      <c r="B476" s="105">
        <v>53101004030000</v>
      </c>
      <c r="C476" s="1219" t="s">
        <v>138</v>
      </c>
      <c r="D476" s="952"/>
      <c r="E476" s="125"/>
      <c r="F476" s="126"/>
      <c r="G476" s="1223">
        <f t="shared" si="93"/>
        <v>0</v>
      </c>
      <c r="H476" s="1224">
        <f>D476+G476</f>
        <v>0</v>
      </c>
      <c r="I476" s="610"/>
    </row>
    <row r="477" spans="1:9" ht="15" customHeight="1" x14ac:dyDescent="0.35">
      <c r="A477" s="2978"/>
      <c r="B477" s="1043"/>
      <c r="C477" s="1214" t="s">
        <v>139</v>
      </c>
      <c r="D477" s="1215">
        <f>SUM(D478:D479)</f>
        <v>0</v>
      </c>
      <c r="E477" s="1225"/>
      <c r="F477" s="1225"/>
      <c r="G477" s="1226">
        <f>SUM(G478:G479)</f>
        <v>0</v>
      </c>
      <c r="H477" s="1229">
        <f>SUM(H478:H479)</f>
        <v>0</v>
      </c>
      <c r="I477" s="610"/>
    </row>
    <row r="478" spans="1:9" ht="15" customHeight="1" x14ac:dyDescent="0.35">
      <c r="A478" s="2978"/>
      <c r="B478" s="105">
        <v>53205080000000</v>
      </c>
      <c r="C478" s="1230" t="s">
        <v>140</v>
      </c>
      <c r="D478" s="952"/>
      <c r="E478" s="125"/>
      <c r="F478" s="126"/>
      <c r="G478" s="1223">
        <f t="shared" ref="G478:G479" si="94">E478*F478</f>
        <v>0</v>
      </c>
      <c r="H478" s="1224">
        <f>D478+G478</f>
        <v>0</v>
      </c>
      <c r="I478" s="610"/>
    </row>
    <row r="479" spans="1:9" ht="15" customHeight="1" x14ac:dyDescent="0.35">
      <c r="A479" s="2978"/>
      <c r="B479" s="105">
        <v>53205990000000</v>
      </c>
      <c r="C479" s="1219" t="s">
        <v>141</v>
      </c>
      <c r="D479" s="952"/>
      <c r="E479" s="125"/>
      <c r="F479" s="126"/>
      <c r="G479" s="1223">
        <f t="shared" si="94"/>
        <v>0</v>
      </c>
      <c r="H479" s="1224">
        <f>D479+G479</f>
        <v>0</v>
      </c>
      <c r="I479" s="610"/>
    </row>
    <row r="480" spans="1:9" ht="15" customHeight="1" x14ac:dyDescent="0.35">
      <c r="A480" s="2978"/>
      <c r="B480" s="1043"/>
      <c r="C480" s="1214" t="s">
        <v>142</v>
      </c>
      <c r="D480" s="1215">
        <f>SUM(D481:D490)</f>
        <v>0</v>
      </c>
      <c r="E480" s="1225"/>
      <c r="F480" s="1225"/>
      <c r="G480" s="1217">
        <f>SUM(G481:G490)</f>
        <v>0</v>
      </c>
      <c r="H480" s="1026">
        <f>SUM(H481:H490)</f>
        <v>0</v>
      </c>
      <c r="I480" s="610"/>
    </row>
    <row r="481" spans="1:9" ht="15" customHeight="1" x14ac:dyDescent="0.35">
      <c r="A481" s="2978"/>
      <c r="B481" s="105">
        <v>53203010200000</v>
      </c>
      <c r="C481" s="1219" t="s">
        <v>143</v>
      </c>
      <c r="D481" s="952"/>
      <c r="E481" s="125"/>
      <c r="F481" s="126"/>
      <c r="G481" s="1223">
        <f t="shared" ref="G481:G490" si="95">E481*F481</f>
        <v>0</v>
      </c>
      <c r="H481" s="1224">
        <f t="shared" ref="H481:H490" si="96">D481+G481</f>
        <v>0</v>
      </c>
      <c r="I481" s="610"/>
    </row>
    <row r="482" spans="1:9" ht="15" customHeight="1" x14ac:dyDescent="0.35">
      <c r="A482" s="2978"/>
      <c r="B482" s="105">
        <v>53204010000000</v>
      </c>
      <c r="C482" s="1219" t="s">
        <v>144</v>
      </c>
      <c r="D482" s="952"/>
      <c r="E482" s="125"/>
      <c r="F482" s="126"/>
      <c r="G482" s="1223">
        <f t="shared" si="95"/>
        <v>0</v>
      </c>
      <c r="H482" s="1224">
        <f t="shared" si="96"/>
        <v>0</v>
      </c>
      <c r="I482" s="610"/>
    </row>
    <row r="483" spans="1:9" ht="15" customHeight="1" x14ac:dyDescent="0.35">
      <c r="A483" s="2978"/>
      <c r="B483" s="105">
        <v>53204040200000</v>
      </c>
      <c r="C483" s="1230" t="s">
        <v>145</v>
      </c>
      <c r="D483" s="952"/>
      <c r="E483" s="125"/>
      <c r="F483" s="126"/>
      <c r="G483" s="1223">
        <f t="shared" si="95"/>
        <v>0</v>
      </c>
      <c r="H483" s="1224">
        <f t="shared" si="96"/>
        <v>0</v>
      </c>
      <c r="I483" s="610"/>
    </row>
    <row r="484" spans="1:9" ht="15" customHeight="1" x14ac:dyDescent="0.35">
      <c r="A484" s="2978"/>
      <c r="B484" s="105">
        <v>53204060000000</v>
      </c>
      <c r="C484" s="1230" t="s">
        <v>146</v>
      </c>
      <c r="D484" s="952"/>
      <c r="E484" s="125"/>
      <c r="F484" s="126"/>
      <c r="G484" s="1223">
        <f t="shared" si="95"/>
        <v>0</v>
      </c>
      <c r="H484" s="1224">
        <f t="shared" si="96"/>
        <v>0</v>
      </c>
      <c r="I484" s="610"/>
    </row>
    <row r="485" spans="1:9" ht="15" customHeight="1" x14ac:dyDescent="0.35">
      <c r="A485" s="2978"/>
      <c r="B485" s="105">
        <v>53204070000000</v>
      </c>
      <c r="C485" s="1219" t="s">
        <v>147</v>
      </c>
      <c r="D485" s="952"/>
      <c r="E485" s="125"/>
      <c r="F485" s="126"/>
      <c r="G485" s="1223">
        <f t="shared" si="95"/>
        <v>0</v>
      </c>
      <c r="H485" s="1224">
        <f t="shared" si="96"/>
        <v>0</v>
      </c>
      <c r="I485" s="610"/>
    </row>
    <row r="486" spans="1:9" ht="15" customHeight="1" x14ac:dyDescent="0.35">
      <c r="A486" s="2978"/>
      <c r="B486" s="105">
        <v>53204080000000</v>
      </c>
      <c r="C486" s="1230" t="s">
        <v>148</v>
      </c>
      <c r="D486" s="952"/>
      <c r="E486" s="125"/>
      <c r="F486" s="126"/>
      <c r="G486" s="1223">
        <f t="shared" si="95"/>
        <v>0</v>
      </c>
      <c r="H486" s="1224">
        <f t="shared" si="96"/>
        <v>0</v>
      </c>
      <c r="I486" s="610"/>
    </row>
    <row r="487" spans="1:9" ht="15" customHeight="1" x14ac:dyDescent="0.35">
      <c r="A487" s="2978"/>
      <c r="B487" s="105">
        <v>53214010000000</v>
      </c>
      <c r="C487" s="1230" t="s">
        <v>149</v>
      </c>
      <c r="D487" s="952"/>
      <c r="E487" s="125"/>
      <c r="F487" s="126"/>
      <c r="G487" s="1223">
        <f t="shared" si="95"/>
        <v>0</v>
      </c>
      <c r="H487" s="1224">
        <f t="shared" si="96"/>
        <v>0</v>
      </c>
      <c r="I487" s="610"/>
    </row>
    <row r="488" spans="1:9" ht="15" customHeight="1" x14ac:dyDescent="0.35">
      <c r="A488" s="2978"/>
      <c r="B488" s="105">
        <v>53214040000000</v>
      </c>
      <c r="C488" s="1219" t="s">
        <v>150</v>
      </c>
      <c r="D488" s="952"/>
      <c r="E488" s="125"/>
      <c r="F488" s="126"/>
      <c r="G488" s="1223">
        <f t="shared" si="95"/>
        <v>0</v>
      </c>
      <c r="H488" s="1224">
        <f t="shared" si="96"/>
        <v>0</v>
      </c>
      <c r="I488" s="610"/>
    </row>
    <row r="489" spans="1:9" ht="15" customHeight="1" x14ac:dyDescent="0.35">
      <c r="A489" s="2978"/>
      <c r="B489" s="105">
        <v>55201010100004</v>
      </c>
      <c r="C489" s="1219" t="s">
        <v>151</v>
      </c>
      <c r="D489" s="952"/>
      <c r="E489" s="125"/>
      <c r="F489" s="126"/>
      <c r="G489" s="1223">
        <f t="shared" si="95"/>
        <v>0</v>
      </c>
      <c r="H489" s="1224">
        <f t="shared" si="96"/>
        <v>0</v>
      </c>
      <c r="I489" s="610"/>
    </row>
    <row r="490" spans="1:9" ht="15" customHeight="1" x14ac:dyDescent="0.35">
      <c r="A490" s="2978"/>
      <c r="B490" s="105">
        <v>55201010100005</v>
      </c>
      <c r="C490" s="1219" t="s">
        <v>152</v>
      </c>
      <c r="D490" s="952"/>
      <c r="E490" s="125"/>
      <c r="F490" s="126"/>
      <c r="G490" s="1223">
        <f t="shared" si="95"/>
        <v>0</v>
      </c>
      <c r="H490" s="1224">
        <f t="shared" si="96"/>
        <v>0</v>
      </c>
      <c r="I490" s="610"/>
    </row>
    <row r="491" spans="1:9" ht="15" customHeight="1" x14ac:dyDescent="0.35">
      <c r="A491" s="2978"/>
      <c r="B491" s="1043"/>
      <c r="C491" s="1214" t="s">
        <v>153</v>
      </c>
      <c r="D491" s="1215">
        <f>SUM(D492:D500)</f>
        <v>0</v>
      </c>
      <c r="E491" s="1225"/>
      <c r="F491" s="1225"/>
      <c r="G491" s="1217">
        <f>SUM(G492:G500)</f>
        <v>0</v>
      </c>
      <c r="H491" s="1026">
        <f>SUM(H492:H500)</f>
        <v>0</v>
      </c>
      <c r="I491" s="610"/>
    </row>
    <row r="492" spans="1:9" ht="15" customHeight="1" x14ac:dyDescent="0.35">
      <c r="A492" s="2978"/>
      <c r="B492" s="105">
        <v>53207010000000</v>
      </c>
      <c r="C492" s="1219" t="s">
        <v>154</v>
      </c>
      <c r="D492" s="952"/>
      <c r="E492" s="125"/>
      <c r="F492" s="126"/>
      <c r="G492" s="1223">
        <f t="shared" ref="G492:G500" si="97">E492*F492</f>
        <v>0</v>
      </c>
      <c r="H492" s="1224">
        <f t="shared" ref="H492:H500" si="98">D492+G492</f>
        <v>0</v>
      </c>
      <c r="I492" s="610"/>
    </row>
    <row r="493" spans="1:9" ht="15" customHeight="1" x14ac:dyDescent="0.35">
      <c r="A493" s="2978"/>
      <c r="B493" s="105">
        <v>53207020000000</v>
      </c>
      <c r="C493" s="1219" t="s">
        <v>155</v>
      </c>
      <c r="D493" s="952"/>
      <c r="E493" s="125"/>
      <c r="F493" s="126"/>
      <c r="G493" s="1223">
        <f t="shared" si="97"/>
        <v>0</v>
      </c>
      <c r="H493" s="1224">
        <f t="shared" si="98"/>
        <v>0</v>
      </c>
      <c r="I493" s="610" t="s">
        <v>1236</v>
      </c>
    </row>
    <row r="494" spans="1:9" ht="15" customHeight="1" x14ac:dyDescent="0.35">
      <c r="A494" s="2978"/>
      <c r="B494" s="105">
        <v>53208020000000</v>
      </c>
      <c r="C494" s="1219" t="s">
        <v>156</v>
      </c>
      <c r="D494" s="952"/>
      <c r="E494" s="125"/>
      <c r="F494" s="126"/>
      <c r="G494" s="1223">
        <f t="shared" si="97"/>
        <v>0</v>
      </c>
      <c r="H494" s="1224">
        <f t="shared" si="98"/>
        <v>0</v>
      </c>
      <c r="I494" s="610"/>
    </row>
    <row r="495" spans="1:9" ht="15" customHeight="1" x14ac:dyDescent="0.35">
      <c r="A495" s="2978"/>
      <c r="B495" s="105">
        <v>53208990000000</v>
      </c>
      <c r="C495" s="1219" t="s">
        <v>157</v>
      </c>
      <c r="D495" s="952"/>
      <c r="E495" s="125"/>
      <c r="F495" s="126"/>
      <c r="G495" s="1223">
        <f t="shared" si="97"/>
        <v>0</v>
      </c>
      <c r="H495" s="1224">
        <f t="shared" si="98"/>
        <v>0</v>
      </c>
      <c r="I495" s="610"/>
    </row>
    <row r="496" spans="1:9" ht="15" customHeight="1" x14ac:dyDescent="0.35">
      <c r="A496" s="2978"/>
      <c r="B496" s="105">
        <v>53209010000000</v>
      </c>
      <c r="C496" s="1219" t="s">
        <v>158</v>
      </c>
      <c r="D496" s="952"/>
      <c r="E496" s="125"/>
      <c r="F496" s="126"/>
      <c r="G496" s="1223">
        <f t="shared" si="97"/>
        <v>0</v>
      </c>
      <c r="H496" s="1224">
        <f t="shared" si="98"/>
        <v>0</v>
      </c>
      <c r="I496" s="610"/>
    </row>
    <row r="497" spans="1:9" ht="15" customHeight="1" x14ac:dyDescent="0.35">
      <c r="A497" s="2978"/>
      <c r="B497" s="105">
        <v>53209040000000</v>
      </c>
      <c r="C497" s="1219" t="s">
        <v>159</v>
      </c>
      <c r="D497" s="952"/>
      <c r="E497" s="125"/>
      <c r="F497" s="126"/>
      <c r="G497" s="1223">
        <f t="shared" si="97"/>
        <v>0</v>
      </c>
      <c r="H497" s="1224">
        <f t="shared" si="98"/>
        <v>0</v>
      </c>
      <c r="I497" s="610"/>
    </row>
    <row r="498" spans="1:9" ht="15" customHeight="1" x14ac:dyDescent="0.35">
      <c r="A498" s="2978"/>
      <c r="B498" s="105">
        <v>53209050000000</v>
      </c>
      <c r="C498" s="1219" t="s">
        <v>160</v>
      </c>
      <c r="D498" s="952"/>
      <c r="E498" s="125"/>
      <c r="F498" s="126"/>
      <c r="G498" s="1223">
        <f t="shared" si="97"/>
        <v>0</v>
      </c>
      <c r="H498" s="1224">
        <f t="shared" si="98"/>
        <v>0</v>
      </c>
      <c r="I498" s="610"/>
    </row>
    <row r="499" spans="1:9" ht="15" customHeight="1" x14ac:dyDescent="0.35">
      <c r="A499" s="2978"/>
      <c r="B499" s="105">
        <v>53209990000000</v>
      </c>
      <c r="C499" s="1219" t="s">
        <v>161</v>
      </c>
      <c r="D499" s="952"/>
      <c r="E499" s="125"/>
      <c r="F499" s="126"/>
      <c r="G499" s="1223">
        <f t="shared" si="97"/>
        <v>0</v>
      </c>
      <c r="H499" s="1224">
        <f t="shared" si="98"/>
        <v>0</v>
      </c>
      <c r="I499" s="610"/>
    </row>
    <row r="500" spans="1:9" ht="15" customHeight="1" x14ac:dyDescent="0.35">
      <c r="A500" s="2978"/>
      <c r="B500" s="105">
        <v>53210020100000</v>
      </c>
      <c r="C500" s="1219" t="s">
        <v>162</v>
      </c>
      <c r="D500" s="952"/>
      <c r="E500" s="125"/>
      <c r="F500" s="126"/>
      <c r="G500" s="1223">
        <f t="shared" si="97"/>
        <v>0</v>
      </c>
      <c r="H500" s="1224">
        <f t="shared" si="98"/>
        <v>0</v>
      </c>
      <c r="I500" s="610"/>
    </row>
    <row r="501" spans="1:9" ht="15" customHeight="1" x14ac:dyDescent="0.35">
      <c r="A501" s="2978"/>
      <c r="B501" s="1043"/>
      <c r="C501" s="1214" t="s">
        <v>163</v>
      </c>
      <c r="D501" s="1215">
        <f>SUM(D502:D508)</f>
        <v>0</v>
      </c>
      <c r="E501" s="1225"/>
      <c r="F501" s="1225"/>
      <c r="G501" s="1217">
        <f>SUM(G502:G508)</f>
        <v>0</v>
      </c>
      <c r="H501" s="1026">
        <f>SUM(H502:H508)</f>
        <v>0</v>
      </c>
      <c r="I501" s="610"/>
    </row>
    <row r="502" spans="1:9" ht="15" customHeight="1" x14ac:dyDescent="0.35">
      <c r="A502" s="2978"/>
      <c r="B502" s="105">
        <v>53206030000000</v>
      </c>
      <c r="C502" s="1219" t="s">
        <v>164</v>
      </c>
      <c r="D502" s="952"/>
      <c r="E502" s="125"/>
      <c r="F502" s="126"/>
      <c r="G502" s="1223">
        <f t="shared" ref="G502:G508" si="99">E502*F502</f>
        <v>0</v>
      </c>
      <c r="H502" s="1224">
        <f t="shared" ref="H502:H508" si="100">D502+G502</f>
        <v>0</v>
      </c>
      <c r="I502" s="610"/>
    </row>
    <row r="503" spans="1:9" ht="15" customHeight="1" x14ac:dyDescent="0.35">
      <c r="A503" s="2978"/>
      <c r="B503" s="105">
        <v>53206040000000</v>
      </c>
      <c r="C503" s="1219" t="s">
        <v>165</v>
      </c>
      <c r="D503" s="952"/>
      <c r="E503" s="125"/>
      <c r="F503" s="126"/>
      <c r="G503" s="1223">
        <f t="shared" si="99"/>
        <v>0</v>
      </c>
      <c r="H503" s="1224">
        <f t="shared" si="100"/>
        <v>0</v>
      </c>
      <c r="I503" s="610"/>
    </row>
    <row r="504" spans="1:9" ht="15" customHeight="1" x14ac:dyDescent="0.35">
      <c r="A504" s="2978"/>
      <c r="B504" s="105">
        <v>53206060000000</v>
      </c>
      <c r="C504" s="1219" t="s">
        <v>166</v>
      </c>
      <c r="D504" s="952"/>
      <c r="E504" s="125"/>
      <c r="F504" s="126"/>
      <c r="G504" s="1223">
        <f t="shared" si="99"/>
        <v>0</v>
      </c>
      <c r="H504" s="1224">
        <f t="shared" si="100"/>
        <v>0</v>
      </c>
      <c r="I504" s="610"/>
    </row>
    <row r="505" spans="1:9" ht="15" customHeight="1" x14ac:dyDescent="0.35">
      <c r="A505" s="2978"/>
      <c r="B505" s="105">
        <v>53206070000000</v>
      </c>
      <c r="C505" s="1219" t="s">
        <v>167</v>
      </c>
      <c r="D505" s="952"/>
      <c r="E505" s="125"/>
      <c r="F505" s="126"/>
      <c r="G505" s="1223">
        <f t="shared" si="99"/>
        <v>0</v>
      </c>
      <c r="H505" s="1224">
        <f t="shared" si="100"/>
        <v>0</v>
      </c>
      <c r="I505" s="610"/>
    </row>
    <row r="506" spans="1:9" ht="15" customHeight="1" x14ac:dyDescent="0.35">
      <c r="A506" s="2978"/>
      <c r="B506" s="105">
        <v>53206990000000</v>
      </c>
      <c r="C506" s="1219" t="s">
        <v>168</v>
      </c>
      <c r="D506" s="952"/>
      <c r="E506" s="125"/>
      <c r="F506" s="126"/>
      <c r="G506" s="1223">
        <f t="shared" si="99"/>
        <v>0</v>
      </c>
      <c r="H506" s="1224">
        <f t="shared" si="100"/>
        <v>0</v>
      </c>
      <c r="I506" s="610"/>
    </row>
    <row r="507" spans="1:9" ht="15" customHeight="1" x14ac:dyDescent="0.35">
      <c r="A507" s="2978"/>
      <c r="B507" s="105">
        <v>53208030000000</v>
      </c>
      <c r="C507" s="1219" t="s">
        <v>169</v>
      </c>
      <c r="D507" s="952"/>
      <c r="E507" s="125"/>
      <c r="F507" s="126"/>
      <c r="G507" s="1223">
        <f t="shared" si="99"/>
        <v>0</v>
      </c>
      <c r="H507" s="1224">
        <f t="shared" si="100"/>
        <v>0</v>
      </c>
      <c r="I507" s="610"/>
    </row>
    <row r="508" spans="1:9" ht="15" customHeight="1" x14ac:dyDescent="0.35">
      <c r="A508" s="2978"/>
      <c r="B508" s="105">
        <v>53212060000000</v>
      </c>
      <c r="C508" s="1219" t="s">
        <v>170</v>
      </c>
      <c r="D508" s="952"/>
      <c r="E508" s="125"/>
      <c r="F508" s="126"/>
      <c r="G508" s="1223">
        <f t="shared" si="99"/>
        <v>0</v>
      </c>
      <c r="H508" s="1224">
        <f t="shared" si="100"/>
        <v>0</v>
      </c>
      <c r="I508" s="610"/>
    </row>
    <row r="509" spans="1:9" ht="15" customHeight="1" x14ac:dyDescent="0.35">
      <c r="A509" s="2978"/>
      <c r="B509" s="1043"/>
      <c r="C509" s="1214" t="s">
        <v>171</v>
      </c>
      <c r="D509" s="1215">
        <f>SUM(D510:D511)</f>
        <v>0</v>
      </c>
      <c r="E509" s="1225"/>
      <c r="F509" s="1225"/>
      <c r="G509" s="1217">
        <f>SUM(G510:G511)</f>
        <v>0</v>
      </c>
      <c r="H509" s="1026">
        <f>SUM(H510:H511)</f>
        <v>0</v>
      </c>
      <c r="I509" s="610"/>
    </row>
    <row r="510" spans="1:9" ht="15" customHeight="1" x14ac:dyDescent="0.35">
      <c r="A510" s="2978"/>
      <c r="B510" s="105">
        <v>53210020500000</v>
      </c>
      <c r="C510" s="1219" t="s">
        <v>172</v>
      </c>
      <c r="D510" s="952"/>
      <c r="E510" s="125"/>
      <c r="F510" s="126"/>
      <c r="G510" s="1223">
        <f t="shared" ref="G510:G511" si="101">E510*F510</f>
        <v>0</v>
      </c>
      <c r="H510" s="1231">
        <f>D510+G510</f>
        <v>0</v>
      </c>
      <c r="I510" s="610"/>
    </row>
    <row r="511" spans="1:9" ht="15" customHeight="1" x14ac:dyDescent="0.35">
      <c r="A511" s="2978"/>
      <c r="B511" s="1053">
        <v>53204999000000</v>
      </c>
      <c r="C511" s="1035" t="s">
        <v>173</v>
      </c>
      <c r="D511" s="952"/>
      <c r="E511" s="125"/>
      <c r="F511" s="126"/>
      <c r="G511" s="1036">
        <f t="shared" si="101"/>
        <v>0</v>
      </c>
      <c r="H511" s="1231">
        <f>D511+G511</f>
        <v>0</v>
      </c>
      <c r="I511" s="610"/>
    </row>
    <row r="512" spans="1:9" ht="15" customHeight="1" x14ac:dyDescent="0.35">
      <c r="A512" s="2979"/>
      <c r="B512" s="1232"/>
      <c r="C512" s="1233" t="s">
        <v>12</v>
      </c>
      <c r="D512" s="1234">
        <f>SUM(D443,D471)</f>
        <v>31378602.53738945</v>
      </c>
      <c r="E512" s="1235"/>
      <c r="F512" s="1235"/>
      <c r="G512" s="1234">
        <f>SUM(G443,G471)</f>
        <v>0</v>
      </c>
      <c r="H512" s="1236">
        <f>SUM(H443,H471)</f>
        <v>31378602.53738945</v>
      </c>
      <c r="I512" s="622"/>
    </row>
    <row r="513" spans="1:9" ht="15" customHeight="1" x14ac:dyDescent="0.35">
      <c r="A513" s="3028" t="s">
        <v>21</v>
      </c>
      <c r="B513" s="3029" t="s">
        <v>97</v>
      </c>
      <c r="C513" s="3030" t="s">
        <v>98</v>
      </c>
      <c r="D513" s="3031" t="s">
        <v>99</v>
      </c>
      <c r="E513" s="3032" t="s">
        <v>100</v>
      </c>
      <c r="F513" s="3032"/>
      <c r="G513" s="3032"/>
      <c r="H513" s="3033" t="str">
        <f>+H441</f>
        <v>COSTO DIRECTO ESTIMADO 2026</v>
      </c>
      <c r="I513" s="2987" t="s">
        <v>101</v>
      </c>
    </row>
    <row r="514" spans="1:9" ht="38.25" customHeight="1" x14ac:dyDescent="0.35">
      <c r="A514" s="2967"/>
      <c r="B514" s="2981"/>
      <c r="C514" s="2999"/>
      <c r="D514" s="3001"/>
      <c r="E514" s="1121" t="s">
        <v>102</v>
      </c>
      <c r="F514" s="117" t="s">
        <v>103</v>
      </c>
      <c r="G514" s="1122" t="s">
        <v>104</v>
      </c>
      <c r="H514" s="2993"/>
      <c r="I514" s="2987"/>
    </row>
    <row r="515" spans="1:9" ht="15" customHeight="1" x14ac:dyDescent="0.35">
      <c r="A515" s="3019" t="str">
        <f>+'B) Reajuste Tarifas y Ocupación'!A65</f>
        <v>C. R. Ralunco</v>
      </c>
      <c r="B515" s="1237"/>
      <c r="C515" s="1238" t="s">
        <v>105</v>
      </c>
      <c r="D515" s="1239">
        <f>SUM(D516,D521,D523)</f>
        <v>70113595.181718796</v>
      </c>
      <c r="E515" s="1240"/>
      <c r="F515" s="1240"/>
      <c r="G515" s="1239">
        <f>SUM(G516,G521,G523)</f>
        <v>0</v>
      </c>
      <c r="H515" s="1241">
        <f>SUM(H516,H521,H523)</f>
        <v>70113595.181718796</v>
      </c>
      <c r="I515" s="610"/>
    </row>
    <row r="516" spans="1:9" ht="15" customHeight="1" x14ac:dyDescent="0.35">
      <c r="A516" s="2978"/>
      <c r="B516" s="1043"/>
      <c r="C516" s="1242" t="s">
        <v>106</v>
      </c>
      <c r="D516" s="1243">
        <f>SUM(D517:D520)</f>
        <v>36830110.181718796</v>
      </c>
      <c r="E516" s="1244"/>
      <c r="F516" s="1244"/>
      <c r="G516" s="1245">
        <f>SUM(G517:G520)</f>
        <v>0</v>
      </c>
      <c r="H516" s="1246">
        <f>SUM(H517:H520)</f>
        <v>36830110.181718796</v>
      </c>
      <c r="I516" s="610"/>
    </row>
    <row r="517" spans="1:9" ht="15" customHeight="1" x14ac:dyDescent="0.35">
      <c r="A517" s="2978"/>
      <c r="B517" s="105">
        <v>53103040100000</v>
      </c>
      <c r="C517" s="1247" t="s">
        <v>107</v>
      </c>
      <c r="D517" s="1248">
        <f>+'F) Remuneraciones'!M168</f>
        <v>36830110.181718796</v>
      </c>
      <c r="E517" s="1249"/>
      <c r="F517" s="1249"/>
      <c r="G517" s="1249"/>
      <c r="H517" s="1250">
        <f>D517+G517</f>
        <v>36830110.181718796</v>
      </c>
      <c r="I517" s="610"/>
    </row>
    <row r="518" spans="1:9" ht="15" customHeight="1" x14ac:dyDescent="0.35">
      <c r="A518" s="2978"/>
      <c r="B518" s="105">
        <v>53103050000000</v>
      </c>
      <c r="C518" s="1247" t="s">
        <v>108</v>
      </c>
      <c r="D518" s="953"/>
      <c r="E518" s="128"/>
      <c r="F518" s="129"/>
      <c r="G518" s="1251">
        <f>E518*F518</f>
        <v>0</v>
      </c>
      <c r="H518" s="1076">
        <f>D518+G518</f>
        <v>0</v>
      </c>
      <c r="I518" s="610"/>
    </row>
    <row r="519" spans="1:9" ht="15" customHeight="1" x14ac:dyDescent="0.35">
      <c r="A519" s="2978"/>
      <c r="B519" s="105">
        <v>53103060000000</v>
      </c>
      <c r="C519" s="1247" t="s">
        <v>109</v>
      </c>
      <c r="D519" s="953"/>
      <c r="E519" s="128"/>
      <c r="F519" s="129"/>
      <c r="G519" s="1251">
        <f t="shared" ref="G519:G520" si="102">E519*F519</f>
        <v>0</v>
      </c>
      <c r="H519" s="1252">
        <f>D519+G519</f>
        <v>0</v>
      </c>
      <c r="I519" s="610"/>
    </row>
    <row r="520" spans="1:9" ht="15" customHeight="1" x14ac:dyDescent="0.35">
      <c r="A520" s="2978"/>
      <c r="B520" s="105">
        <v>53103080010000</v>
      </c>
      <c r="C520" s="1247" t="s">
        <v>110</v>
      </c>
      <c r="D520" s="953"/>
      <c r="E520" s="128"/>
      <c r="F520" s="129"/>
      <c r="G520" s="1251">
        <f t="shared" si="102"/>
        <v>0</v>
      </c>
      <c r="H520" s="1252">
        <f>D520+G520</f>
        <v>0</v>
      </c>
      <c r="I520" s="610"/>
    </row>
    <row r="521" spans="1:9" ht="15" customHeight="1" x14ac:dyDescent="0.35">
      <c r="A521" s="2978"/>
      <c r="B521" s="1043"/>
      <c r="C521" s="1242" t="s">
        <v>111</v>
      </c>
      <c r="D521" s="1243">
        <f>SUM(D522)</f>
        <v>0</v>
      </c>
      <c r="E521" s="1253"/>
      <c r="F521" s="1253"/>
      <c r="G521" s="1254">
        <f>SUM(G522:G522)</f>
        <v>0</v>
      </c>
      <c r="H521" s="1026">
        <f>SUM(H522:H522)</f>
        <v>0</v>
      </c>
      <c r="I521" s="610"/>
    </row>
    <row r="522" spans="1:9" ht="15" customHeight="1" x14ac:dyDescent="0.35">
      <c r="A522" s="2978"/>
      <c r="B522" s="105">
        <v>55201010100001</v>
      </c>
      <c r="C522" s="1247" t="s">
        <v>112</v>
      </c>
      <c r="D522" s="953"/>
      <c r="E522" s="128"/>
      <c r="F522" s="129"/>
      <c r="G522" s="1251">
        <f t="shared" ref="G522" si="103">E522*F522</f>
        <v>0</v>
      </c>
      <c r="H522" s="1252">
        <f>D522+G522</f>
        <v>0</v>
      </c>
      <c r="I522" s="610"/>
    </row>
    <row r="523" spans="1:9" ht="15" customHeight="1" x14ac:dyDescent="0.35">
      <c r="A523" s="2978"/>
      <c r="B523" s="1043"/>
      <c r="C523" s="1242" t="s">
        <v>113</v>
      </c>
      <c r="D523" s="1243">
        <f>SUM(D524:D542)</f>
        <v>33283485</v>
      </c>
      <c r="E523" s="1253"/>
      <c r="F523" s="1253"/>
      <c r="G523" s="1245">
        <f>SUM(G524:G542)</f>
        <v>0</v>
      </c>
      <c r="H523" s="1026">
        <f>SUM(H524:H542)</f>
        <v>33283485</v>
      </c>
      <c r="I523" s="610"/>
    </row>
    <row r="524" spans="1:9" ht="15" customHeight="1" x14ac:dyDescent="0.35">
      <c r="A524" s="2978"/>
      <c r="B524" s="105">
        <v>53201010100000</v>
      </c>
      <c r="C524" s="1247" t="s">
        <v>114</v>
      </c>
      <c r="D524" s="298">
        <f>+RALUNCO!E15</f>
        <v>1224000</v>
      </c>
      <c r="E524" s="299"/>
      <c r="F524" s="300"/>
      <c r="G524" s="1251">
        <f t="shared" ref="G524:G542" si="104">E524*F524</f>
        <v>0</v>
      </c>
      <c r="H524" s="1252">
        <f t="shared" ref="H524:H542" si="105">D524+G524</f>
        <v>1224000</v>
      </c>
      <c r="I524" s="610"/>
    </row>
    <row r="525" spans="1:9" ht="15" customHeight="1" x14ac:dyDescent="0.35">
      <c r="A525" s="2978"/>
      <c r="B525" s="105">
        <v>53202010100000</v>
      </c>
      <c r="C525" s="1247" t="s">
        <v>115</v>
      </c>
      <c r="D525" s="298">
        <f>+RALUNCO!E19</f>
        <v>350000</v>
      </c>
      <c r="E525" s="299"/>
      <c r="F525" s="300"/>
      <c r="G525" s="1251">
        <f t="shared" si="104"/>
        <v>0</v>
      </c>
      <c r="H525" s="1252">
        <f t="shared" si="105"/>
        <v>350000</v>
      </c>
      <c r="I525" s="610"/>
    </row>
    <row r="526" spans="1:9" ht="15" customHeight="1" x14ac:dyDescent="0.35">
      <c r="A526" s="2978"/>
      <c r="B526" s="105">
        <v>53203010100000</v>
      </c>
      <c r="C526" s="1247" t="s">
        <v>116</v>
      </c>
      <c r="D526" s="298"/>
      <c r="E526" s="299"/>
      <c r="F526" s="300"/>
      <c r="G526" s="1251">
        <f t="shared" si="104"/>
        <v>0</v>
      </c>
      <c r="H526" s="1252">
        <f t="shared" si="105"/>
        <v>0</v>
      </c>
      <c r="I526" s="610"/>
    </row>
    <row r="527" spans="1:9" ht="15" customHeight="1" x14ac:dyDescent="0.35">
      <c r="A527" s="2978"/>
      <c r="B527" s="105">
        <v>53203030000000</v>
      </c>
      <c r="C527" s="1247" t="s">
        <v>117</v>
      </c>
      <c r="D527" s="298"/>
      <c r="E527" s="299"/>
      <c r="F527" s="300"/>
      <c r="G527" s="1251">
        <f t="shared" si="104"/>
        <v>0</v>
      </c>
      <c r="H527" s="1252">
        <f t="shared" si="105"/>
        <v>0</v>
      </c>
      <c r="I527" s="610"/>
    </row>
    <row r="528" spans="1:9" ht="15" customHeight="1" x14ac:dyDescent="0.35">
      <c r="A528" s="2978"/>
      <c r="B528" s="105">
        <v>53204030000000</v>
      </c>
      <c r="C528" s="1247" t="s">
        <v>118</v>
      </c>
      <c r="D528" s="298"/>
      <c r="E528" s="299"/>
      <c r="F528" s="300"/>
      <c r="G528" s="1251">
        <f t="shared" si="104"/>
        <v>0</v>
      </c>
      <c r="H528" s="1252">
        <f t="shared" si="105"/>
        <v>0</v>
      </c>
      <c r="I528" s="610"/>
    </row>
    <row r="529" spans="1:9" ht="15" customHeight="1" x14ac:dyDescent="0.35">
      <c r="A529" s="2978"/>
      <c r="B529" s="105">
        <v>53204100100001</v>
      </c>
      <c r="C529" s="1247" t="s">
        <v>119</v>
      </c>
      <c r="D529" s="298">
        <f>+RALUNCO!E48</f>
        <v>3692640</v>
      </c>
      <c r="E529" s="299"/>
      <c r="F529" s="300"/>
      <c r="G529" s="1251">
        <f t="shared" si="104"/>
        <v>0</v>
      </c>
      <c r="H529" s="1252">
        <f t="shared" si="105"/>
        <v>3692640</v>
      </c>
      <c r="I529" s="610"/>
    </row>
    <row r="530" spans="1:9" ht="15" customHeight="1" x14ac:dyDescent="0.35">
      <c r="A530" s="2978"/>
      <c r="B530" s="105">
        <v>53204130100000</v>
      </c>
      <c r="C530" s="1247" t="s">
        <v>120</v>
      </c>
      <c r="D530" s="298"/>
      <c r="E530" s="299"/>
      <c r="F530" s="300"/>
      <c r="G530" s="1251">
        <f t="shared" si="104"/>
        <v>0</v>
      </c>
      <c r="H530" s="1252">
        <f t="shared" si="105"/>
        <v>0</v>
      </c>
      <c r="I530" s="610"/>
    </row>
    <row r="531" spans="1:9" x14ac:dyDescent="0.35">
      <c r="A531" s="2978"/>
      <c r="B531" s="105">
        <v>53205010100000</v>
      </c>
      <c r="C531" s="1247" t="s">
        <v>121</v>
      </c>
      <c r="D531" s="943">
        <f>+RALUNCO!E60-D603</f>
        <v>9167973</v>
      </c>
      <c r="E531" s="299"/>
      <c r="F531" s="300"/>
      <c r="G531" s="1251">
        <f t="shared" si="104"/>
        <v>0</v>
      </c>
      <c r="H531" s="1252">
        <f t="shared" si="105"/>
        <v>9167973</v>
      </c>
      <c r="I531" s="610"/>
    </row>
    <row r="532" spans="1:9" ht="15" customHeight="1" x14ac:dyDescent="0.35">
      <c r="A532" s="2978"/>
      <c r="B532" s="105">
        <v>53205020100000</v>
      </c>
      <c r="C532" s="1247" t="s">
        <v>122</v>
      </c>
      <c r="D532" s="298">
        <f>+RALUNCO!E61-D604</f>
        <v>6000000</v>
      </c>
      <c r="E532" s="299"/>
      <c r="F532" s="300"/>
      <c r="G532" s="1251">
        <f t="shared" si="104"/>
        <v>0</v>
      </c>
      <c r="H532" s="1252">
        <f t="shared" si="105"/>
        <v>6000000</v>
      </c>
      <c r="I532" s="610"/>
    </row>
    <row r="533" spans="1:9" ht="15" customHeight="1" x14ac:dyDescent="0.35">
      <c r="A533" s="2978"/>
      <c r="B533" s="105">
        <v>53205030100000</v>
      </c>
      <c r="C533" s="1247" t="s">
        <v>123</v>
      </c>
      <c r="D533" s="298">
        <f>+RALUNCO!E62-D605</f>
        <v>1458212</v>
      </c>
      <c r="E533" s="299"/>
      <c r="F533" s="300"/>
      <c r="G533" s="1251">
        <f t="shared" si="104"/>
        <v>0</v>
      </c>
      <c r="H533" s="1252">
        <f t="shared" si="105"/>
        <v>1458212</v>
      </c>
      <c r="I533" s="610"/>
    </row>
    <row r="534" spans="1:9" ht="15" customHeight="1" x14ac:dyDescent="0.35">
      <c r="A534" s="2978"/>
      <c r="B534" s="105">
        <v>53205050100000</v>
      </c>
      <c r="C534" s="1247" t="s">
        <v>124</v>
      </c>
      <c r="D534" s="298"/>
      <c r="E534" s="299"/>
      <c r="F534" s="300"/>
      <c r="G534" s="1251">
        <f t="shared" si="104"/>
        <v>0</v>
      </c>
      <c r="H534" s="1252">
        <f t="shared" si="105"/>
        <v>0</v>
      </c>
      <c r="I534" s="610"/>
    </row>
    <row r="535" spans="1:9" ht="15" customHeight="1" x14ac:dyDescent="0.35">
      <c r="A535" s="2978"/>
      <c r="B535" s="105">
        <v>53205060100000</v>
      </c>
      <c r="C535" s="1247" t="s">
        <v>125</v>
      </c>
      <c r="D535" s="298">
        <v>264000</v>
      </c>
      <c r="E535" s="299"/>
      <c r="F535" s="300"/>
      <c r="G535" s="1251">
        <f t="shared" si="104"/>
        <v>0</v>
      </c>
      <c r="H535" s="1252">
        <f t="shared" si="105"/>
        <v>264000</v>
      </c>
      <c r="I535" s="610"/>
    </row>
    <row r="536" spans="1:9" ht="15" customHeight="1" x14ac:dyDescent="0.35">
      <c r="A536" s="2978"/>
      <c r="B536" s="105">
        <v>53205070100000</v>
      </c>
      <c r="C536" s="1247" t="s">
        <v>126</v>
      </c>
      <c r="D536" s="298">
        <v>4320000</v>
      </c>
      <c r="E536" s="299"/>
      <c r="F536" s="300"/>
      <c r="G536" s="1251">
        <f t="shared" si="104"/>
        <v>0</v>
      </c>
      <c r="H536" s="1252">
        <f t="shared" si="105"/>
        <v>4320000</v>
      </c>
      <c r="I536" s="610" t="s">
        <v>1230</v>
      </c>
    </row>
    <row r="537" spans="1:9" ht="15" customHeight="1" x14ac:dyDescent="0.35">
      <c r="A537" s="2978"/>
      <c r="B537" s="105">
        <v>53208010100000</v>
      </c>
      <c r="C537" s="1247" t="s">
        <v>127</v>
      </c>
      <c r="D537" s="298">
        <v>800000</v>
      </c>
      <c r="E537" s="299"/>
      <c r="F537" s="300"/>
      <c r="G537" s="1251">
        <f t="shared" si="104"/>
        <v>0</v>
      </c>
      <c r="H537" s="1252">
        <f t="shared" si="105"/>
        <v>800000</v>
      </c>
      <c r="I537" s="610"/>
    </row>
    <row r="538" spans="1:9" ht="15" customHeight="1" x14ac:dyDescent="0.35">
      <c r="A538" s="2978"/>
      <c r="B538" s="105">
        <v>53208070100001</v>
      </c>
      <c r="C538" s="1247" t="s">
        <v>128</v>
      </c>
      <c r="D538" s="298"/>
      <c r="E538" s="299"/>
      <c r="F538" s="300"/>
      <c r="G538" s="1251">
        <f t="shared" si="104"/>
        <v>0</v>
      </c>
      <c r="H538" s="1252">
        <f t="shared" si="105"/>
        <v>0</v>
      </c>
      <c r="I538" s="610"/>
    </row>
    <row r="539" spans="1:9" ht="15" customHeight="1" x14ac:dyDescent="0.35">
      <c r="A539" s="2978"/>
      <c r="B539" s="105">
        <v>53208100100001</v>
      </c>
      <c r="C539" s="1247" t="s">
        <v>129</v>
      </c>
      <c r="D539" s="298"/>
      <c r="E539" s="299"/>
      <c r="F539" s="300"/>
      <c r="G539" s="1251">
        <f t="shared" si="104"/>
        <v>0</v>
      </c>
      <c r="H539" s="1252">
        <f t="shared" si="105"/>
        <v>0</v>
      </c>
      <c r="I539" s="610"/>
    </row>
    <row r="540" spans="1:9" ht="15" customHeight="1" x14ac:dyDescent="0.35">
      <c r="A540" s="2978"/>
      <c r="B540" s="105">
        <v>53211030000000</v>
      </c>
      <c r="C540" s="1247" t="s">
        <v>130</v>
      </c>
      <c r="D540" s="298"/>
      <c r="E540" s="299"/>
      <c r="F540" s="300"/>
      <c r="G540" s="1251">
        <f t="shared" si="104"/>
        <v>0</v>
      </c>
      <c r="H540" s="1252">
        <f t="shared" si="105"/>
        <v>0</v>
      </c>
      <c r="I540" s="610"/>
    </row>
    <row r="541" spans="1:9" ht="15" customHeight="1" x14ac:dyDescent="0.35">
      <c r="A541" s="2978"/>
      <c r="B541" s="105">
        <v>53212020100000</v>
      </c>
      <c r="C541" s="1247" t="s">
        <v>131</v>
      </c>
      <c r="D541" s="298">
        <f>+RALUNCO!E116</f>
        <v>6006660</v>
      </c>
      <c r="E541" s="299"/>
      <c r="F541" s="300"/>
      <c r="G541" s="1251">
        <f t="shared" si="104"/>
        <v>0</v>
      </c>
      <c r="H541" s="1252">
        <f t="shared" si="105"/>
        <v>6006660</v>
      </c>
      <c r="I541" s="610"/>
    </row>
    <row r="542" spans="1:9" ht="15" customHeight="1" x14ac:dyDescent="0.35">
      <c r="A542" s="2978"/>
      <c r="B542" s="105">
        <v>53214020000000</v>
      </c>
      <c r="C542" s="1247" t="s">
        <v>132</v>
      </c>
      <c r="D542" s="298"/>
      <c r="E542" s="299"/>
      <c r="F542" s="300"/>
      <c r="G542" s="1251">
        <f t="shared" si="104"/>
        <v>0</v>
      </c>
      <c r="H542" s="1252">
        <f t="shared" si="105"/>
        <v>0</v>
      </c>
      <c r="I542" s="610"/>
    </row>
    <row r="543" spans="1:9" ht="15" customHeight="1" x14ac:dyDescent="0.35">
      <c r="A543" s="2978"/>
      <c r="B543" s="1237"/>
      <c r="C543" s="1238" t="s">
        <v>133</v>
      </c>
      <c r="D543" s="1255">
        <f>SUM(D544,D549,D552,D563,D573,D581)</f>
        <v>18879663</v>
      </c>
      <c r="E543" s="1240"/>
      <c r="F543" s="1240"/>
      <c r="G543" s="1256">
        <f>SUM(G544,G549,G552,G563,G573,G581)</f>
        <v>0</v>
      </c>
      <c r="H543" s="1042">
        <f>SUM(H544,H549,H552,H563,H573,H581)</f>
        <v>18879663</v>
      </c>
      <c r="I543" s="610"/>
    </row>
    <row r="544" spans="1:9" ht="15" customHeight="1" x14ac:dyDescent="0.35">
      <c r="A544" s="2978"/>
      <c r="B544" s="1043"/>
      <c r="C544" s="1242" t="s">
        <v>134</v>
      </c>
      <c r="D544" s="1243">
        <f>SUM(D545:D548)</f>
        <v>3639273</v>
      </c>
      <c r="E544" s="1253"/>
      <c r="F544" s="1253"/>
      <c r="G544" s="1254">
        <f>SUM(G545:G548)</f>
        <v>0</v>
      </c>
      <c r="H544" s="1257">
        <f>SUM(H545:H548)</f>
        <v>3639273</v>
      </c>
      <c r="I544" s="610"/>
    </row>
    <row r="545" spans="1:9" ht="15" customHeight="1" x14ac:dyDescent="0.35">
      <c r="A545" s="2978"/>
      <c r="B545" s="105">
        <v>53202020100000</v>
      </c>
      <c r="C545" s="1247" t="s">
        <v>135</v>
      </c>
      <c r="D545" s="298">
        <f>+RALUNCO!E21</f>
        <v>276500</v>
      </c>
      <c r="E545" s="301"/>
      <c r="F545" s="302"/>
      <c r="G545" s="1251">
        <f>E545*F545</f>
        <v>0</v>
      </c>
      <c r="H545" s="1252">
        <f>D545+G545</f>
        <v>276500</v>
      </c>
      <c r="I545" s="610"/>
    </row>
    <row r="546" spans="1:9" ht="15" customHeight="1" x14ac:dyDescent="0.35">
      <c r="A546" s="2978"/>
      <c r="B546" s="105">
        <v>53202030000000</v>
      </c>
      <c r="C546" s="1247" t="s">
        <v>136</v>
      </c>
      <c r="D546" s="298">
        <f>+RALUNCO!E25</f>
        <v>264000</v>
      </c>
      <c r="E546" s="301"/>
      <c r="F546" s="302"/>
      <c r="G546" s="1251">
        <f t="shared" ref="G546:G548" si="106">E546*F546</f>
        <v>0</v>
      </c>
      <c r="H546" s="1252">
        <f>D546+G546</f>
        <v>264000</v>
      </c>
      <c r="I546" s="610"/>
    </row>
    <row r="547" spans="1:9" ht="15" customHeight="1" x14ac:dyDescent="0.35">
      <c r="A547" s="2978"/>
      <c r="B547" s="105">
        <v>53211020000000</v>
      </c>
      <c r="C547" s="1247" t="s">
        <v>137</v>
      </c>
      <c r="D547" s="298">
        <v>390000</v>
      </c>
      <c r="E547" s="301"/>
      <c r="F547" s="302"/>
      <c r="G547" s="1251">
        <f t="shared" si="106"/>
        <v>0</v>
      </c>
      <c r="H547" s="1252">
        <f>D547+G547</f>
        <v>390000</v>
      </c>
      <c r="I547" s="610"/>
    </row>
    <row r="548" spans="1:9" ht="15" customHeight="1" x14ac:dyDescent="0.35">
      <c r="A548" s="2978"/>
      <c r="B548" s="105">
        <v>53101004030000</v>
      </c>
      <c r="C548" s="1247" t="s">
        <v>138</v>
      </c>
      <c r="D548" s="298">
        <v>2708773</v>
      </c>
      <c r="E548" s="301"/>
      <c r="F548" s="302"/>
      <c r="G548" s="1251">
        <f t="shared" si="106"/>
        <v>0</v>
      </c>
      <c r="H548" s="1252">
        <f>D548+G548</f>
        <v>2708773</v>
      </c>
      <c r="I548" s="610"/>
    </row>
    <row r="549" spans="1:9" ht="15" customHeight="1" x14ac:dyDescent="0.35">
      <c r="A549" s="2978"/>
      <c r="B549" s="1043"/>
      <c r="C549" s="1242" t="s">
        <v>139</v>
      </c>
      <c r="D549" s="1243">
        <f>SUM(D550:D551)</f>
        <v>1180000</v>
      </c>
      <c r="E549" s="1253"/>
      <c r="F549" s="1253"/>
      <c r="G549" s="1254">
        <f>SUM(G550:G551)</f>
        <v>0</v>
      </c>
      <c r="H549" s="1257">
        <f>SUM(H550:H551)</f>
        <v>1180000</v>
      </c>
      <c r="I549" s="610"/>
    </row>
    <row r="550" spans="1:9" ht="15" customHeight="1" x14ac:dyDescent="0.35">
      <c r="A550" s="2978"/>
      <c r="B550" s="105">
        <v>53205080000000</v>
      </c>
      <c r="C550" s="1258" t="s">
        <v>140</v>
      </c>
      <c r="D550" s="953">
        <v>1180000</v>
      </c>
      <c r="E550" s="128"/>
      <c r="F550" s="129"/>
      <c r="G550" s="1251">
        <f t="shared" ref="G550:G551" si="107">E550*F550</f>
        <v>0</v>
      </c>
      <c r="H550" s="1252">
        <f>D550+G550</f>
        <v>1180000</v>
      </c>
      <c r="I550" s="847" t="s">
        <v>1237</v>
      </c>
    </row>
    <row r="551" spans="1:9" ht="15" customHeight="1" x14ac:dyDescent="0.35">
      <c r="A551" s="2978"/>
      <c r="B551" s="105">
        <v>53205990000000</v>
      </c>
      <c r="C551" s="1247" t="s">
        <v>141</v>
      </c>
      <c r="D551" s="953"/>
      <c r="E551" s="128"/>
      <c r="F551" s="129"/>
      <c r="G551" s="1251">
        <f t="shared" si="107"/>
        <v>0</v>
      </c>
      <c r="H551" s="1252">
        <f>D551+G551</f>
        <v>0</v>
      </c>
      <c r="I551" s="610"/>
    </row>
    <row r="552" spans="1:9" ht="15" customHeight="1" x14ac:dyDescent="0.35">
      <c r="A552" s="2978"/>
      <c r="B552" s="1043"/>
      <c r="C552" s="1242" t="s">
        <v>142</v>
      </c>
      <c r="D552" s="1243">
        <f>SUM(D553:D562)</f>
        <v>4410290</v>
      </c>
      <c r="E552" s="1253"/>
      <c r="F552" s="1253"/>
      <c r="G552" s="1245">
        <f>SUM(G553:G562)</f>
        <v>0</v>
      </c>
      <c r="H552" s="1026">
        <f>SUM(H553:H562)</f>
        <v>4410290</v>
      </c>
      <c r="I552" s="610"/>
    </row>
    <row r="553" spans="1:9" ht="15" customHeight="1" x14ac:dyDescent="0.35">
      <c r="A553" s="2978"/>
      <c r="B553" s="105">
        <v>53203010200000</v>
      </c>
      <c r="C553" s="1247" t="s">
        <v>143</v>
      </c>
      <c r="D553" s="943"/>
      <c r="E553" s="127"/>
      <c r="F553" s="129"/>
      <c r="G553" s="1251">
        <f t="shared" ref="G553:G562" si="108">E553*F553</f>
        <v>0</v>
      </c>
      <c r="H553" s="1252">
        <f t="shared" ref="H553:H562" si="109">D553+G553</f>
        <v>0</v>
      </c>
      <c r="I553" s="610"/>
    </row>
    <row r="554" spans="1:9" ht="15" customHeight="1" x14ac:dyDescent="0.35">
      <c r="A554" s="2978"/>
      <c r="B554" s="105">
        <v>53204010000000</v>
      </c>
      <c r="C554" s="1247" t="s">
        <v>144</v>
      </c>
      <c r="D554" s="943">
        <f>+RALUNCO!E33</f>
        <v>317310</v>
      </c>
      <c r="E554" s="128"/>
      <c r="F554" s="129"/>
      <c r="G554" s="1251">
        <f t="shared" si="108"/>
        <v>0</v>
      </c>
      <c r="H554" s="1252">
        <f t="shared" si="109"/>
        <v>317310</v>
      </c>
      <c r="I554" s="610"/>
    </row>
    <row r="555" spans="1:9" ht="15" customHeight="1" x14ac:dyDescent="0.35">
      <c r="A555" s="2978"/>
      <c r="B555" s="105">
        <v>53204040200000</v>
      </c>
      <c r="C555" s="1258" t="s">
        <v>145</v>
      </c>
      <c r="D555" s="943"/>
      <c r="E555" s="128"/>
      <c r="F555" s="129"/>
      <c r="G555" s="1251">
        <f t="shared" si="108"/>
        <v>0</v>
      </c>
      <c r="H555" s="1252">
        <f t="shared" si="109"/>
        <v>0</v>
      </c>
      <c r="I555" s="610"/>
    </row>
    <row r="556" spans="1:9" ht="15" customHeight="1" x14ac:dyDescent="0.35">
      <c r="A556" s="2978"/>
      <c r="B556" s="105">
        <v>53204060000000</v>
      </c>
      <c r="C556" s="1258" t="s">
        <v>146</v>
      </c>
      <c r="D556" s="943"/>
      <c r="E556" s="128"/>
      <c r="F556" s="129"/>
      <c r="G556" s="1251">
        <f t="shared" si="108"/>
        <v>0</v>
      </c>
      <c r="H556" s="1252">
        <f t="shared" si="109"/>
        <v>0</v>
      </c>
      <c r="I556" s="610"/>
    </row>
    <row r="557" spans="1:9" ht="15" customHeight="1" x14ac:dyDescent="0.35">
      <c r="A557" s="2978"/>
      <c r="B557" s="105">
        <v>53204070000000</v>
      </c>
      <c r="C557" s="1247" t="s">
        <v>147</v>
      </c>
      <c r="D557" s="943">
        <f>+RALUNCO!E41</f>
        <v>3333500</v>
      </c>
      <c r="E557" s="128"/>
      <c r="F557" s="129"/>
      <c r="G557" s="1251">
        <f t="shared" si="108"/>
        <v>0</v>
      </c>
      <c r="H557" s="1252">
        <f t="shared" si="109"/>
        <v>3333500</v>
      </c>
      <c r="I557" s="610"/>
    </row>
    <row r="558" spans="1:9" ht="15" customHeight="1" x14ac:dyDescent="0.35">
      <c r="A558" s="2978"/>
      <c r="B558" s="105">
        <v>53204080000000</v>
      </c>
      <c r="C558" s="1258" t="s">
        <v>148</v>
      </c>
      <c r="D558" s="943">
        <f>+RALUNCO!E44</f>
        <v>639480</v>
      </c>
      <c r="E558" s="128"/>
      <c r="F558" s="129"/>
      <c r="G558" s="1251">
        <f t="shared" si="108"/>
        <v>0</v>
      </c>
      <c r="H558" s="1252">
        <f t="shared" si="109"/>
        <v>639480</v>
      </c>
      <c r="I558" s="610"/>
    </row>
    <row r="559" spans="1:9" ht="15" customHeight="1" x14ac:dyDescent="0.35">
      <c r="A559" s="2978"/>
      <c r="B559" s="105">
        <v>53214010000000</v>
      </c>
      <c r="C559" s="1258" t="s">
        <v>149</v>
      </c>
      <c r="D559" s="943"/>
      <c r="E559" s="128"/>
      <c r="F559" s="129"/>
      <c r="G559" s="1251">
        <f t="shared" si="108"/>
        <v>0</v>
      </c>
      <c r="H559" s="1252">
        <f t="shared" si="109"/>
        <v>0</v>
      </c>
      <c r="I559" s="610"/>
    </row>
    <row r="560" spans="1:9" ht="15" customHeight="1" x14ac:dyDescent="0.35">
      <c r="A560" s="2978"/>
      <c r="B560" s="105">
        <v>53214040000000</v>
      </c>
      <c r="C560" s="1247" t="s">
        <v>150</v>
      </c>
      <c r="D560" s="943">
        <v>120000</v>
      </c>
      <c r="E560" s="127"/>
      <c r="F560" s="129"/>
      <c r="G560" s="1251">
        <f t="shared" si="108"/>
        <v>0</v>
      </c>
      <c r="H560" s="1252">
        <f t="shared" si="109"/>
        <v>120000</v>
      </c>
      <c r="I560" s="610"/>
    </row>
    <row r="561" spans="1:9" ht="15" customHeight="1" x14ac:dyDescent="0.35">
      <c r="A561" s="2978"/>
      <c r="B561" s="105">
        <v>55201010100004</v>
      </c>
      <c r="C561" s="1247" t="s">
        <v>151</v>
      </c>
      <c r="D561" s="943"/>
      <c r="E561" s="127"/>
      <c r="F561" s="129"/>
      <c r="G561" s="1251">
        <f t="shared" si="108"/>
        <v>0</v>
      </c>
      <c r="H561" s="1252">
        <f t="shared" si="109"/>
        <v>0</v>
      </c>
      <c r="I561" s="610"/>
    </row>
    <row r="562" spans="1:9" ht="15" customHeight="1" x14ac:dyDescent="0.35">
      <c r="A562" s="2978"/>
      <c r="B562" s="105">
        <v>55201010100005</v>
      </c>
      <c r="C562" s="1247" t="s">
        <v>152</v>
      </c>
      <c r="D562" s="943"/>
      <c r="E562" s="127"/>
      <c r="F562" s="129"/>
      <c r="G562" s="1251">
        <f t="shared" si="108"/>
        <v>0</v>
      </c>
      <c r="H562" s="1252">
        <f t="shared" si="109"/>
        <v>0</v>
      </c>
      <c r="I562" s="610"/>
    </row>
    <row r="563" spans="1:9" ht="15" customHeight="1" x14ac:dyDescent="0.35">
      <c r="A563" s="2978"/>
      <c r="B563" s="1043"/>
      <c r="C563" s="1242" t="s">
        <v>153</v>
      </c>
      <c r="D563" s="1243">
        <f>SUM(D564:D572)</f>
        <v>6750000</v>
      </c>
      <c r="E563" s="1253"/>
      <c r="F563" s="1253"/>
      <c r="G563" s="1245">
        <f>SUM(G564:G572)</f>
        <v>0</v>
      </c>
      <c r="H563" s="1026">
        <f>SUM(H564:H572)</f>
        <v>6750000</v>
      </c>
      <c r="I563" s="610"/>
    </row>
    <row r="564" spans="1:9" ht="15" customHeight="1" x14ac:dyDescent="0.35">
      <c r="A564" s="2978"/>
      <c r="B564" s="105">
        <v>53207010000000</v>
      </c>
      <c r="C564" s="1247" t="s">
        <v>154</v>
      </c>
      <c r="D564" s="953"/>
      <c r="E564" s="128"/>
      <c r="F564" s="129"/>
      <c r="G564" s="1251">
        <f t="shared" ref="G564:G572" si="110">E564*F564</f>
        <v>0</v>
      </c>
      <c r="H564" s="1252">
        <f t="shared" ref="H564:H572" si="111">D564+G564</f>
        <v>0</v>
      </c>
      <c r="I564" s="610"/>
    </row>
    <row r="565" spans="1:9" ht="15" customHeight="1" x14ac:dyDescent="0.35">
      <c r="A565" s="2978"/>
      <c r="B565" s="105">
        <v>53207020000000</v>
      </c>
      <c r="C565" s="1247" t="s">
        <v>155</v>
      </c>
      <c r="D565" s="953"/>
      <c r="E565" s="128"/>
      <c r="F565" s="129"/>
      <c r="G565" s="1251">
        <f t="shared" si="110"/>
        <v>0</v>
      </c>
      <c r="H565" s="1252">
        <f t="shared" si="111"/>
        <v>0</v>
      </c>
      <c r="I565" s="610"/>
    </row>
    <row r="566" spans="1:9" ht="15" customHeight="1" x14ac:dyDescent="0.35">
      <c r="A566" s="2978"/>
      <c r="B566" s="105">
        <v>53208020000000</v>
      </c>
      <c r="C566" s="1247" t="s">
        <v>156</v>
      </c>
      <c r="D566" s="953"/>
      <c r="E566" s="128"/>
      <c r="F566" s="129"/>
      <c r="G566" s="1251">
        <f t="shared" si="110"/>
        <v>0</v>
      </c>
      <c r="H566" s="1252">
        <f t="shared" si="111"/>
        <v>0</v>
      </c>
      <c r="I566" s="610"/>
    </row>
    <row r="567" spans="1:9" ht="15" customHeight="1" x14ac:dyDescent="0.35">
      <c r="A567" s="2978"/>
      <c r="B567" s="105">
        <v>53208990000000</v>
      </c>
      <c r="C567" s="1247" t="s">
        <v>157</v>
      </c>
      <c r="D567" s="953">
        <f>+RALUNCO!E92</f>
        <v>6750000</v>
      </c>
      <c r="E567" s="128"/>
      <c r="F567" s="129"/>
      <c r="G567" s="1251">
        <f t="shared" si="110"/>
        <v>0</v>
      </c>
      <c r="H567" s="1252">
        <f t="shared" si="111"/>
        <v>6750000</v>
      </c>
      <c r="I567" s="610"/>
    </row>
    <row r="568" spans="1:9" ht="15" customHeight="1" x14ac:dyDescent="0.35">
      <c r="A568" s="2978"/>
      <c r="B568" s="105">
        <v>53209010000000</v>
      </c>
      <c r="C568" s="1247" t="s">
        <v>158</v>
      </c>
      <c r="D568" s="953"/>
      <c r="E568" s="128"/>
      <c r="F568" s="129"/>
      <c r="G568" s="1251">
        <f t="shared" si="110"/>
        <v>0</v>
      </c>
      <c r="H568" s="1252">
        <f t="shared" si="111"/>
        <v>0</v>
      </c>
      <c r="I568" s="610"/>
    </row>
    <row r="569" spans="1:9" ht="15" customHeight="1" x14ac:dyDescent="0.35">
      <c r="A569" s="2978"/>
      <c r="B569" s="105">
        <v>53209040000000</v>
      </c>
      <c r="C569" s="1247" t="s">
        <v>159</v>
      </c>
      <c r="D569" s="953"/>
      <c r="E569" s="128"/>
      <c r="F569" s="129"/>
      <c r="G569" s="1251">
        <f t="shared" si="110"/>
        <v>0</v>
      </c>
      <c r="H569" s="1252">
        <f t="shared" si="111"/>
        <v>0</v>
      </c>
      <c r="I569" s="610"/>
    </row>
    <row r="570" spans="1:9" ht="15" customHeight="1" x14ac:dyDescent="0.35">
      <c r="A570" s="2978"/>
      <c r="B570" s="105">
        <v>53209050000000</v>
      </c>
      <c r="C570" s="1247" t="s">
        <v>160</v>
      </c>
      <c r="D570" s="953"/>
      <c r="E570" s="128"/>
      <c r="F570" s="129"/>
      <c r="G570" s="1251">
        <f t="shared" si="110"/>
        <v>0</v>
      </c>
      <c r="H570" s="1252">
        <f t="shared" si="111"/>
        <v>0</v>
      </c>
      <c r="I570" s="610"/>
    </row>
    <row r="571" spans="1:9" ht="15" customHeight="1" x14ac:dyDescent="0.35">
      <c r="A571" s="2978"/>
      <c r="B571" s="105">
        <v>53209990000000</v>
      </c>
      <c r="C571" s="1247" t="s">
        <v>161</v>
      </c>
      <c r="D571" s="953"/>
      <c r="E571" s="128"/>
      <c r="F571" s="129"/>
      <c r="G571" s="1251">
        <f t="shared" si="110"/>
        <v>0</v>
      </c>
      <c r="H571" s="1252">
        <f t="shared" si="111"/>
        <v>0</v>
      </c>
      <c r="I571" s="610"/>
    </row>
    <row r="572" spans="1:9" ht="15" customHeight="1" x14ac:dyDescent="0.35">
      <c r="A572" s="2978"/>
      <c r="B572" s="105">
        <v>53210020100000</v>
      </c>
      <c r="C572" s="1247" t="s">
        <v>162</v>
      </c>
      <c r="D572" s="953"/>
      <c r="E572" s="128"/>
      <c r="F572" s="129"/>
      <c r="G572" s="1251">
        <f t="shared" si="110"/>
        <v>0</v>
      </c>
      <c r="H572" s="1252">
        <f t="shared" si="111"/>
        <v>0</v>
      </c>
      <c r="I572" s="610"/>
    </row>
    <row r="573" spans="1:9" ht="15" customHeight="1" x14ac:dyDescent="0.35">
      <c r="A573" s="2978"/>
      <c r="B573" s="1043"/>
      <c r="C573" s="1242" t="s">
        <v>163</v>
      </c>
      <c r="D573" s="1243">
        <f>SUM(D574:D580)</f>
        <v>2900100</v>
      </c>
      <c r="E573" s="1253"/>
      <c r="F573" s="1253"/>
      <c r="G573" s="1245">
        <f>SUM(G574:G580)</f>
        <v>0</v>
      </c>
      <c r="H573" s="1026">
        <f>SUM(H574:H580)</f>
        <v>2900100</v>
      </c>
      <c r="I573" s="610"/>
    </row>
    <row r="574" spans="1:9" ht="15" customHeight="1" x14ac:dyDescent="0.35">
      <c r="A574" s="2978"/>
      <c r="B574" s="105">
        <v>53206030000000</v>
      </c>
      <c r="C574" s="1247" t="s">
        <v>164</v>
      </c>
      <c r="D574" s="943"/>
      <c r="E574" s="128"/>
      <c r="F574" s="129"/>
      <c r="G574" s="1251">
        <f t="shared" ref="G574:G580" si="112">E574*F574</f>
        <v>0</v>
      </c>
      <c r="H574" s="1252">
        <f t="shared" ref="H574:H580" si="113">D574+G574</f>
        <v>0</v>
      </c>
      <c r="I574" s="610"/>
    </row>
    <row r="575" spans="1:9" ht="15" customHeight="1" x14ac:dyDescent="0.35">
      <c r="A575" s="2978"/>
      <c r="B575" s="105">
        <v>53206040000000</v>
      </c>
      <c r="C575" s="1247" t="s">
        <v>165</v>
      </c>
      <c r="D575" s="943"/>
      <c r="E575" s="128"/>
      <c r="F575" s="129"/>
      <c r="G575" s="1251">
        <f t="shared" si="112"/>
        <v>0</v>
      </c>
      <c r="H575" s="1252">
        <f t="shared" si="113"/>
        <v>0</v>
      </c>
      <c r="I575" s="610"/>
    </row>
    <row r="576" spans="1:9" ht="15" customHeight="1" x14ac:dyDescent="0.35">
      <c r="A576" s="2978"/>
      <c r="B576" s="105">
        <v>53206060000000</v>
      </c>
      <c r="C576" s="1247" t="s">
        <v>166</v>
      </c>
      <c r="D576" s="943">
        <f>+RALUNCO!E126</f>
        <v>2900100</v>
      </c>
      <c r="E576" s="128"/>
      <c r="F576" s="129"/>
      <c r="G576" s="1251">
        <f t="shared" si="112"/>
        <v>0</v>
      </c>
      <c r="H576" s="1252">
        <f t="shared" si="113"/>
        <v>2900100</v>
      </c>
      <c r="I576" s="610"/>
    </row>
    <row r="577" spans="1:9" ht="15" customHeight="1" x14ac:dyDescent="0.35">
      <c r="A577" s="2978"/>
      <c r="B577" s="105">
        <v>53206070000000</v>
      </c>
      <c r="C577" s="1247" t="s">
        <v>167</v>
      </c>
      <c r="D577" s="943"/>
      <c r="E577" s="128"/>
      <c r="F577" s="129"/>
      <c r="G577" s="1251">
        <f t="shared" si="112"/>
        <v>0</v>
      </c>
      <c r="H577" s="1252">
        <f t="shared" si="113"/>
        <v>0</v>
      </c>
      <c r="I577" s="610"/>
    </row>
    <row r="578" spans="1:9" ht="15" customHeight="1" x14ac:dyDescent="0.35">
      <c r="A578" s="2978"/>
      <c r="B578" s="105">
        <v>53206990000000</v>
      </c>
      <c r="C578" s="1247" t="s">
        <v>168</v>
      </c>
      <c r="D578" s="943"/>
      <c r="E578" s="128"/>
      <c r="F578" s="129"/>
      <c r="G578" s="1251">
        <f t="shared" si="112"/>
        <v>0</v>
      </c>
      <c r="H578" s="1252">
        <f t="shared" si="113"/>
        <v>0</v>
      </c>
      <c r="I578" s="610"/>
    </row>
    <row r="579" spans="1:9" ht="15" customHeight="1" x14ac:dyDescent="0.35">
      <c r="A579" s="2978"/>
      <c r="B579" s="105">
        <v>53208030000000</v>
      </c>
      <c r="C579" s="1247" t="s">
        <v>169</v>
      </c>
      <c r="D579" s="943"/>
      <c r="E579" s="128"/>
      <c r="F579" s="129"/>
      <c r="G579" s="1251">
        <f t="shared" si="112"/>
        <v>0</v>
      </c>
      <c r="H579" s="1252">
        <f t="shared" si="113"/>
        <v>0</v>
      </c>
      <c r="I579" s="610"/>
    </row>
    <row r="580" spans="1:9" ht="15" customHeight="1" x14ac:dyDescent="0.35">
      <c r="A580" s="2978"/>
      <c r="B580" s="105">
        <v>53212060000000</v>
      </c>
      <c r="C580" s="1247" t="s">
        <v>170</v>
      </c>
      <c r="D580" s="943"/>
      <c r="E580" s="128"/>
      <c r="F580" s="129"/>
      <c r="G580" s="1251">
        <f t="shared" si="112"/>
        <v>0</v>
      </c>
      <c r="H580" s="1252">
        <f t="shared" si="113"/>
        <v>0</v>
      </c>
      <c r="I580" s="610"/>
    </row>
    <row r="581" spans="1:9" ht="15" customHeight="1" x14ac:dyDescent="0.35">
      <c r="A581" s="2978"/>
      <c r="B581" s="1043"/>
      <c r="C581" s="1242" t="s">
        <v>171</v>
      </c>
      <c r="D581" s="1243">
        <f>SUM(D582:D583)</f>
        <v>0</v>
      </c>
      <c r="E581" s="1253"/>
      <c r="F581" s="1253"/>
      <c r="G581" s="1245">
        <f>SUM(G582:G583)</f>
        <v>0</v>
      </c>
      <c r="H581" s="1026">
        <f>SUM(H582:H583)</f>
        <v>0</v>
      </c>
      <c r="I581" s="610"/>
    </row>
    <row r="582" spans="1:9" ht="15" customHeight="1" x14ac:dyDescent="0.35">
      <c r="A582" s="2978"/>
      <c r="B582" s="105">
        <v>53210020500000</v>
      </c>
      <c r="C582" s="1247" t="s">
        <v>172</v>
      </c>
      <c r="D582" s="953"/>
      <c r="E582" s="127"/>
      <c r="F582" s="129"/>
      <c r="G582" s="1251">
        <f t="shared" ref="G582:G583" si="114">E582*F582</f>
        <v>0</v>
      </c>
      <c r="H582" s="1259">
        <f>D582+G582</f>
        <v>0</v>
      </c>
      <c r="I582" s="610"/>
    </row>
    <row r="583" spans="1:9" ht="15" customHeight="1" x14ac:dyDescent="0.35">
      <c r="A583" s="2978"/>
      <c r="B583" s="1053">
        <v>53204999000000</v>
      </c>
      <c r="C583" s="1035" t="s">
        <v>173</v>
      </c>
      <c r="D583" s="953"/>
      <c r="E583" s="128"/>
      <c r="F583" s="129"/>
      <c r="G583" s="1036">
        <f t="shared" si="114"/>
        <v>0</v>
      </c>
      <c r="H583" s="1259">
        <f>D583+G583</f>
        <v>0</v>
      </c>
      <c r="I583" s="610"/>
    </row>
    <row r="584" spans="1:9" ht="15" customHeight="1" x14ac:dyDescent="0.35">
      <c r="A584" s="2979"/>
      <c r="B584" s="1260"/>
      <c r="C584" s="1261" t="s">
        <v>12</v>
      </c>
      <c r="D584" s="1262">
        <f>SUM(D515,D543)</f>
        <v>88993258.181718796</v>
      </c>
      <c r="E584" s="1263"/>
      <c r="F584" s="1263"/>
      <c r="G584" s="1262">
        <f>SUM(G515,G543)</f>
        <v>0</v>
      </c>
      <c r="H584" s="1264">
        <f>SUM(H515,H543)</f>
        <v>88993258.181718796</v>
      </c>
      <c r="I584" s="610"/>
    </row>
    <row r="585" spans="1:9" ht="15" customHeight="1" x14ac:dyDescent="0.35">
      <c r="A585" s="3020" t="s">
        <v>21</v>
      </c>
      <c r="B585" s="3021" t="s">
        <v>97</v>
      </c>
      <c r="C585" s="3022" t="s">
        <v>98</v>
      </c>
      <c r="D585" s="3023" t="s">
        <v>99</v>
      </c>
      <c r="E585" s="3024" t="s">
        <v>100</v>
      </c>
      <c r="F585" s="3024"/>
      <c r="G585" s="3024"/>
      <c r="H585" s="3040" t="str">
        <f>+H513</f>
        <v>COSTO DIRECTO ESTIMADO 2026</v>
      </c>
      <c r="I585" s="2987" t="s">
        <v>101</v>
      </c>
    </row>
    <row r="586" spans="1:9" ht="38.25" customHeight="1" x14ac:dyDescent="0.35">
      <c r="A586" s="2967"/>
      <c r="B586" s="2981"/>
      <c r="C586" s="2999"/>
      <c r="D586" s="3001"/>
      <c r="E586" s="1121" t="s">
        <v>102</v>
      </c>
      <c r="F586" s="117" t="s">
        <v>103</v>
      </c>
      <c r="G586" s="1122" t="s">
        <v>104</v>
      </c>
      <c r="H586" s="2993"/>
      <c r="I586" s="2987"/>
    </row>
    <row r="587" spans="1:9" ht="15" customHeight="1" x14ac:dyDescent="0.35">
      <c r="A587" s="3041" t="str">
        <f>+'B) Reajuste Tarifas y Ocupación'!A71</f>
        <v>Piscina C.R. Ralunco</v>
      </c>
      <c r="B587" s="1265"/>
      <c r="C587" s="1266" t="s">
        <v>105</v>
      </c>
      <c r="D587" s="1267">
        <f>SUM(D588,D593,D595)</f>
        <v>21453582.522260953</v>
      </c>
      <c r="E587" s="1268"/>
      <c r="F587" s="1268"/>
      <c r="G587" s="1267">
        <f>SUM(G588,G593,G595)</f>
        <v>0</v>
      </c>
      <c r="H587" s="1269">
        <f>SUM(H588,H593,H595)</f>
        <v>21453582.522260953</v>
      </c>
      <c r="I587" s="610"/>
    </row>
    <row r="588" spans="1:9" ht="15" customHeight="1" x14ac:dyDescent="0.35">
      <c r="A588" s="2978"/>
      <c r="B588" s="1043"/>
      <c r="C588" s="1270" t="s">
        <v>106</v>
      </c>
      <c r="D588" s="1271">
        <f>SUM(D589:D592)</f>
        <v>9308595.5222609527</v>
      </c>
      <c r="E588" s="1272"/>
      <c r="F588" s="1272"/>
      <c r="G588" s="1273">
        <f>SUM(G589:G592)</f>
        <v>0</v>
      </c>
      <c r="H588" s="1274">
        <f>SUM(H589:H592)</f>
        <v>9308595.5222609527</v>
      </c>
      <c r="I588" s="610"/>
    </row>
    <row r="589" spans="1:9" ht="15" customHeight="1" x14ac:dyDescent="0.35">
      <c r="A589" s="2978"/>
      <c r="B589" s="105">
        <v>53103040100000</v>
      </c>
      <c r="C589" s="1275" t="s">
        <v>107</v>
      </c>
      <c r="D589" s="1276">
        <f>+'F) Remuneraciones'!M190</f>
        <v>9308595.5222609527</v>
      </c>
      <c r="E589" s="1277"/>
      <c r="F589" s="1277"/>
      <c r="G589" s="1277"/>
      <c r="H589" s="1278">
        <f>D589+G589</f>
        <v>9308595.5222609527</v>
      </c>
      <c r="I589" s="610"/>
    </row>
    <row r="590" spans="1:9" ht="15" customHeight="1" x14ac:dyDescent="0.35">
      <c r="A590" s="2978"/>
      <c r="B590" s="105">
        <v>53103050000000</v>
      </c>
      <c r="C590" s="1275" t="s">
        <v>108</v>
      </c>
      <c r="D590" s="954"/>
      <c r="E590" s="131"/>
      <c r="F590" s="132"/>
      <c r="G590" s="1279">
        <f>E590*F590</f>
        <v>0</v>
      </c>
      <c r="H590" s="1076">
        <f>D590+G590</f>
        <v>0</v>
      </c>
      <c r="I590" s="610"/>
    </row>
    <row r="591" spans="1:9" ht="15" customHeight="1" x14ac:dyDescent="0.35">
      <c r="A591" s="2978"/>
      <c r="B591" s="105">
        <v>53103060000000</v>
      </c>
      <c r="C591" s="1275" t="s">
        <v>109</v>
      </c>
      <c r="D591" s="954"/>
      <c r="E591" s="131"/>
      <c r="F591" s="132"/>
      <c r="G591" s="1279">
        <f t="shared" ref="G591:G592" si="115">E591*F591</f>
        <v>0</v>
      </c>
      <c r="H591" s="1280">
        <f>D591+G591</f>
        <v>0</v>
      </c>
      <c r="I591" s="610"/>
    </row>
    <row r="592" spans="1:9" ht="15" customHeight="1" x14ac:dyDescent="0.35">
      <c r="A592" s="2978"/>
      <c r="B592" s="105">
        <v>53103080010000</v>
      </c>
      <c r="C592" s="1275" t="s">
        <v>110</v>
      </c>
      <c r="D592" s="954"/>
      <c r="E592" s="131"/>
      <c r="F592" s="132"/>
      <c r="G592" s="1279">
        <f t="shared" si="115"/>
        <v>0</v>
      </c>
      <c r="H592" s="1280">
        <f>D592+G592</f>
        <v>0</v>
      </c>
      <c r="I592" s="610"/>
    </row>
    <row r="593" spans="1:9" ht="15" customHeight="1" x14ac:dyDescent="0.35">
      <c r="A593" s="2978"/>
      <c r="B593" s="1043"/>
      <c r="C593" s="1270" t="s">
        <v>111</v>
      </c>
      <c r="D593" s="1271">
        <f>SUM(D594)</f>
        <v>0</v>
      </c>
      <c r="E593" s="1281"/>
      <c r="F593" s="1281"/>
      <c r="G593" s="1282">
        <f>SUM(G594:G594)</f>
        <v>0</v>
      </c>
      <c r="H593" s="1026">
        <f>SUM(H594:H594)</f>
        <v>0</v>
      </c>
      <c r="I593" s="610"/>
    </row>
    <row r="594" spans="1:9" ht="15" customHeight="1" x14ac:dyDescent="0.35">
      <c r="A594" s="2978"/>
      <c r="B594" s="105">
        <v>55201010100001</v>
      </c>
      <c r="C594" s="1275" t="s">
        <v>112</v>
      </c>
      <c r="D594" s="954"/>
      <c r="E594" s="131"/>
      <c r="F594" s="132"/>
      <c r="G594" s="1279">
        <f t="shared" ref="G594" si="116">E594*F594</f>
        <v>0</v>
      </c>
      <c r="H594" s="1280">
        <f>D594+G594</f>
        <v>0</v>
      </c>
      <c r="I594" s="610"/>
    </row>
    <row r="595" spans="1:9" ht="15" customHeight="1" x14ac:dyDescent="0.35">
      <c r="A595" s="2978"/>
      <c r="B595" s="1043"/>
      <c r="C595" s="1270" t="s">
        <v>113</v>
      </c>
      <c r="D595" s="1271">
        <f>SUM(D596:D614)</f>
        <v>12144987</v>
      </c>
      <c r="E595" s="1281"/>
      <c r="F595" s="1281"/>
      <c r="G595" s="1273">
        <f>SUM(G596:G614)</f>
        <v>0</v>
      </c>
      <c r="H595" s="1026">
        <f>SUM(H596:H614)</f>
        <v>12144987</v>
      </c>
      <c r="I595" s="610"/>
    </row>
    <row r="596" spans="1:9" ht="15" customHeight="1" x14ac:dyDescent="0.35">
      <c r="A596" s="2978"/>
      <c r="B596" s="105">
        <v>53201010100000</v>
      </c>
      <c r="C596" s="1275" t="s">
        <v>114</v>
      </c>
      <c r="D596" s="954"/>
      <c r="E596" s="131"/>
      <c r="F596" s="132"/>
      <c r="G596" s="1279">
        <f t="shared" ref="G596:G614" si="117">E596*F596</f>
        <v>0</v>
      </c>
      <c r="H596" s="1280">
        <f t="shared" ref="H596:H614" si="118">D596+G596</f>
        <v>0</v>
      </c>
      <c r="I596" s="610"/>
    </row>
    <row r="597" spans="1:9" ht="15" customHeight="1" x14ac:dyDescent="0.35">
      <c r="A597" s="2978"/>
      <c r="B597" s="105">
        <v>53202010100000</v>
      </c>
      <c r="C597" s="1275" t="s">
        <v>115</v>
      </c>
      <c r="D597" s="954"/>
      <c r="E597" s="131"/>
      <c r="F597" s="132"/>
      <c r="G597" s="1279">
        <f t="shared" si="117"/>
        <v>0</v>
      </c>
      <c r="H597" s="1280">
        <f t="shared" si="118"/>
        <v>0</v>
      </c>
      <c r="I597" s="610"/>
    </row>
    <row r="598" spans="1:9" ht="15" customHeight="1" x14ac:dyDescent="0.35">
      <c r="A598" s="2978"/>
      <c r="B598" s="105">
        <v>53203010100000</v>
      </c>
      <c r="C598" s="1275" t="s">
        <v>116</v>
      </c>
      <c r="D598" s="954"/>
      <c r="E598" s="131"/>
      <c r="F598" s="132"/>
      <c r="G598" s="1279">
        <f t="shared" si="117"/>
        <v>0</v>
      </c>
      <c r="H598" s="1280">
        <f t="shared" si="118"/>
        <v>0</v>
      </c>
      <c r="I598" s="610"/>
    </row>
    <row r="599" spans="1:9" ht="15" customHeight="1" x14ac:dyDescent="0.35">
      <c r="A599" s="2978"/>
      <c r="B599" s="105">
        <v>53203030000000</v>
      </c>
      <c r="C599" s="1275" t="s">
        <v>117</v>
      </c>
      <c r="D599" s="954"/>
      <c r="E599" s="131"/>
      <c r="F599" s="132"/>
      <c r="G599" s="1279">
        <f t="shared" si="117"/>
        <v>0</v>
      </c>
      <c r="H599" s="1280">
        <f t="shared" si="118"/>
        <v>0</v>
      </c>
      <c r="I599" s="610"/>
    </row>
    <row r="600" spans="1:9" ht="15" customHeight="1" x14ac:dyDescent="0.35">
      <c r="A600" s="2978"/>
      <c r="B600" s="105">
        <v>53204030000000</v>
      </c>
      <c r="C600" s="1275" t="s">
        <v>118</v>
      </c>
      <c r="D600" s="947">
        <f>+RALUNCO!E36</f>
        <v>3565251</v>
      </c>
      <c r="E600" s="131"/>
      <c r="F600" s="132"/>
      <c r="G600" s="1279">
        <f t="shared" si="117"/>
        <v>0</v>
      </c>
      <c r="H600" s="1280">
        <f t="shared" si="118"/>
        <v>3565251</v>
      </c>
      <c r="I600" s="610"/>
    </row>
    <row r="601" spans="1:9" ht="15" customHeight="1" x14ac:dyDescent="0.35">
      <c r="A601" s="2978"/>
      <c r="B601" s="105">
        <v>53204100100001</v>
      </c>
      <c r="C601" s="1275" t="s">
        <v>119</v>
      </c>
      <c r="D601" s="947"/>
      <c r="E601" s="131"/>
      <c r="F601" s="132"/>
      <c r="G601" s="1279">
        <f t="shared" si="117"/>
        <v>0</v>
      </c>
      <c r="H601" s="1280">
        <f t="shared" si="118"/>
        <v>0</v>
      </c>
      <c r="I601" s="610"/>
    </row>
    <row r="602" spans="1:9" ht="15" customHeight="1" x14ac:dyDescent="0.35">
      <c r="A602" s="2978"/>
      <c r="B602" s="105">
        <v>53204130100000</v>
      </c>
      <c r="C602" s="1275" t="s">
        <v>120</v>
      </c>
      <c r="D602" s="947"/>
      <c r="E602" s="131"/>
      <c r="F602" s="132"/>
      <c r="G602" s="1279">
        <f t="shared" si="117"/>
        <v>0</v>
      </c>
      <c r="H602" s="1280">
        <f t="shared" si="118"/>
        <v>0</v>
      </c>
      <c r="I602" s="610"/>
    </row>
    <row r="603" spans="1:9" x14ac:dyDescent="0.35">
      <c r="A603" s="2978"/>
      <c r="B603" s="105">
        <v>53205010100000</v>
      </c>
      <c r="C603" s="1275" t="s">
        <v>121</v>
      </c>
      <c r="D603" s="954">
        <v>2100000</v>
      </c>
      <c r="E603" s="131"/>
      <c r="F603" s="132"/>
      <c r="G603" s="1279">
        <f t="shared" si="117"/>
        <v>0</v>
      </c>
      <c r="H603" s="1280">
        <f t="shared" si="118"/>
        <v>2100000</v>
      </c>
      <c r="I603" s="610"/>
    </row>
    <row r="604" spans="1:9" ht="15" customHeight="1" x14ac:dyDescent="0.35">
      <c r="A604" s="2978"/>
      <c r="B604" s="105">
        <v>53205020100000</v>
      </c>
      <c r="C604" s="1275" t="s">
        <v>122</v>
      </c>
      <c r="D604" s="954">
        <v>5500000</v>
      </c>
      <c r="E604" s="131"/>
      <c r="F604" s="132"/>
      <c r="G604" s="1279">
        <f t="shared" si="117"/>
        <v>0</v>
      </c>
      <c r="H604" s="1280">
        <f t="shared" si="118"/>
        <v>5500000</v>
      </c>
      <c r="I604" s="610"/>
    </row>
    <row r="605" spans="1:9" ht="15" customHeight="1" x14ac:dyDescent="0.35">
      <c r="A605" s="2978"/>
      <c r="B605" s="105">
        <v>53205030100000</v>
      </c>
      <c r="C605" s="1275" t="s">
        <v>123</v>
      </c>
      <c r="D605" s="298">
        <v>979736</v>
      </c>
      <c r="E605" s="131"/>
      <c r="F605" s="132"/>
      <c r="G605" s="1279">
        <f t="shared" si="117"/>
        <v>0</v>
      </c>
      <c r="H605" s="1280">
        <f t="shared" si="118"/>
        <v>979736</v>
      </c>
      <c r="I605" s="610"/>
    </row>
    <row r="606" spans="1:9" ht="15" customHeight="1" x14ac:dyDescent="0.35">
      <c r="A606" s="2978"/>
      <c r="B606" s="105">
        <v>53205050100000</v>
      </c>
      <c r="C606" s="1275" t="s">
        <v>124</v>
      </c>
      <c r="D606" s="954"/>
      <c r="E606" s="131"/>
      <c r="F606" s="132"/>
      <c r="G606" s="1279">
        <f t="shared" si="117"/>
        <v>0</v>
      </c>
      <c r="H606" s="1280">
        <f t="shared" si="118"/>
        <v>0</v>
      </c>
      <c r="I606" s="610"/>
    </row>
    <row r="607" spans="1:9" ht="15" customHeight="1" x14ac:dyDescent="0.35">
      <c r="A607" s="2978"/>
      <c r="B607" s="105">
        <v>53205060100000</v>
      </c>
      <c r="C607" s="1275" t="s">
        <v>125</v>
      </c>
      <c r="D607" s="954"/>
      <c r="E607" s="131"/>
      <c r="F607" s="132"/>
      <c r="G607" s="1279">
        <f t="shared" si="117"/>
        <v>0</v>
      </c>
      <c r="H607" s="1280">
        <f t="shared" si="118"/>
        <v>0</v>
      </c>
      <c r="I607" s="610"/>
    </row>
    <row r="608" spans="1:9" ht="15" customHeight="1" x14ac:dyDescent="0.35">
      <c r="A608" s="2978"/>
      <c r="B608" s="105">
        <v>53205070100000</v>
      </c>
      <c r="C608" s="1275" t="s">
        <v>126</v>
      </c>
      <c r="D608" s="954"/>
      <c r="E608" s="131"/>
      <c r="F608" s="132"/>
      <c r="G608" s="1279">
        <f t="shared" si="117"/>
        <v>0</v>
      </c>
      <c r="H608" s="1280">
        <f t="shared" si="118"/>
        <v>0</v>
      </c>
      <c r="I608" s="610"/>
    </row>
    <row r="609" spans="1:9" ht="15" customHeight="1" x14ac:dyDescent="0.35">
      <c r="A609" s="2978"/>
      <c r="B609" s="105">
        <v>53208010100000</v>
      </c>
      <c r="C609" s="1275" t="s">
        <v>127</v>
      </c>
      <c r="D609" s="298"/>
      <c r="E609" s="131"/>
      <c r="F609" s="132"/>
      <c r="G609" s="1279">
        <f t="shared" si="117"/>
        <v>0</v>
      </c>
      <c r="H609" s="1280">
        <f t="shared" si="118"/>
        <v>0</v>
      </c>
      <c r="I609" s="610"/>
    </row>
    <row r="610" spans="1:9" ht="15" customHeight="1" x14ac:dyDescent="0.35">
      <c r="A610" s="2978"/>
      <c r="B610" s="105">
        <v>53208070100001</v>
      </c>
      <c r="C610" s="1275" t="s">
        <v>128</v>
      </c>
      <c r="D610" s="954"/>
      <c r="E610" s="131"/>
      <c r="F610" s="132"/>
      <c r="G610" s="1279">
        <f t="shared" si="117"/>
        <v>0</v>
      </c>
      <c r="H610" s="1280">
        <f t="shared" si="118"/>
        <v>0</v>
      </c>
      <c r="I610" s="610"/>
    </row>
    <row r="611" spans="1:9" ht="15" customHeight="1" x14ac:dyDescent="0.35">
      <c r="A611" s="2978"/>
      <c r="B611" s="105">
        <v>53208100100001</v>
      </c>
      <c r="C611" s="1275" t="s">
        <v>129</v>
      </c>
      <c r="D611" s="954"/>
      <c r="E611" s="131"/>
      <c r="F611" s="132"/>
      <c r="G611" s="1279">
        <f t="shared" si="117"/>
        <v>0</v>
      </c>
      <c r="H611" s="1280">
        <f t="shared" si="118"/>
        <v>0</v>
      </c>
      <c r="I611" s="610"/>
    </row>
    <row r="612" spans="1:9" ht="15" customHeight="1" x14ac:dyDescent="0.35">
      <c r="A612" s="2978"/>
      <c r="B612" s="105">
        <v>53211030000000</v>
      </c>
      <c r="C612" s="1275" t="s">
        <v>130</v>
      </c>
      <c r="D612" s="954"/>
      <c r="E612" s="131"/>
      <c r="F612" s="132"/>
      <c r="G612" s="1279">
        <f t="shared" si="117"/>
        <v>0</v>
      </c>
      <c r="H612" s="1280">
        <f t="shared" si="118"/>
        <v>0</v>
      </c>
      <c r="I612" s="610"/>
    </row>
    <row r="613" spans="1:9" ht="15" customHeight="1" x14ac:dyDescent="0.35">
      <c r="A613" s="2978"/>
      <c r="B613" s="105">
        <v>53212020100000</v>
      </c>
      <c r="C613" s="1275" t="s">
        <v>131</v>
      </c>
      <c r="D613" s="954"/>
      <c r="E613" s="131"/>
      <c r="F613" s="132"/>
      <c r="G613" s="1279">
        <f t="shared" si="117"/>
        <v>0</v>
      </c>
      <c r="H613" s="1280">
        <f t="shared" si="118"/>
        <v>0</v>
      </c>
      <c r="I613" s="610"/>
    </row>
    <row r="614" spans="1:9" ht="15" customHeight="1" x14ac:dyDescent="0.35">
      <c r="A614" s="2978"/>
      <c r="B614" s="105">
        <v>53214020000000</v>
      </c>
      <c r="C614" s="1275" t="s">
        <v>132</v>
      </c>
      <c r="D614" s="954"/>
      <c r="E614" s="131"/>
      <c r="F614" s="132"/>
      <c r="G614" s="1279">
        <f t="shared" si="117"/>
        <v>0</v>
      </c>
      <c r="H614" s="1280">
        <f t="shared" si="118"/>
        <v>0</v>
      </c>
      <c r="I614" s="610"/>
    </row>
    <row r="615" spans="1:9" ht="15" customHeight="1" x14ac:dyDescent="0.35">
      <c r="A615" s="2978"/>
      <c r="B615" s="1265"/>
      <c r="C615" s="1266" t="s">
        <v>133</v>
      </c>
      <c r="D615" s="1283">
        <f>SUM(D616,D621,D624,D635,D645,D653)</f>
        <v>374190</v>
      </c>
      <c r="E615" s="1268"/>
      <c r="F615" s="1268"/>
      <c r="G615" s="1284">
        <f>SUM(G616,G621,G624,G635,G645,G653)</f>
        <v>0</v>
      </c>
      <c r="H615" s="1042">
        <f>SUM(H616,H621,H624,H635,H645,H653)</f>
        <v>374190</v>
      </c>
      <c r="I615" s="610"/>
    </row>
    <row r="616" spans="1:9" ht="15" customHeight="1" x14ac:dyDescent="0.35">
      <c r="A616" s="2978"/>
      <c r="B616" s="1043"/>
      <c r="C616" s="1270" t="s">
        <v>134</v>
      </c>
      <c r="D616" s="1271">
        <f>SUM(D617:D620)</f>
        <v>249000</v>
      </c>
      <c r="E616" s="1281"/>
      <c r="F616" s="1281"/>
      <c r="G616" s="1282">
        <f>SUM(G617:G620)</f>
        <v>0</v>
      </c>
      <c r="H616" s="1285">
        <f>SUM(H617:H620)</f>
        <v>249000</v>
      </c>
      <c r="I616" s="610"/>
    </row>
    <row r="617" spans="1:9" ht="15" customHeight="1" x14ac:dyDescent="0.35">
      <c r="A617" s="2978"/>
      <c r="B617" s="105">
        <v>53202020100000</v>
      </c>
      <c r="C617" s="1275" t="s">
        <v>135</v>
      </c>
      <c r="D617" s="947">
        <v>249000</v>
      </c>
      <c r="E617" s="131"/>
      <c r="F617" s="132"/>
      <c r="G617" s="1279">
        <f>E617*F617</f>
        <v>0</v>
      </c>
      <c r="H617" s="1280">
        <f>D617+G617</f>
        <v>249000</v>
      </c>
      <c r="I617" s="610"/>
    </row>
    <row r="618" spans="1:9" ht="15" customHeight="1" x14ac:dyDescent="0.35">
      <c r="A618" s="2978"/>
      <c r="B618" s="105">
        <v>53202030000000</v>
      </c>
      <c r="C618" s="1275" t="s">
        <v>136</v>
      </c>
      <c r="D618" s="947">
        <v>0</v>
      </c>
      <c r="E618" s="131"/>
      <c r="F618" s="132"/>
      <c r="G618" s="1279">
        <f t="shared" ref="G618:G620" si="119">E618*F618</f>
        <v>0</v>
      </c>
      <c r="H618" s="1280">
        <f>D618+G618</f>
        <v>0</v>
      </c>
      <c r="I618" s="610"/>
    </row>
    <row r="619" spans="1:9" ht="15" customHeight="1" x14ac:dyDescent="0.35">
      <c r="A619" s="2978"/>
      <c r="B619" s="105">
        <v>53211020000000</v>
      </c>
      <c r="C619" s="1275" t="s">
        <v>137</v>
      </c>
      <c r="D619" s="947"/>
      <c r="E619" s="131"/>
      <c r="F619" s="132"/>
      <c r="G619" s="1279">
        <f t="shared" si="119"/>
        <v>0</v>
      </c>
      <c r="H619" s="1280">
        <f>D619+G619</f>
        <v>0</v>
      </c>
      <c r="I619" s="610"/>
    </row>
    <row r="620" spans="1:9" ht="15" customHeight="1" x14ac:dyDescent="0.35">
      <c r="A620" s="2978"/>
      <c r="B620" s="105">
        <v>53101004030000</v>
      </c>
      <c r="C620" s="1275" t="s">
        <v>138</v>
      </c>
      <c r="D620" s="954"/>
      <c r="E620" s="131"/>
      <c r="F620" s="132"/>
      <c r="G620" s="1279">
        <f t="shared" si="119"/>
        <v>0</v>
      </c>
      <c r="H620" s="1280">
        <f>D620+G620</f>
        <v>0</v>
      </c>
      <c r="I620" s="610"/>
    </row>
    <row r="621" spans="1:9" ht="15" customHeight="1" x14ac:dyDescent="0.35">
      <c r="A621" s="2978"/>
      <c r="B621" s="1043"/>
      <c r="C621" s="1270" t="s">
        <v>139</v>
      </c>
      <c r="D621" s="1271">
        <f>SUM(D622:D623)</f>
        <v>0</v>
      </c>
      <c r="E621" s="1281"/>
      <c r="F621" s="1281"/>
      <c r="G621" s="1282">
        <f>SUM(G622:G623)</f>
        <v>0</v>
      </c>
      <c r="H621" s="1285">
        <f>SUM(H622:H623)</f>
        <v>0</v>
      </c>
      <c r="I621" s="610"/>
    </row>
    <row r="622" spans="1:9" ht="15" customHeight="1" x14ac:dyDescent="0.35">
      <c r="A622" s="2978"/>
      <c r="B622" s="105">
        <v>53205080000000</v>
      </c>
      <c r="C622" s="1286" t="s">
        <v>140</v>
      </c>
      <c r="D622" s="954"/>
      <c r="E622" s="131"/>
      <c r="F622" s="132"/>
      <c r="G622" s="1279">
        <f t="shared" ref="G622:G623" si="120">E622*F622</f>
        <v>0</v>
      </c>
      <c r="H622" s="1280">
        <f>D622+G622</f>
        <v>0</v>
      </c>
      <c r="I622" s="610"/>
    </row>
    <row r="623" spans="1:9" ht="15" customHeight="1" x14ac:dyDescent="0.35">
      <c r="A623" s="2978"/>
      <c r="B623" s="105">
        <v>53205990000000</v>
      </c>
      <c r="C623" s="1275" t="s">
        <v>141</v>
      </c>
      <c r="D623" s="954"/>
      <c r="E623" s="131"/>
      <c r="F623" s="132"/>
      <c r="G623" s="1279">
        <f t="shared" si="120"/>
        <v>0</v>
      </c>
      <c r="H623" s="1280">
        <f>D623+G623</f>
        <v>0</v>
      </c>
      <c r="I623" s="610"/>
    </row>
    <row r="624" spans="1:9" ht="15" customHeight="1" x14ac:dyDescent="0.35">
      <c r="A624" s="2978"/>
      <c r="B624" s="1043"/>
      <c r="C624" s="1270" t="s">
        <v>142</v>
      </c>
      <c r="D624" s="1271">
        <f>SUM(D625:D634)</f>
        <v>125190</v>
      </c>
      <c r="E624" s="1281"/>
      <c r="F624" s="1281"/>
      <c r="G624" s="1273">
        <f>SUM(G625:G634)</f>
        <v>0</v>
      </c>
      <c r="H624" s="1026">
        <f>SUM(H625:H634)</f>
        <v>125190</v>
      </c>
      <c r="I624" s="610"/>
    </row>
    <row r="625" spans="1:9" ht="15" customHeight="1" x14ac:dyDescent="0.35">
      <c r="A625" s="2978"/>
      <c r="B625" s="105">
        <v>53203010200000</v>
      </c>
      <c r="C625" s="1275" t="s">
        <v>143</v>
      </c>
      <c r="D625" s="954"/>
      <c r="E625" s="130"/>
      <c r="F625" s="132"/>
      <c r="G625" s="1279">
        <f t="shared" ref="G625:G634" si="121">E625*F625</f>
        <v>0</v>
      </c>
      <c r="H625" s="1280">
        <f t="shared" ref="H625:H634" si="122">D625+G625</f>
        <v>0</v>
      </c>
      <c r="I625" s="610"/>
    </row>
    <row r="626" spans="1:9" ht="15" customHeight="1" x14ac:dyDescent="0.35">
      <c r="A626" s="2978"/>
      <c r="B626" s="105">
        <v>53204010000000</v>
      </c>
      <c r="C626" s="1275" t="s">
        <v>144</v>
      </c>
      <c r="D626" s="954"/>
      <c r="E626" s="131"/>
      <c r="F626" s="132"/>
      <c r="G626" s="1279">
        <f t="shared" si="121"/>
        <v>0</v>
      </c>
      <c r="H626" s="1280">
        <f t="shared" si="122"/>
        <v>0</v>
      </c>
      <c r="I626" s="610"/>
    </row>
    <row r="627" spans="1:9" ht="15" customHeight="1" x14ac:dyDescent="0.35">
      <c r="A627" s="2978"/>
      <c r="B627" s="105">
        <v>53204040200000</v>
      </c>
      <c r="C627" s="1286" t="s">
        <v>145</v>
      </c>
      <c r="D627" s="954">
        <v>0</v>
      </c>
      <c r="E627" s="131"/>
      <c r="F627" s="132"/>
      <c r="G627" s="1279">
        <f t="shared" si="121"/>
        <v>0</v>
      </c>
      <c r="H627" s="1280">
        <f t="shared" si="122"/>
        <v>0</v>
      </c>
      <c r="I627" s="610"/>
    </row>
    <row r="628" spans="1:9" ht="15" customHeight="1" x14ac:dyDescent="0.35">
      <c r="A628" s="2978"/>
      <c r="B628" s="105">
        <v>53204060000000</v>
      </c>
      <c r="C628" s="1286" t="s">
        <v>146</v>
      </c>
      <c r="D628" s="954"/>
      <c r="E628" s="131"/>
      <c r="F628" s="132"/>
      <c r="G628" s="1279">
        <f t="shared" si="121"/>
        <v>0</v>
      </c>
      <c r="H628" s="1280">
        <f t="shared" si="122"/>
        <v>0</v>
      </c>
      <c r="I628" s="610"/>
    </row>
    <row r="629" spans="1:9" ht="15" customHeight="1" x14ac:dyDescent="0.35">
      <c r="A629" s="2978"/>
      <c r="B629" s="105">
        <v>53204070000000</v>
      </c>
      <c r="C629" s="1275" t="s">
        <v>147</v>
      </c>
      <c r="D629" s="943">
        <f>RALUNCO!E43</f>
        <v>125190</v>
      </c>
      <c r="E629" s="131"/>
      <c r="F629" s="132"/>
      <c r="G629" s="1279">
        <f t="shared" si="121"/>
        <v>0</v>
      </c>
      <c r="H629" s="1280">
        <f t="shared" si="122"/>
        <v>125190</v>
      </c>
      <c r="I629" s="610"/>
    </row>
    <row r="630" spans="1:9" ht="15" customHeight="1" x14ac:dyDescent="0.35">
      <c r="A630" s="2978"/>
      <c r="B630" s="105">
        <v>53204080000000</v>
      </c>
      <c r="C630" s="1286" t="s">
        <v>148</v>
      </c>
      <c r="D630" s="954"/>
      <c r="E630" s="131"/>
      <c r="F630" s="132"/>
      <c r="G630" s="1279">
        <f t="shared" si="121"/>
        <v>0</v>
      </c>
      <c r="H630" s="1280">
        <f t="shared" si="122"/>
        <v>0</v>
      </c>
      <c r="I630" s="610"/>
    </row>
    <row r="631" spans="1:9" ht="15" customHeight="1" x14ac:dyDescent="0.35">
      <c r="A631" s="2978"/>
      <c r="B631" s="105">
        <v>53214010000000</v>
      </c>
      <c r="C631" s="1275" t="s">
        <v>149</v>
      </c>
      <c r="D631" s="954"/>
      <c r="E631" s="131"/>
      <c r="F631" s="132"/>
      <c r="G631" s="1279">
        <f t="shared" si="121"/>
        <v>0</v>
      </c>
      <c r="H631" s="1280">
        <f t="shared" si="122"/>
        <v>0</v>
      </c>
      <c r="I631" s="610"/>
    </row>
    <row r="632" spans="1:9" ht="15" customHeight="1" x14ac:dyDescent="0.35">
      <c r="A632" s="2978"/>
      <c r="B632" s="105">
        <v>53214040000000</v>
      </c>
      <c r="C632" s="1275" t="s">
        <v>150</v>
      </c>
      <c r="D632" s="954"/>
      <c r="E632" s="130"/>
      <c r="F632" s="132"/>
      <c r="G632" s="1279">
        <f t="shared" si="121"/>
        <v>0</v>
      </c>
      <c r="H632" s="1280">
        <f t="shared" si="122"/>
        <v>0</v>
      </c>
      <c r="I632" s="610"/>
    </row>
    <row r="633" spans="1:9" ht="15" customHeight="1" x14ac:dyDescent="0.35">
      <c r="A633" s="2978"/>
      <c r="B633" s="105">
        <v>55201010100004</v>
      </c>
      <c r="C633" s="1275" t="s">
        <v>151</v>
      </c>
      <c r="D633" s="954"/>
      <c r="E633" s="130"/>
      <c r="F633" s="132"/>
      <c r="G633" s="1279">
        <f t="shared" si="121"/>
        <v>0</v>
      </c>
      <c r="H633" s="1280">
        <f t="shared" si="122"/>
        <v>0</v>
      </c>
      <c r="I633" s="610"/>
    </row>
    <row r="634" spans="1:9" ht="15" customHeight="1" x14ac:dyDescent="0.35">
      <c r="A634" s="2978"/>
      <c r="B634" s="105">
        <v>55201010100005</v>
      </c>
      <c r="C634" s="1275" t="s">
        <v>152</v>
      </c>
      <c r="D634" s="954"/>
      <c r="E634" s="130"/>
      <c r="F634" s="132"/>
      <c r="G634" s="1279">
        <f t="shared" si="121"/>
        <v>0</v>
      </c>
      <c r="H634" s="1280">
        <f t="shared" si="122"/>
        <v>0</v>
      </c>
      <c r="I634" s="610"/>
    </row>
    <row r="635" spans="1:9" ht="15" customHeight="1" x14ac:dyDescent="0.35">
      <c r="A635" s="2978"/>
      <c r="B635" s="1043"/>
      <c r="C635" s="1270" t="s">
        <v>153</v>
      </c>
      <c r="D635" s="1271">
        <f>SUM(D636:D644)</f>
        <v>0</v>
      </c>
      <c r="E635" s="1281"/>
      <c r="F635" s="1281"/>
      <c r="G635" s="1273">
        <f>SUM(G636:G644)</f>
        <v>0</v>
      </c>
      <c r="H635" s="1026">
        <f>SUM(H636:H644)</f>
        <v>0</v>
      </c>
      <c r="I635" s="610"/>
    </row>
    <row r="636" spans="1:9" ht="15" customHeight="1" x14ac:dyDescent="0.35">
      <c r="A636" s="2978"/>
      <c r="B636" s="105">
        <v>53207010000000</v>
      </c>
      <c r="C636" s="1275" t="s">
        <v>154</v>
      </c>
      <c r="D636" s="954"/>
      <c r="E636" s="131"/>
      <c r="F636" s="132"/>
      <c r="G636" s="1279">
        <f t="shared" ref="G636:G644" si="123">E636*F636</f>
        <v>0</v>
      </c>
      <c r="H636" s="1280">
        <f t="shared" ref="H636:H644" si="124">D636+G636</f>
        <v>0</v>
      </c>
      <c r="I636" s="610"/>
    </row>
    <row r="637" spans="1:9" ht="15" customHeight="1" x14ac:dyDescent="0.35">
      <c r="A637" s="2978"/>
      <c r="B637" s="105">
        <v>53207020000000</v>
      </c>
      <c r="C637" s="1275" t="s">
        <v>155</v>
      </c>
      <c r="D637" s="954"/>
      <c r="E637" s="131"/>
      <c r="F637" s="132"/>
      <c r="G637" s="1279">
        <f t="shared" si="123"/>
        <v>0</v>
      </c>
      <c r="H637" s="1280">
        <f t="shared" si="124"/>
        <v>0</v>
      </c>
      <c r="I637" s="610"/>
    </row>
    <row r="638" spans="1:9" ht="15" customHeight="1" x14ac:dyDescent="0.35">
      <c r="A638" s="2978"/>
      <c r="B638" s="105">
        <v>53208020000000</v>
      </c>
      <c r="C638" s="1275" t="s">
        <v>156</v>
      </c>
      <c r="D638" s="954"/>
      <c r="E638" s="131"/>
      <c r="F638" s="132"/>
      <c r="G638" s="1279">
        <f t="shared" si="123"/>
        <v>0</v>
      </c>
      <c r="H638" s="1280">
        <f t="shared" si="124"/>
        <v>0</v>
      </c>
      <c r="I638" s="610"/>
    </row>
    <row r="639" spans="1:9" ht="15" customHeight="1" x14ac:dyDescent="0.35">
      <c r="A639" s="2978"/>
      <c r="B639" s="105">
        <v>53208990000000</v>
      </c>
      <c r="C639" s="1275" t="s">
        <v>157</v>
      </c>
      <c r="D639" s="947"/>
      <c r="E639" s="131"/>
      <c r="F639" s="132"/>
      <c r="G639" s="1279">
        <f t="shared" si="123"/>
        <v>0</v>
      </c>
      <c r="H639" s="1280">
        <f t="shared" si="124"/>
        <v>0</v>
      </c>
      <c r="I639" s="610"/>
    </row>
    <row r="640" spans="1:9" ht="15" customHeight="1" x14ac:dyDescent="0.35">
      <c r="A640" s="2978"/>
      <c r="B640" s="105">
        <v>53209010000000</v>
      </c>
      <c r="C640" s="1275" t="s">
        <v>158</v>
      </c>
      <c r="D640" s="954"/>
      <c r="E640" s="131"/>
      <c r="F640" s="132"/>
      <c r="G640" s="1279">
        <f t="shared" si="123"/>
        <v>0</v>
      </c>
      <c r="H640" s="1280">
        <f t="shared" si="124"/>
        <v>0</v>
      </c>
      <c r="I640" s="610"/>
    </row>
    <row r="641" spans="1:9" ht="15" customHeight="1" x14ac:dyDescent="0.35">
      <c r="A641" s="2978"/>
      <c r="B641" s="105">
        <v>53209040000000</v>
      </c>
      <c r="C641" s="1275" t="s">
        <v>159</v>
      </c>
      <c r="D641" s="954"/>
      <c r="E641" s="131"/>
      <c r="F641" s="132"/>
      <c r="G641" s="1279">
        <f t="shared" si="123"/>
        <v>0</v>
      </c>
      <c r="H641" s="1280">
        <f t="shared" si="124"/>
        <v>0</v>
      </c>
      <c r="I641" s="610"/>
    </row>
    <row r="642" spans="1:9" ht="15" customHeight="1" x14ac:dyDescent="0.35">
      <c r="A642" s="2978"/>
      <c r="B642" s="105">
        <v>53209050000000</v>
      </c>
      <c r="C642" s="1275" t="s">
        <v>160</v>
      </c>
      <c r="D642" s="954"/>
      <c r="E642" s="131"/>
      <c r="F642" s="132"/>
      <c r="G642" s="1279">
        <f t="shared" si="123"/>
        <v>0</v>
      </c>
      <c r="H642" s="1280">
        <f t="shared" si="124"/>
        <v>0</v>
      </c>
      <c r="I642" s="610"/>
    </row>
    <row r="643" spans="1:9" ht="15" customHeight="1" x14ac:dyDescent="0.35">
      <c r="A643" s="2978"/>
      <c r="B643" s="105">
        <v>53209990000000</v>
      </c>
      <c r="C643" s="1275" t="s">
        <v>161</v>
      </c>
      <c r="D643" s="954"/>
      <c r="E643" s="131"/>
      <c r="F643" s="132"/>
      <c r="G643" s="1279">
        <f t="shared" si="123"/>
        <v>0</v>
      </c>
      <c r="H643" s="1280">
        <f t="shared" si="124"/>
        <v>0</v>
      </c>
      <c r="I643" s="610"/>
    </row>
    <row r="644" spans="1:9" ht="15" customHeight="1" x14ac:dyDescent="0.35">
      <c r="A644" s="2978"/>
      <c r="B644" s="105">
        <v>53210020100000</v>
      </c>
      <c r="C644" s="1275" t="s">
        <v>162</v>
      </c>
      <c r="D644" s="954"/>
      <c r="E644" s="131"/>
      <c r="F644" s="132"/>
      <c r="G644" s="1279">
        <f t="shared" si="123"/>
        <v>0</v>
      </c>
      <c r="H644" s="1280">
        <f t="shared" si="124"/>
        <v>0</v>
      </c>
      <c r="I644" s="610"/>
    </row>
    <row r="645" spans="1:9" ht="15" customHeight="1" x14ac:dyDescent="0.35">
      <c r="A645" s="2978"/>
      <c r="B645" s="1043"/>
      <c r="C645" s="1270" t="s">
        <v>163</v>
      </c>
      <c r="D645" s="1271">
        <f>SUM(D646:D652)</f>
        <v>0</v>
      </c>
      <c r="E645" s="1281"/>
      <c r="F645" s="1281"/>
      <c r="G645" s="1273">
        <f>SUM(G646:G652)</f>
        <v>0</v>
      </c>
      <c r="H645" s="1026">
        <f>SUM(H646:H652)</f>
        <v>0</v>
      </c>
      <c r="I645" s="610"/>
    </row>
    <row r="646" spans="1:9" ht="15" customHeight="1" x14ac:dyDescent="0.35">
      <c r="A646" s="2978"/>
      <c r="B646" s="105">
        <v>53206030000000</v>
      </c>
      <c r="C646" s="1275" t="s">
        <v>164</v>
      </c>
      <c r="D646" s="954"/>
      <c r="E646" s="131"/>
      <c r="F646" s="132"/>
      <c r="G646" s="1279">
        <f t="shared" ref="G646:G652" si="125">E646*F646</f>
        <v>0</v>
      </c>
      <c r="H646" s="1280">
        <f t="shared" ref="H646:H652" si="126">D646+G646</f>
        <v>0</v>
      </c>
      <c r="I646" s="610"/>
    </row>
    <row r="647" spans="1:9" ht="15" customHeight="1" x14ac:dyDescent="0.35">
      <c r="A647" s="2978"/>
      <c r="B647" s="105">
        <v>53206040000000</v>
      </c>
      <c r="C647" s="1275" t="s">
        <v>165</v>
      </c>
      <c r="D647" s="954"/>
      <c r="E647" s="131"/>
      <c r="F647" s="132"/>
      <c r="G647" s="1279">
        <f t="shared" si="125"/>
        <v>0</v>
      </c>
      <c r="H647" s="1280">
        <f t="shared" si="126"/>
        <v>0</v>
      </c>
      <c r="I647" s="610"/>
    </row>
    <row r="648" spans="1:9" ht="15" customHeight="1" x14ac:dyDescent="0.35">
      <c r="A648" s="2978"/>
      <c r="B648" s="105">
        <v>53206060000000</v>
      </c>
      <c r="C648" s="1275" t="s">
        <v>166</v>
      </c>
      <c r="D648" s="954">
        <v>0</v>
      </c>
      <c r="E648" s="131"/>
      <c r="F648" s="132"/>
      <c r="G648" s="1279">
        <f t="shared" si="125"/>
        <v>0</v>
      </c>
      <c r="H648" s="1280">
        <f t="shared" si="126"/>
        <v>0</v>
      </c>
      <c r="I648" s="610"/>
    </row>
    <row r="649" spans="1:9" ht="15" customHeight="1" x14ac:dyDescent="0.35">
      <c r="A649" s="2978"/>
      <c r="B649" s="105">
        <v>53206070000000</v>
      </c>
      <c r="C649" s="1275" t="s">
        <v>167</v>
      </c>
      <c r="D649" s="954"/>
      <c r="E649" s="131"/>
      <c r="F649" s="132"/>
      <c r="G649" s="1279">
        <f t="shared" si="125"/>
        <v>0</v>
      </c>
      <c r="H649" s="1280">
        <f t="shared" si="126"/>
        <v>0</v>
      </c>
      <c r="I649" s="610"/>
    </row>
    <row r="650" spans="1:9" ht="15" customHeight="1" x14ac:dyDescent="0.35">
      <c r="A650" s="2978"/>
      <c r="B650" s="105">
        <v>53206990000000</v>
      </c>
      <c r="C650" s="1275" t="s">
        <v>168</v>
      </c>
      <c r="D650" s="947"/>
      <c r="E650" s="131"/>
      <c r="F650" s="132"/>
      <c r="G650" s="1279">
        <f t="shared" si="125"/>
        <v>0</v>
      </c>
      <c r="H650" s="1280">
        <f t="shared" si="126"/>
        <v>0</v>
      </c>
      <c r="I650" s="610"/>
    </row>
    <row r="651" spans="1:9" ht="15" customHeight="1" x14ac:dyDescent="0.35">
      <c r="A651" s="2978"/>
      <c r="B651" s="105">
        <v>53208030000000</v>
      </c>
      <c r="C651" s="1275" t="s">
        <v>169</v>
      </c>
      <c r="D651" s="947"/>
      <c r="E651" s="131"/>
      <c r="F651" s="132"/>
      <c r="G651" s="1279">
        <f t="shared" si="125"/>
        <v>0</v>
      </c>
      <c r="H651" s="1280">
        <f t="shared" si="126"/>
        <v>0</v>
      </c>
    </row>
    <row r="652" spans="1:9" ht="15" customHeight="1" x14ac:dyDescent="0.35">
      <c r="A652" s="2978"/>
      <c r="B652" s="105">
        <v>53212060000000</v>
      </c>
      <c r="C652" s="1275" t="s">
        <v>170</v>
      </c>
      <c r="D652" s="947"/>
      <c r="E652" s="131"/>
      <c r="F652" s="132"/>
      <c r="G652" s="1279">
        <f t="shared" si="125"/>
        <v>0</v>
      </c>
      <c r="H652" s="1280">
        <f t="shared" si="126"/>
        <v>0</v>
      </c>
      <c r="I652" s="610"/>
    </row>
    <row r="653" spans="1:9" ht="15" customHeight="1" x14ac:dyDescent="0.35">
      <c r="A653" s="2978"/>
      <c r="B653" s="1043"/>
      <c r="C653" s="1270" t="s">
        <v>171</v>
      </c>
      <c r="D653" s="1271">
        <f>SUM(D654:D655)</f>
        <v>0</v>
      </c>
      <c r="E653" s="1281"/>
      <c r="F653" s="1281"/>
      <c r="G653" s="1273">
        <f>SUM(G654:G655)</f>
        <v>0</v>
      </c>
      <c r="H653" s="1026">
        <f>SUM(H654:H655)</f>
        <v>0</v>
      </c>
      <c r="I653" s="623"/>
    </row>
    <row r="654" spans="1:9" ht="15" customHeight="1" x14ac:dyDescent="0.35">
      <c r="A654" s="2978"/>
      <c r="B654" s="105">
        <v>53210020500000</v>
      </c>
      <c r="C654" s="1275" t="s">
        <v>172</v>
      </c>
      <c r="D654" s="954"/>
      <c r="E654" s="130"/>
      <c r="F654" s="132"/>
      <c r="G654" s="1279">
        <f t="shared" ref="G654:G655" si="127">E654*F654</f>
        <v>0</v>
      </c>
      <c r="H654" s="1287">
        <f>D654+G654</f>
        <v>0</v>
      </c>
      <c r="I654" s="591"/>
    </row>
    <row r="655" spans="1:9" ht="15" customHeight="1" x14ac:dyDescent="0.35">
      <c r="A655" s="2978"/>
      <c r="B655" s="1053">
        <v>53204999000000</v>
      </c>
      <c r="C655" s="1035" t="s">
        <v>173</v>
      </c>
      <c r="D655" s="954"/>
      <c r="E655" s="131"/>
      <c r="F655" s="132"/>
      <c r="G655" s="1036">
        <f t="shared" si="127"/>
        <v>0</v>
      </c>
      <c r="H655" s="1287">
        <f>D655+G655</f>
        <v>0</v>
      </c>
      <c r="I655" s="591"/>
    </row>
    <row r="656" spans="1:9" ht="15" customHeight="1" x14ac:dyDescent="0.35">
      <c r="A656" s="2979"/>
      <c r="B656" s="1288"/>
      <c r="C656" s="1289" t="s">
        <v>12</v>
      </c>
      <c r="D656" s="1290">
        <f>SUM(D587,D615)</f>
        <v>21827772.522260953</v>
      </c>
      <c r="E656" s="1291"/>
      <c r="F656" s="1291"/>
      <c r="G656" s="1290">
        <f>SUM(G587,G615)</f>
        <v>0</v>
      </c>
      <c r="H656" s="1292">
        <f>SUM(H587,H615)</f>
        <v>21827772.522260953</v>
      </c>
      <c r="I656" s="623"/>
    </row>
    <row r="657" spans="1:9" ht="15" customHeight="1" x14ac:dyDescent="0.35">
      <c r="A657" s="3042" t="s">
        <v>21</v>
      </c>
      <c r="B657" s="3043" t="s">
        <v>97</v>
      </c>
      <c r="C657" s="3044" t="s">
        <v>98</v>
      </c>
      <c r="D657" s="3045" t="s">
        <v>99</v>
      </c>
      <c r="E657" s="3046" t="s">
        <v>100</v>
      </c>
      <c r="F657" s="3046"/>
      <c r="G657" s="3046"/>
      <c r="H657" s="3047" t="str">
        <f>+H585</f>
        <v>COSTO DIRECTO ESTIMADO 2026</v>
      </c>
      <c r="I657" s="2987" t="s">
        <v>101</v>
      </c>
    </row>
    <row r="658" spans="1:9" ht="38.25" customHeight="1" x14ac:dyDescent="0.35">
      <c r="A658" s="2967"/>
      <c r="B658" s="2981"/>
      <c r="C658" s="2999"/>
      <c r="D658" s="3001"/>
      <c r="E658" s="1121" t="s">
        <v>102</v>
      </c>
      <c r="F658" s="117" t="s">
        <v>103</v>
      </c>
      <c r="G658" s="1122" t="s">
        <v>104</v>
      </c>
      <c r="H658" s="2993"/>
      <c r="I658" s="2987"/>
    </row>
    <row r="659" spans="1:9" ht="15" customHeight="1" x14ac:dyDescent="0.35">
      <c r="A659" s="3034" t="str">
        <f>+'B) Reajuste Tarifas y Ocupación'!A73</f>
        <v>C. H. Las Salinas</v>
      </c>
      <c r="B659" s="1293"/>
      <c r="C659" s="1294" t="s">
        <v>105</v>
      </c>
      <c r="D659" s="1295">
        <f>SUM(D660,D665,D667)</f>
        <v>134150265.45999998</v>
      </c>
      <c r="E659" s="1296"/>
      <c r="F659" s="1296"/>
      <c r="G659" s="1295">
        <f>SUM(G660,G665,G667)</f>
        <v>0</v>
      </c>
      <c r="H659" s="1297">
        <f>SUM(H660,H665,H667)</f>
        <v>134150265.45999998</v>
      </c>
      <c r="I659" s="2049"/>
    </row>
    <row r="660" spans="1:9" ht="15" customHeight="1" x14ac:dyDescent="0.35">
      <c r="A660" s="2978"/>
      <c r="B660" s="1043"/>
      <c r="C660" s="1298" t="s">
        <v>106</v>
      </c>
      <c r="D660" s="1299">
        <f>SUM(D661:D664)</f>
        <v>90853478.459999979</v>
      </c>
      <c r="E660" s="1300"/>
      <c r="F660" s="1300"/>
      <c r="G660" s="1301">
        <f>SUM(G661:G664)</f>
        <v>0</v>
      </c>
      <c r="H660" s="1302">
        <f>SUM(H661:H664)</f>
        <v>90853478.459999979</v>
      </c>
      <c r="I660" s="2049"/>
    </row>
    <row r="661" spans="1:9" ht="15" customHeight="1" x14ac:dyDescent="0.35">
      <c r="A661" s="2978"/>
      <c r="B661" s="105">
        <v>53103040100000</v>
      </c>
      <c r="C661" s="133" t="s">
        <v>107</v>
      </c>
      <c r="D661" s="1303">
        <f>+'F) Remuneraciones'!M212</f>
        <v>90853478.459999979</v>
      </c>
      <c r="E661" s="1304"/>
      <c r="F661" s="1304"/>
      <c r="G661" s="1304"/>
      <c r="H661" s="1305">
        <f>D661+G661</f>
        <v>90853478.459999979</v>
      </c>
      <c r="I661" s="2049"/>
    </row>
    <row r="662" spans="1:9" ht="15" customHeight="1" x14ac:dyDescent="0.35">
      <c r="A662" s="2978"/>
      <c r="B662" s="105">
        <v>53103050000000</v>
      </c>
      <c r="C662" s="133" t="s">
        <v>108</v>
      </c>
      <c r="D662" s="955"/>
      <c r="E662" s="134"/>
      <c r="F662" s="135"/>
      <c r="G662" s="1306">
        <f>E662*F662</f>
        <v>0</v>
      </c>
      <c r="H662" s="1076">
        <f>D662+G662</f>
        <v>0</v>
      </c>
      <c r="I662" s="2049"/>
    </row>
    <row r="663" spans="1:9" ht="15" customHeight="1" x14ac:dyDescent="0.35">
      <c r="A663" s="2978"/>
      <c r="B663" s="105">
        <v>53103060000000</v>
      </c>
      <c r="C663" s="133" t="s">
        <v>109</v>
      </c>
      <c r="D663" s="955"/>
      <c r="E663" s="134"/>
      <c r="F663" s="135"/>
      <c r="G663" s="1306">
        <f t="shared" ref="G663:G664" si="128">E663*F663</f>
        <v>0</v>
      </c>
      <c r="H663" s="1307">
        <f>D663+G663</f>
        <v>0</v>
      </c>
      <c r="I663" s="2049"/>
    </row>
    <row r="664" spans="1:9" ht="15" customHeight="1" x14ac:dyDescent="0.35">
      <c r="A664" s="2978"/>
      <c r="B664" s="105">
        <v>53103080010000</v>
      </c>
      <c r="C664" s="133" t="s">
        <v>110</v>
      </c>
      <c r="D664" s="955"/>
      <c r="E664" s="134"/>
      <c r="F664" s="135"/>
      <c r="G664" s="1306">
        <f t="shared" si="128"/>
        <v>0</v>
      </c>
      <c r="H664" s="1307">
        <f>D664+G664</f>
        <v>0</v>
      </c>
      <c r="I664" s="2049"/>
    </row>
    <row r="665" spans="1:9" ht="15" customHeight="1" x14ac:dyDescent="0.35">
      <c r="A665" s="2978"/>
      <c r="B665" s="1043"/>
      <c r="C665" s="1298" t="s">
        <v>111</v>
      </c>
      <c r="D665" s="1299">
        <f>SUM(D666)</f>
        <v>3070647</v>
      </c>
      <c r="E665" s="1308"/>
      <c r="F665" s="1308"/>
      <c r="G665" s="1309">
        <f>SUM(G666:G666)</f>
        <v>0</v>
      </c>
      <c r="H665" s="1026">
        <f>SUM(H666:H666)</f>
        <v>3070647</v>
      </c>
      <c r="I665" s="2049"/>
    </row>
    <row r="666" spans="1:9" ht="15" customHeight="1" x14ac:dyDescent="0.35">
      <c r="A666" s="2978"/>
      <c r="B666" s="105">
        <v>55201010100001</v>
      </c>
      <c r="C666" s="133" t="s">
        <v>112</v>
      </c>
      <c r="D666" s="955">
        <v>3070647</v>
      </c>
      <c r="E666" s="134"/>
      <c r="F666" s="135">
        <v>0</v>
      </c>
      <c r="G666" s="1306">
        <f t="shared" ref="G666" si="129">E666*F666</f>
        <v>0</v>
      </c>
      <c r="H666" s="1307">
        <f>D666+G666</f>
        <v>3070647</v>
      </c>
      <c r="I666" s="2049" t="s">
        <v>1109</v>
      </c>
    </row>
    <row r="667" spans="1:9" ht="15" customHeight="1" x14ac:dyDescent="0.35">
      <c r="A667" s="2978"/>
      <c r="B667" s="1043"/>
      <c r="C667" s="1298" t="s">
        <v>113</v>
      </c>
      <c r="D667" s="1299">
        <f>SUM(D668:D686)</f>
        <v>40226140</v>
      </c>
      <c r="E667" s="1308"/>
      <c r="F667" s="1308"/>
      <c r="G667" s="1301">
        <f>SUM(G668:G686)</f>
        <v>0</v>
      </c>
      <c r="H667" s="1026">
        <f>SUM(H668:H686)</f>
        <v>40226140</v>
      </c>
      <c r="I667" s="2049"/>
    </row>
    <row r="668" spans="1:9" ht="15" customHeight="1" x14ac:dyDescent="0.35">
      <c r="A668" s="2978"/>
      <c r="B668" s="105">
        <v>53201010100000</v>
      </c>
      <c r="C668" s="133" t="s">
        <v>114</v>
      </c>
      <c r="D668" s="956"/>
      <c r="E668" s="607"/>
      <c r="F668" s="608"/>
      <c r="G668" s="1306">
        <f t="shared" ref="G668:G686" si="130">E668*F668</f>
        <v>0</v>
      </c>
      <c r="H668" s="1307">
        <f t="shared" ref="H668:H686" si="131">D668+G668</f>
        <v>0</v>
      </c>
      <c r="I668" s="2049"/>
    </row>
    <row r="669" spans="1:9" ht="15" customHeight="1" x14ac:dyDescent="0.35">
      <c r="A669" s="2978"/>
      <c r="B669" s="105">
        <v>53202010100000</v>
      </c>
      <c r="C669" s="133" t="s">
        <v>115</v>
      </c>
      <c r="D669" s="956">
        <v>2894532</v>
      </c>
      <c r="E669" s="607"/>
      <c r="F669" s="608">
        <v>0</v>
      </c>
      <c r="G669" s="1306">
        <f t="shared" si="130"/>
        <v>0</v>
      </c>
      <c r="H669" s="1307">
        <f t="shared" si="131"/>
        <v>2894532</v>
      </c>
      <c r="I669" s="2049" t="s">
        <v>1110</v>
      </c>
    </row>
    <row r="670" spans="1:9" ht="15" customHeight="1" x14ac:dyDescent="0.35">
      <c r="A670" s="2978"/>
      <c r="B670" s="105">
        <v>53203010100000</v>
      </c>
      <c r="C670" s="133" t="s">
        <v>116</v>
      </c>
      <c r="D670" s="956"/>
      <c r="E670" s="607"/>
      <c r="F670" s="608"/>
      <c r="G670" s="1306">
        <f t="shared" si="130"/>
        <v>0</v>
      </c>
      <c r="H670" s="1307">
        <f t="shared" si="131"/>
        <v>0</v>
      </c>
      <c r="I670" s="2049"/>
    </row>
    <row r="671" spans="1:9" ht="15" customHeight="1" x14ac:dyDescent="0.35">
      <c r="A671" s="2978"/>
      <c r="B671" s="105">
        <v>53203030000000</v>
      </c>
      <c r="C671" s="133" t="s">
        <v>117</v>
      </c>
      <c r="D671" s="956"/>
      <c r="E671" s="607"/>
      <c r="F671" s="608"/>
      <c r="G671" s="1306">
        <f t="shared" si="130"/>
        <v>0</v>
      </c>
      <c r="H671" s="1307">
        <f t="shared" si="131"/>
        <v>0</v>
      </c>
      <c r="I671" s="2049"/>
    </row>
    <row r="672" spans="1:9" ht="15" customHeight="1" x14ac:dyDescent="0.35">
      <c r="A672" s="2978"/>
      <c r="B672" s="105">
        <v>53204030000000</v>
      </c>
      <c r="C672" s="133" t="s">
        <v>118</v>
      </c>
      <c r="D672" s="956"/>
      <c r="E672" s="607"/>
      <c r="F672" s="608"/>
      <c r="G672" s="1306">
        <f t="shared" si="130"/>
        <v>0</v>
      </c>
      <c r="H672" s="1307">
        <f t="shared" si="131"/>
        <v>0</v>
      </c>
      <c r="I672" s="2049"/>
    </row>
    <row r="673" spans="1:9" ht="15" customHeight="1" x14ac:dyDescent="0.35">
      <c r="A673" s="2978"/>
      <c r="B673" s="105">
        <v>53204100100001</v>
      </c>
      <c r="C673" s="133" t="s">
        <v>119</v>
      </c>
      <c r="D673" s="956">
        <v>4590000</v>
      </c>
      <c r="E673" s="607"/>
      <c r="F673" s="608"/>
      <c r="G673" s="1306">
        <f t="shared" si="130"/>
        <v>0</v>
      </c>
      <c r="H673" s="1307">
        <f t="shared" si="131"/>
        <v>4590000</v>
      </c>
      <c r="I673" s="2049" t="s">
        <v>1111</v>
      </c>
    </row>
    <row r="674" spans="1:9" ht="15" customHeight="1" x14ac:dyDescent="0.35">
      <c r="A674" s="2978"/>
      <c r="B674" s="105">
        <v>53204130100000</v>
      </c>
      <c r="C674" s="133" t="s">
        <v>120</v>
      </c>
      <c r="D674" s="956">
        <v>2988600</v>
      </c>
      <c r="E674" s="607"/>
      <c r="F674" s="608"/>
      <c r="G674" s="1306">
        <f t="shared" si="130"/>
        <v>0</v>
      </c>
      <c r="H674" s="1307">
        <f t="shared" si="131"/>
        <v>2988600</v>
      </c>
      <c r="I674" s="2049" t="s">
        <v>1112</v>
      </c>
    </row>
    <row r="675" spans="1:9" x14ac:dyDescent="0.35">
      <c r="A675" s="2978"/>
      <c r="B675" s="105">
        <v>53205010100000</v>
      </c>
      <c r="C675" s="133" t="s">
        <v>121</v>
      </c>
      <c r="D675" s="956">
        <v>7865184</v>
      </c>
      <c r="E675" s="607"/>
      <c r="F675" s="608"/>
      <c r="G675" s="1306">
        <f t="shared" si="130"/>
        <v>0</v>
      </c>
      <c r="H675" s="1307">
        <f t="shared" si="131"/>
        <v>7865184</v>
      </c>
      <c r="I675" s="2049"/>
    </row>
    <row r="676" spans="1:9" ht="15" customHeight="1" x14ac:dyDescent="0.35">
      <c r="A676" s="2978"/>
      <c r="B676" s="105">
        <v>53205020100000</v>
      </c>
      <c r="C676" s="133" t="s">
        <v>122</v>
      </c>
      <c r="D676" s="956">
        <v>5342240</v>
      </c>
      <c r="E676" s="607"/>
      <c r="F676" s="608"/>
      <c r="G676" s="1306">
        <f t="shared" si="130"/>
        <v>0</v>
      </c>
      <c r="H676" s="1307">
        <f t="shared" si="131"/>
        <v>5342240</v>
      </c>
      <c r="I676" s="2049"/>
    </row>
    <row r="677" spans="1:9" ht="15" customHeight="1" x14ac:dyDescent="0.35">
      <c r="A677" s="2978"/>
      <c r="B677" s="105">
        <v>53205030100000</v>
      </c>
      <c r="C677" s="133" t="s">
        <v>123</v>
      </c>
      <c r="D677" s="956">
        <v>3193822</v>
      </c>
      <c r="E677" s="607"/>
      <c r="F677" s="608"/>
      <c r="G677" s="1306">
        <f t="shared" si="130"/>
        <v>0</v>
      </c>
      <c r="H677" s="1307">
        <f t="shared" si="131"/>
        <v>3193822</v>
      </c>
      <c r="I677" s="2049"/>
    </row>
    <row r="678" spans="1:9" ht="15" customHeight="1" x14ac:dyDescent="0.35">
      <c r="A678" s="2978"/>
      <c r="B678" s="105">
        <v>53205050100000</v>
      </c>
      <c r="C678" s="133" t="s">
        <v>124</v>
      </c>
      <c r="D678" s="956">
        <v>251807</v>
      </c>
      <c r="E678" s="607"/>
      <c r="F678" s="608"/>
      <c r="G678" s="1306">
        <f t="shared" si="130"/>
        <v>0</v>
      </c>
      <c r="H678" s="1307">
        <f t="shared" si="131"/>
        <v>251807</v>
      </c>
      <c r="I678" s="2049"/>
    </row>
    <row r="679" spans="1:9" ht="15" customHeight="1" x14ac:dyDescent="0.35">
      <c r="A679" s="2978"/>
      <c r="B679" s="105">
        <v>53205060100000</v>
      </c>
      <c r="C679" s="133" t="s">
        <v>125</v>
      </c>
      <c r="D679" s="956">
        <v>246710</v>
      </c>
      <c r="E679" s="607"/>
      <c r="F679" s="608"/>
      <c r="G679" s="1306">
        <f t="shared" si="130"/>
        <v>0</v>
      </c>
      <c r="H679" s="1307">
        <f t="shared" si="131"/>
        <v>246710</v>
      </c>
      <c r="I679" s="2049"/>
    </row>
    <row r="680" spans="1:9" ht="15" customHeight="1" x14ac:dyDescent="0.35">
      <c r="A680" s="2978"/>
      <c r="B680" s="105">
        <v>53205070100000</v>
      </c>
      <c r="C680" s="133" t="s">
        <v>126</v>
      </c>
      <c r="D680" s="956">
        <v>650462</v>
      </c>
      <c r="E680" s="607"/>
      <c r="F680" s="608"/>
      <c r="G680" s="1306">
        <f t="shared" si="130"/>
        <v>0</v>
      </c>
      <c r="H680" s="1307">
        <f t="shared" si="131"/>
        <v>650462</v>
      </c>
      <c r="I680" s="2049"/>
    </row>
    <row r="681" spans="1:9" ht="15" customHeight="1" x14ac:dyDescent="0.35">
      <c r="A681" s="2978"/>
      <c r="B681" s="105">
        <v>53208010100000</v>
      </c>
      <c r="C681" s="133" t="s">
        <v>127</v>
      </c>
      <c r="D681" s="956">
        <v>8887783</v>
      </c>
      <c r="E681" s="607"/>
      <c r="F681" s="608"/>
      <c r="G681" s="1306">
        <f t="shared" si="130"/>
        <v>0</v>
      </c>
      <c r="H681" s="1307">
        <f t="shared" si="131"/>
        <v>8887783</v>
      </c>
      <c r="I681" s="2049" t="s">
        <v>1113</v>
      </c>
    </row>
    <row r="682" spans="1:9" ht="15" customHeight="1" x14ac:dyDescent="0.35">
      <c r="A682" s="2978"/>
      <c r="B682" s="105">
        <v>53208070100001</v>
      </c>
      <c r="C682" s="133" t="s">
        <v>128</v>
      </c>
      <c r="D682" s="956"/>
      <c r="E682" s="607"/>
      <c r="F682" s="608"/>
      <c r="G682" s="1306">
        <f t="shared" si="130"/>
        <v>0</v>
      </c>
      <c r="H682" s="1307">
        <f t="shared" si="131"/>
        <v>0</v>
      </c>
      <c r="I682" s="2049"/>
    </row>
    <row r="683" spans="1:9" ht="15" customHeight="1" x14ac:dyDescent="0.35">
      <c r="A683" s="2978"/>
      <c r="B683" s="105">
        <v>53208100100001</v>
      </c>
      <c r="C683" s="133" t="s">
        <v>129</v>
      </c>
      <c r="D683" s="956"/>
      <c r="E683" s="607"/>
      <c r="F683" s="608"/>
      <c r="G683" s="1306">
        <f t="shared" si="130"/>
        <v>0</v>
      </c>
      <c r="H683" s="1307">
        <f t="shared" si="131"/>
        <v>0</v>
      </c>
      <c r="I683" s="2049"/>
    </row>
    <row r="684" spans="1:9" ht="15" customHeight="1" x14ac:dyDescent="0.35">
      <c r="A684" s="2978"/>
      <c r="B684" s="105">
        <v>53211030000000</v>
      </c>
      <c r="C684" s="133" t="s">
        <v>130</v>
      </c>
      <c r="D684" s="956"/>
      <c r="E684" s="607"/>
      <c r="F684" s="608"/>
      <c r="G684" s="1306">
        <f t="shared" si="130"/>
        <v>0</v>
      </c>
      <c r="H684" s="1307">
        <f t="shared" si="131"/>
        <v>0</v>
      </c>
      <c r="I684" s="2049"/>
    </row>
    <row r="685" spans="1:9" ht="15" customHeight="1" x14ac:dyDescent="0.35">
      <c r="A685" s="2978"/>
      <c r="B685" s="105">
        <v>53212020100000</v>
      </c>
      <c r="C685" s="133" t="s">
        <v>131</v>
      </c>
      <c r="D685" s="956">
        <v>3315000</v>
      </c>
      <c r="E685" s="607"/>
      <c r="F685" s="608"/>
      <c r="G685" s="1306">
        <f t="shared" si="130"/>
        <v>0</v>
      </c>
      <c r="H685" s="1307">
        <f t="shared" si="131"/>
        <v>3315000</v>
      </c>
      <c r="I685" s="2049"/>
    </row>
    <row r="686" spans="1:9" ht="15" customHeight="1" x14ac:dyDescent="0.35">
      <c r="A686" s="2978"/>
      <c r="B686" s="105">
        <v>53214020000000</v>
      </c>
      <c r="C686" s="133" t="s">
        <v>132</v>
      </c>
      <c r="D686" s="956"/>
      <c r="E686" s="607"/>
      <c r="F686" s="608"/>
      <c r="G686" s="1306">
        <f t="shared" si="130"/>
        <v>0</v>
      </c>
      <c r="H686" s="1307">
        <f t="shared" si="131"/>
        <v>0</v>
      </c>
      <c r="I686" s="2049"/>
    </row>
    <row r="687" spans="1:9" ht="15" customHeight="1" x14ac:dyDescent="0.35">
      <c r="A687" s="2978"/>
      <c r="B687" s="1293"/>
      <c r="C687" s="1294" t="s">
        <v>133</v>
      </c>
      <c r="D687" s="1310">
        <f>SUM(D688,D693,D696,D707,D717,D725)</f>
        <v>22524540</v>
      </c>
      <c r="E687" s="1296"/>
      <c r="F687" s="1296"/>
      <c r="G687" s="1311">
        <f>SUM(G688,G693,G696,G707,G717,G725)</f>
        <v>0</v>
      </c>
      <c r="H687" s="1042">
        <f>SUM(H688,H693,H696,H707,H717,H725)</f>
        <v>22524540</v>
      </c>
      <c r="I687" s="2049"/>
    </row>
    <row r="688" spans="1:9" ht="15" customHeight="1" x14ac:dyDescent="0.35">
      <c r="A688" s="2978"/>
      <c r="B688" s="1043"/>
      <c r="C688" s="1298" t="s">
        <v>134</v>
      </c>
      <c r="D688" s="1299">
        <f>SUM(D689:D692)</f>
        <v>2770432</v>
      </c>
      <c r="E688" s="1308"/>
      <c r="F688" s="1308"/>
      <c r="G688" s="1309">
        <f>SUM(G689:G692)</f>
        <v>0</v>
      </c>
      <c r="H688" s="1312">
        <f>SUM(H689:H692)</f>
        <v>2770432</v>
      </c>
      <c r="I688" s="2049"/>
    </row>
    <row r="689" spans="1:9" ht="15" customHeight="1" x14ac:dyDescent="0.35">
      <c r="A689" s="2978"/>
      <c r="B689" s="105">
        <v>53202020100000</v>
      </c>
      <c r="C689" s="133" t="s">
        <v>135</v>
      </c>
      <c r="D689" s="956">
        <v>1954432</v>
      </c>
      <c r="E689" s="607"/>
      <c r="F689" s="608"/>
      <c r="G689" s="1306">
        <f>E689*F689</f>
        <v>0</v>
      </c>
      <c r="H689" s="1307">
        <f>D689+G689</f>
        <v>1954432</v>
      </c>
      <c r="I689" s="2049"/>
    </row>
    <row r="690" spans="1:9" ht="15" customHeight="1" x14ac:dyDescent="0.35">
      <c r="A690" s="2978"/>
      <c r="B690" s="105">
        <v>53202030000000</v>
      </c>
      <c r="C690" s="133" t="s">
        <v>136</v>
      </c>
      <c r="D690" s="956">
        <v>459000</v>
      </c>
      <c r="E690" s="607"/>
      <c r="F690" s="608"/>
      <c r="G690" s="1306">
        <f t="shared" ref="G690:G692" si="132">E690*F690</f>
        <v>0</v>
      </c>
      <c r="H690" s="1307">
        <f>D690+G690</f>
        <v>459000</v>
      </c>
      <c r="I690" s="2049"/>
    </row>
    <row r="691" spans="1:9" ht="15" customHeight="1" x14ac:dyDescent="0.35">
      <c r="A691" s="2978"/>
      <c r="B691" s="105">
        <v>53211020000000</v>
      </c>
      <c r="C691" s="133" t="s">
        <v>137</v>
      </c>
      <c r="D691" s="956">
        <v>357000</v>
      </c>
      <c r="E691" s="607"/>
      <c r="F691" s="608"/>
      <c r="G691" s="1306">
        <f t="shared" si="132"/>
        <v>0</v>
      </c>
      <c r="H691" s="1307">
        <f>D691+G691</f>
        <v>357000</v>
      </c>
      <c r="I691" s="2049"/>
    </row>
    <row r="692" spans="1:9" ht="15" customHeight="1" x14ac:dyDescent="0.35">
      <c r="A692" s="2978"/>
      <c r="B692" s="105">
        <v>53101004030000</v>
      </c>
      <c r="C692" s="133" t="s">
        <v>138</v>
      </c>
      <c r="D692" s="956"/>
      <c r="E692" s="607"/>
      <c r="F692" s="608"/>
      <c r="G692" s="1306">
        <f t="shared" si="132"/>
        <v>0</v>
      </c>
      <c r="H692" s="1307">
        <f>D692+G692</f>
        <v>0</v>
      </c>
      <c r="I692" s="2049"/>
    </row>
    <row r="693" spans="1:9" ht="15" customHeight="1" x14ac:dyDescent="0.35">
      <c r="A693" s="2978"/>
      <c r="B693" s="1043"/>
      <c r="C693" s="1298" t="s">
        <v>139</v>
      </c>
      <c r="D693" s="1299">
        <f>SUM(D694:D695)</f>
        <v>0</v>
      </c>
      <c r="E693" s="1308"/>
      <c r="F693" s="1308"/>
      <c r="G693" s="1309">
        <f>SUM(G694:G695)</f>
        <v>0</v>
      </c>
      <c r="H693" s="1312">
        <f>SUM(H694:H695)</f>
        <v>0</v>
      </c>
      <c r="I693" s="2049"/>
    </row>
    <row r="694" spans="1:9" ht="15" customHeight="1" x14ac:dyDescent="0.35">
      <c r="A694" s="2978"/>
      <c r="B694" s="105">
        <v>53205080000000</v>
      </c>
      <c r="C694" s="133" t="s">
        <v>140</v>
      </c>
      <c r="D694" s="956"/>
      <c r="E694" s="134"/>
      <c r="F694" s="135"/>
      <c r="G694" s="1306">
        <f t="shared" ref="G694:G695" si="133">E694*F694</f>
        <v>0</v>
      </c>
      <c r="H694" s="1307">
        <f>D694+G694</f>
        <v>0</v>
      </c>
      <c r="I694" s="2049" t="s">
        <v>1107</v>
      </c>
    </row>
    <row r="695" spans="1:9" ht="15" customHeight="1" x14ac:dyDescent="0.35">
      <c r="A695" s="2978"/>
      <c r="B695" s="105">
        <v>53205990000000</v>
      </c>
      <c r="C695" s="133" t="s">
        <v>141</v>
      </c>
      <c r="D695" s="943"/>
      <c r="E695" s="134"/>
      <c r="F695" s="135"/>
      <c r="G695" s="1306">
        <f t="shared" si="133"/>
        <v>0</v>
      </c>
      <c r="H695" s="1307">
        <f>D695+G695</f>
        <v>0</v>
      </c>
      <c r="I695" s="2049"/>
    </row>
    <row r="696" spans="1:9" ht="15" customHeight="1" x14ac:dyDescent="0.35">
      <c r="A696" s="2978"/>
      <c r="B696" s="1043"/>
      <c r="C696" s="133" t="s">
        <v>142</v>
      </c>
      <c r="D696" s="1299">
        <f>SUM(D697:D706)</f>
        <v>9340926</v>
      </c>
      <c r="E696" s="1308"/>
      <c r="F696" s="1308"/>
      <c r="G696" s="1301">
        <f>SUM(G697:G706)</f>
        <v>0</v>
      </c>
      <c r="H696" s="1026">
        <f>SUM(H697:H706)</f>
        <v>9340926</v>
      </c>
      <c r="I696" s="2049"/>
    </row>
    <row r="697" spans="1:9" ht="15" customHeight="1" x14ac:dyDescent="0.35">
      <c r="A697" s="2978"/>
      <c r="B697" s="105">
        <v>53203010200000</v>
      </c>
      <c r="C697" s="133" t="s">
        <v>143</v>
      </c>
      <c r="D697" s="956"/>
      <c r="E697" s="609"/>
      <c r="F697" s="608"/>
      <c r="G697" s="1306">
        <f t="shared" ref="G697:G706" si="134">E697*F697</f>
        <v>0</v>
      </c>
      <c r="H697" s="1307">
        <f t="shared" ref="H697:H706" si="135">D697+G697</f>
        <v>0</v>
      </c>
      <c r="I697" s="2049"/>
    </row>
    <row r="698" spans="1:9" ht="15" customHeight="1" x14ac:dyDescent="0.35">
      <c r="A698" s="2978"/>
      <c r="B698" s="105">
        <v>53204010000000</v>
      </c>
      <c r="C698" s="133" t="s">
        <v>144</v>
      </c>
      <c r="D698" s="956">
        <v>693600</v>
      </c>
      <c r="E698" s="607"/>
      <c r="F698" s="608"/>
      <c r="G698" s="1306">
        <f t="shared" si="134"/>
        <v>0</v>
      </c>
      <c r="H698" s="1307">
        <f t="shared" si="135"/>
        <v>693600</v>
      </c>
      <c r="I698" s="2049" t="s">
        <v>1114</v>
      </c>
    </row>
    <row r="699" spans="1:9" ht="15" customHeight="1" x14ac:dyDescent="0.35">
      <c r="A699" s="2978"/>
      <c r="B699" s="105">
        <v>53204040200000</v>
      </c>
      <c r="C699" s="133" t="s">
        <v>145</v>
      </c>
      <c r="D699" s="956"/>
      <c r="E699" s="607"/>
      <c r="F699" s="608"/>
      <c r="G699" s="1306">
        <f t="shared" si="134"/>
        <v>0</v>
      </c>
      <c r="H699" s="1307">
        <f t="shared" si="135"/>
        <v>0</v>
      </c>
      <c r="I699" s="2049"/>
    </row>
    <row r="700" spans="1:9" ht="15" customHeight="1" x14ac:dyDescent="0.35">
      <c r="A700" s="2978"/>
      <c r="B700" s="105">
        <v>53204060000000</v>
      </c>
      <c r="C700" s="133" t="s">
        <v>146</v>
      </c>
      <c r="D700" s="956"/>
      <c r="E700" s="607"/>
      <c r="F700" s="608"/>
      <c r="G700" s="1306">
        <f t="shared" si="134"/>
        <v>0</v>
      </c>
      <c r="H700" s="1307">
        <f t="shared" si="135"/>
        <v>0</v>
      </c>
      <c r="I700" s="2049"/>
    </row>
    <row r="701" spans="1:9" ht="15" customHeight="1" x14ac:dyDescent="0.35">
      <c r="A701" s="2978"/>
      <c r="B701" s="105">
        <v>53204070000000</v>
      </c>
      <c r="C701" s="133" t="s">
        <v>147</v>
      </c>
      <c r="D701" s="956">
        <v>4032030</v>
      </c>
      <c r="E701" s="607"/>
      <c r="F701" s="608"/>
      <c r="G701" s="1306">
        <f t="shared" si="134"/>
        <v>0</v>
      </c>
      <c r="H701" s="1307">
        <f t="shared" si="135"/>
        <v>4032030</v>
      </c>
      <c r="I701" s="2049"/>
    </row>
    <row r="702" spans="1:9" ht="15" customHeight="1" x14ac:dyDescent="0.35">
      <c r="A702" s="2978"/>
      <c r="B702" s="105">
        <v>53204080000000</v>
      </c>
      <c r="C702" s="133" t="s">
        <v>148</v>
      </c>
      <c r="D702" s="956">
        <v>841296</v>
      </c>
      <c r="E702" s="607"/>
      <c r="F702" s="608"/>
      <c r="G702" s="1306">
        <f t="shared" si="134"/>
        <v>0</v>
      </c>
      <c r="H702" s="1307">
        <f t="shared" si="135"/>
        <v>841296</v>
      </c>
      <c r="I702" s="2049" t="s">
        <v>1115</v>
      </c>
    </row>
    <row r="703" spans="1:9" ht="15" customHeight="1" x14ac:dyDescent="0.35">
      <c r="A703" s="2978"/>
      <c r="B703" s="105">
        <v>53214010000000</v>
      </c>
      <c r="C703" s="136" t="s">
        <v>149</v>
      </c>
      <c r="D703" s="956">
        <v>3060000</v>
      </c>
      <c r="E703" s="606"/>
      <c r="F703" s="608"/>
      <c r="G703" s="1306">
        <f t="shared" si="134"/>
        <v>0</v>
      </c>
      <c r="H703" s="1307">
        <f t="shared" si="135"/>
        <v>3060000</v>
      </c>
      <c r="I703" s="2049" t="s">
        <v>1116</v>
      </c>
    </row>
    <row r="704" spans="1:9" ht="15" customHeight="1" x14ac:dyDescent="0.35">
      <c r="A704" s="2978"/>
      <c r="B704" s="105">
        <v>53214040000000</v>
      </c>
      <c r="C704" s="133" t="s">
        <v>150</v>
      </c>
      <c r="D704" s="956">
        <v>714000</v>
      </c>
      <c r="E704" s="607"/>
      <c r="F704" s="608"/>
      <c r="G704" s="1306">
        <f t="shared" si="134"/>
        <v>0</v>
      </c>
      <c r="H704" s="1307">
        <f t="shared" si="135"/>
        <v>714000</v>
      </c>
      <c r="I704" s="2049" t="s">
        <v>1117</v>
      </c>
    </row>
    <row r="705" spans="1:9" ht="15" customHeight="1" x14ac:dyDescent="0.35">
      <c r="A705" s="2978"/>
      <c r="B705" s="105">
        <v>55201010100004</v>
      </c>
      <c r="C705" s="133" t="s">
        <v>151</v>
      </c>
      <c r="D705" s="957"/>
      <c r="E705" s="607"/>
      <c r="F705" s="608"/>
      <c r="G705" s="1306">
        <f t="shared" si="134"/>
        <v>0</v>
      </c>
      <c r="H705" s="1307">
        <f t="shared" si="135"/>
        <v>0</v>
      </c>
      <c r="I705" s="2049"/>
    </row>
    <row r="706" spans="1:9" ht="15" customHeight="1" x14ac:dyDescent="0.35">
      <c r="A706" s="2978"/>
      <c r="B706" s="105">
        <v>55201010100005</v>
      </c>
      <c r="C706" s="133" t="s">
        <v>152</v>
      </c>
      <c r="D706" s="956"/>
      <c r="E706" s="609"/>
      <c r="F706" s="608"/>
      <c r="G706" s="1306">
        <f t="shared" si="134"/>
        <v>0</v>
      </c>
      <c r="H706" s="1307">
        <f t="shared" si="135"/>
        <v>0</v>
      </c>
      <c r="I706" s="2049"/>
    </row>
    <row r="707" spans="1:9" ht="15" customHeight="1" x14ac:dyDescent="0.35">
      <c r="A707" s="2978"/>
      <c r="B707" s="1043"/>
      <c r="C707" s="1298" t="s">
        <v>153</v>
      </c>
      <c r="D707" s="1299">
        <f>SUM(D708:D716)</f>
        <v>726170</v>
      </c>
      <c r="E707" s="1308"/>
      <c r="F707" s="1308"/>
      <c r="G707" s="1301">
        <f>SUM(G708:G716)</f>
        <v>0</v>
      </c>
      <c r="H707" s="1026">
        <f>SUM(H708:H716)</f>
        <v>726170</v>
      </c>
      <c r="I707" s="2049"/>
    </row>
    <row r="708" spans="1:9" ht="15" customHeight="1" x14ac:dyDescent="0.35">
      <c r="A708" s="2978"/>
      <c r="B708" s="105">
        <v>53207010000000</v>
      </c>
      <c r="C708" s="133" t="s">
        <v>154</v>
      </c>
      <c r="D708" s="943"/>
      <c r="E708" s="134"/>
      <c r="F708" s="135"/>
      <c r="G708" s="1306">
        <f t="shared" ref="G708:G716" si="136">E708*F708</f>
        <v>0</v>
      </c>
      <c r="H708" s="1307">
        <f t="shared" ref="H708:H716" si="137">D708+G708</f>
        <v>0</v>
      </c>
      <c r="I708" s="2049"/>
    </row>
    <row r="709" spans="1:9" ht="15" customHeight="1" x14ac:dyDescent="0.35">
      <c r="A709" s="2978"/>
      <c r="B709" s="105">
        <v>53207020000000</v>
      </c>
      <c r="C709" s="133" t="s">
        <v>155</v>
      </c>
      <c r="D709" s="943"/>
      <c r="E709" s="134"/>
      <c r="F709" s="135"/>
      <c r="G709" s="1306">
        <f t="shared" si="136"/>
        <v>0</v>
      </c>
      <c r="H709" s="1307">
        <f t="shared" si="137"/>
        <v>0</v>
      </c>
      <c r="I709" s="2049" t="s">
        <v>1118</v>
      </c>
    </row>
    <row r="710" spans="1:9" ht="15" customHeight="1" x14ac:dyDescent="0.35">
      <c r="A710" s="2978"/>
      <c r="B710" s="105">
        <v>53208020000000</v>
      </c>
      <c r="C710" s="133" t="s">
        <v>156</v>
      </c>
      <c r="D710" s="943"/>
      <c r="E710" s="134"/>
      <c r="F710" s="135"/>
      <c r="G710" s="1306">
        <f t="shared" si="136"/>
        <v>0</v>
      </c>
      <c r="H710" s="1307">
        <f t="shared" si="137"/>
        <v>0</v>
      </c>
      <c r="I710" s="2049"/>
    </row>
    <row r="711" spans="1:9" ht="15" customHeight="1" x14ac:dyDescent="0.35">
      <c r="A711" s="2978"/>
      <c r="B711" s="105">
        <v>53208990000000</v>
      </c>
      <c r="C711" s="133" t="s">
        <v>157</v>
      </c>
      <c r="D711" s="943">
        <v>726170</v>
      </c>
      <c r="E711" s="134"/>
      <c r="F711" s="135"/>
      <c r="G711" s="1306">
        <f t="shared" si="136"/>
        <v>0</v>
      </c>
      <c r="H711" s="1307">
        <f t="shared" si="137"/>
        <v>726170</v>
      </c>
      <c r="I711" s="2049" t="s">
        <v>1119</v>
      </c>
    </row>
    <row r="712" spans="1:9" ht="15" customHeight="1" x14ac:dyDescent="0.35">
      <c r="A712" s="2978"/>
      <c r="B712" s="105">
        <v>53209010000000</v>
      </c>
      <c r="C712" s="133" t="s">
        <v>158</v>
      </c>
      <c r="D712" s="943"/>
      <c r="E712" s="134"/>
      <c r="F712" s="135"/>
      <c r="G712" s="1306">
        <f t="shared" si="136"/>
        <v>0</v>
      </c>
      <c r="H712" s="1307">
        <f t="shared" si="137"/>
        <v>0</v>
      </c>
      <c r="I712" s="2049"/>
    </row>
    <row r="713" spans="1:9" ht="15" customHeight="1" x14ac:dyDescent="0.35">
      <c r="A713" s="2978"/>
      <c r="B713" s="105">
        <v>53209040000000</v>
      </c>
      <c r="C713" s="133" t="s">
        <v>159</v>
      </c>
      <c r="D713" s="943"/>
      <c r="E713" s="134"/>
      <c r="F713" s="135"/>
      <c r="G713" s="1306">
        <f t="shared" si="136"/>
        <v>0</v>
      </c>
      <c r="H713" s="1307">
        <f t="shared" si="137"/>
        <v>0</v>
      </c>
      <c r="I713" s="2049"/>
    </row>
    <row r="714" spans="1:9" ht="15" customHeight="1" x14ac:dyDescent="0.35">
      <c r="A714" s="2978"/>
      <c r="B714" s="105">
        <v>53209050000000</v>
      </c>
      <c r="C714" s="133" t="s">
        <v>160</v>
      </c>
      <c r="D714" s="943"/>
      <c r="E714" s="134"/>
      <c r="F714" s="135"/>
      <c r="G714" s="1306">
        <f t="shared" si="136"/>
        <v>0</v>
      </c>
      <c r="H714" s="1307">
        <f t="shared" si="137"/>
        <v>0</v>
      </c>
      <c r="I714" s="2049"/>
    </row>
    <row r="715" spans="1:9" ht="15" customHeight="1" x14ac:dyDescent="0.35">
      <c r="A715" s="2978"/>
      <c r="B715" s="105">
        <v>53209990000000</v>
      </c>
      <c r="C715" s="133" t="s">
        <v>161</v>
      </c>
      <c r="D715" s="943"/>
      <c r="E715" s="134"/>
      <c r="F715" s="135"/>
      <c r="G715" s="1306">
        <f t="shared" si="136"/>
        <v>0</v>
      </c>
      <c r="H715" s="1307">
        <f t="shared" si="137"/>
        <v>0</v>
      </c>
      <c r="I715" s="2049"/>
    </row>
    <row r="716" spans="1:9" ht="15" customHeight="1" x14ac:dyDescent="0.35">
      <c r="A716" s="2978"/>
      <c r="B716" s="105">
        <v>53210020100000</v>
      </c>
      <c r="C716" s="133" t="s">
        <v>162</v>
      </c>
      <c r="D716" s="943"/>
      <c r="E716" s="134"/>
      <c r="F716" s="135"/>
      <c r="G716" s="1306">
        <f t="shared" si="136"/>
        <v>0</v>
      </c>
      <c r="H716" s="1307">
        <f t="shared" si="137"/>
        <v>0</v>
      </c>
      <c r="I716" s="2049"/>
    </row>
    <row r="717" spans="1:9" ht="15" customHeight="1" x14ac:dyDescent="0.35">
      <c r="A717" s="2978"/>
      <c r="B717" s="1043"/>
      <c r="C717" s="1298" t="s">
        <v>163</v>
      </c>
      <c r="D717" s="1026">
        <f>SUM(D718:D724)</f>
        <v>9687012</v>
      </c>
      <c r="E717" s="1308"/>
      <c r="F717" s="1308"/>
      <c r="G717" s="1301">
        <f>SUM(G718:G724)</f>
        <v>0</v>
      </c>
      <c r="H717" s="1026">
        <f>SUM(H718:H724)</f>
        <v>9687012</v>
      </c>
      <c r="I717" s="2049"/>
    </row>
    <row r="718" spans="1:9" ht="15" customHeight="1" x14ac:dyDescent="0.35">
      <c r="A718" s="2978"/>
      <c r="B718" s="105">
        <v>53206030000000</v>
      </c>
      <c r="C718" s="133" t="s">
        <v>164</v>
      </c>
      <c r="D718" s="943">
        <v>1300000</v>
      </c>
      <c r="E718" s="134"/>
      <c r="F718" s="135"/>
      <c r="G718" s="1306">
        <f t="shared" ref="G718:G724" si="138">E718*F718</f>
        <v>0</v>
      </c>
      <c r="H718" s="1307">
        <f t="shared" ref="H718:H724" si="139">D718+G718</f>
        <v>1300000</v>
      </c>
      <c r="I718" s="2049"/>
    </row>
    <row r="719" spans="1:9" ht="15" customHeight="1" x14ac:dyDescent="0.35">
      <c r="A719" s="2978"/>
      <c r="B719" s="105">
        <v>53206040000000</v>
      </c>
      <c r="C719" s="133" t="s">
        <v>165</v>
      </c>
      <c r="D719" s="943"/>
      <c r="E719" s="134"/>
      <c r="F719" s="135"/>
      <c r="G719" s="1306">
        <f t="shared" si="138"/>
        <v>0</v>
      </c>
      <c r="H719" s="1307">
        <f t="shared" si="139"/>
        <v>0</v>
      </c>
      <c r="I719" s="2049"/>
    </row>
    <row r="720" spans="1:9" ht="15" customHeight="1" x14ac:dyDescent="0.35">
      <c r="A720" s="2978"/>
      <c r="B720" s="105">
        <v>53206060000000</v>
      </c>
      <c r="C720" s="133" t="s">
        <v>166</v>
      </c>
      <c r="D720" s="943">
        <v>3746012</v>
      </c>
      <c r="E720" s="134"/>
      <c r="F720" s="135"/>
      <c r="G720" s="1306">
        <f t="shared" si="138"/>
        <v>0</v>
      </c>
      <c r="H720" s="1307">
        <f t="shared" si="139"/>
        <v>3746012</v>
      </c>
      <c r="I720" s="2049" t="s">
        <v>1120</v>
      </c>
    </row>
    <row r="721" spans="1:9" ht="15" customHeight="1" x14ac:dyDescent="0.35">
      <c r="A721" s="2978"/>
      <c r="B721" s="105">
        <v>53206070000000</v>
      </c>
      <c r="C721" s="133" t="s">
        <v>167</v>
      </c>
      <c r="D721" s="943">
        <v>357000</v>
      </c>
      <c r="E721" s="134"/>
      <c r="F721" s="135"/>
      <c r="G721" s="1306">
        <f t="shared" si="138"/>
        <v>0</v>
      </c>
      <c r="H721" s="1307">
        <f t="shared" si="139"/>
        <v>357000</v>
      </c>
      <c r="I721" s="2049"/>
    </row>
    <row r="722" spans="1:9" ht="15" customHeight="1" x14ac:dyDescent="0.35">
      <c r="A722" s="2978"/>
      <c r="B722" s="105">
        <v>53206990000000</v>
      </c>
      <c r="C722" s="133" t="s">
        <v>168</v>
      </c>
      <c r="D722" s="943">
        <v>4284000</v>
      </c>
      <c r="E722" s="134"/>
      <c r="F722" s="135"/>
      <c r="G722" s="1306">
        <f t="shared" si="138"/>
        <v>0</v>
      </c>
      <c r="H722" s="1307">
        <f t="shared" si="139"/>
        <v>4284000</v>
      </c>
      <c r="I722" s="2049" t="s">
        <v>1121</v>
      </c>
    </row>
    <row r="723" spans="1:9" ht="15" customHeight="1" x14ac:dyDescent="0.35">
      <c r="A723" s="2978"/>
      <c r="B723" s="105">
        <v>53208030000000</v>
      </c>
      <c r="C723" s="133" t="s">
        <v>169</v>
      </c>
      <c r="D723" s="943"/>
      <c r="E723" s="134"/>
      <c r="F723" s="135"/>
      <c r="G723" s="1306">
        <f t="shared" si="138"/>
        <v>0</v>
      </c>
      <c r="H723" s="1307">
        <f t="shared" si="139"/>
        <v>0</v>
      </c>
      <c r="I723" s="2049"/>
    </row>
    <row r="724" spans="1:9" ht="15" customHeight="1" x14ac:dyDescent="0.35">
      <c r="A724" s="2978"/>
      <c r="B724" s="105">
        <v>53212060000000</v>
      </c>
      <c r="C724" s="133" t="s">
        <v>170</v>
      </c>
      <c r="D724" s="943"/>
      <c r="E724" s="134"/>
      <c r="F724" s="135"/>
      <c r="G724" s="1306">
        <f t="shared" si="138"/>
        <v>0</v>
      </c>
      <c r="H724" s="1307">
        <f t="shared" si="139"/>
        <v>0</v>
      </c>
      <c r="I724" s="610"/>
    </row>
    <row r="725" spans="1:9" ht="15" customHeight="1" x14ac:dyDescent="0.35">
      <c r="A725" s="2978"/>
      <c r="B725" s="1043"/>
      <c r="C725" s="1298" t="s">
        <v>171</v>
      </c>
      <c r="D725" s="1299">
        <f>SUM(D726:D727)</f>
        <v>0</v>
      </c>
      <c r="E725" s="1308"/>
      <c r="F725" s="1308"/>
      <c r="G725" s="1301">
        <f>SUM(G726:G727)</f>
        <v>0</v>
      </c>
      <c r="H725" s="1026">
        <f>SUM(H726:H727)</f>
        <v>0</v>
      </c>
      <c r="I725" s="610"/>
    </row>
    <row r="726" spans="1:9" ht="15" customHeight="1" x14ac:dyDescent="0.35">
      <c r="A726" s="2978"/>
      <c r="B726" s="105">
        <v>53210020500000</v>
      </c>
      <c r="C726" s="133" t="s">
        <v>172</v>
      </c>
      <c r="D726" s="943"/>
      <c r="E726" s="134"/>
      <c r="F726" s="135"/>
      <c r="G726" s="1306">
        <f t="shared" ref="G726:G727" si="140">E726*F726</f>
        <v>0</v>
      </c>
      <c r="H726" s="1313">
        <f>D726+G726</f>
        <v>0</v>
      </c>
      <c r="I726" s="610"/>
    </row>
    <row r="727" spans="1:9" ht="15" customHeight="1" x14ac:dyDescent="0.35">
      <c r="A727" s="2978"/>
      <c r="B727" s="1053">
        <v>53204999000000</v>
      </c>
      <c r="C727" s="1035" t="s">
        <v>173</v>
      </c>
      <c r="D727" s="943"/>
      <c r="E727" s="134"/>
      <c r="F727" s="135"/>
      <c r="G727" s="1036">
        <f t="shared" si="140"/>
        <v>0</v>
      </c>
      <c r="H727" s="1313">
        <f>D727+G727</f>
        <v>0</v>
      </c>
      <c r="I727" s="610"/>
    </row>
    <row r="728" spans="1:9" ht="15" customHeight="1" x14ac:dyDescent="0.35">
      <c r="A728" s="2979"/>
      <c r="B728" s="1314"/>
      <c r="C728" s="1315" t="s">
        <v>12</v>
      </c>
      <c r="D728" s="1316">
        <f>SUM(D659,D687)</f>
        <v>156674805.45999998</v>
      </c>
      <c r="E728" s="1317"/>
      <c r="F728" s="1317"/>
      <c r="G728" s="1316">
        <f>SUM(G659,G687)</f>
        <v>0</v>
      </c>
      <c r="H728" s="1318">
        <f>SUM(H659,H687)</f>
        <v>156674805.45999998</v>
      </c>
      <c r="I728" s="610"/>
    </row>
    <row r="729" spans="1:9" ht="15" customHeight="1" x14ac:dyDescent="0.35">
      <c r="A729" s="3035" t="s">
        <v>21</v>
      </c>
      <c r="B729" s="3036" t="s">
        <v>97</v>
      </c>
      <c r="C729" s="3037" t="s">
        <v>98</v>
      </c>
      <c r="D729" s="3038" t="s">
        <v>99</v>
      </c>
      <c r="E729" s="3039" t="s">
        <v>100</v>
      </c>
      <c r="F729" s="3039"/>
      <c r="G729" s="3039"/>
      <c r="H729" s="3048" t="str">
        <f>+H657</f>
        <v>COSTO DIRECTO ESTIMADO 2026</v>
      </c>
      <c r="I729" s="2987" t="s">
        <v>101</v>
      </c>
    </row>
    <row r="730" spans="1:9" ht="38.25" customHeight="1" x14ac:dyDescent="0.35">
      <c r="A730" s="2967"/>
      <c r="B730" s="2981"/>
      <c r="C730" s="2999"/>
      <c r="D730" s="3001"/>
      <c r="E730" s="1121" t="s">
        <v>102</v>
      </c>
      <c r="F730" s="117" t="s">
        <v>103</v>
      </c>
      <c r="G730" s="1122" t="s">
        <v>104</v>
      </c>
      <c r="H730" s="2993"/>
      <c r="I730" s="2987"/>
    </row>
    <row r="731" spans="1:9" ht="15" customHeight="1" x14ac:dyDescent="0.35">
      <c r="A731" s="3049" t="str">
        <f>+'B) Reajuste Tarifas y Ocupación'!A80</f>
        <v>Cabanas Papudo</v>
      </c>
      <c r="B731" s="1319"/>
      <c r="C731" s="1320" t="s">
        <v>105</v>
      </c>
      <c r="D731" s="1321">
        <f>SUM(D732,D737,D739)</f>
        <v>92297769.734034985</v>
      </c>
      <c r="E731" s="1322"/>
      <c r="F731" s="1322"/>
      <c r="G731" s="1321">
        <f>SUM(G732,G737,G739)</f>
        <v>0</v>
      </c>
      <c r="H731" s="1323">
        <f>SUM(H732,H737,H739)</f>
        <v>92297769.734034985</v>
      </c>
      <c r="I731" s="2049"/>
    </row>
    <row r="732" spans="1:9" ht="15" customHeight="1" x14ac:dyDescent="0.35">
      <c r="A732" s="2978"/>
      <c r="B732" s="1043"/>
      <c r="C732" s="1324" t="s">
        <v>106</v>
      </c>
      <c r="D732" s="1325">
        <f>SUM(D733:D736)</f>
        <v>62519852.184034988</v>
      </c>
      <c r="E732" s="1326"/>
      <c r="F732" s="1326"/>
      <c r="G732" s="1327">
        <f>SUM(G733:G736)</f>
        <v>0</v>
      </c>
      <c r="H732" s="1328">
        <f>SUM(H733:H736)</f>
        <v>62519852.184034988</v>
      </c>
      <c r="I732" s="2049"/>
    </row>
    <row r="733" spans="1:9" ht="15" customHeight="1" x14ac:dyDescent="0.35">
      <c r="A733" s="2978"/>
      <c r="B733" s="105">
        <v>53103040100000</v>
      </c>
      <c r="C733" s="1329" t="s">
        <v>107</v>
      </c>
      <c r="D733" s="1330">
        <f>+'F) Remuneraciones'!M234</f>
        <v>62519852.184034988</v>
      </c>
      <c r="E733" s="1331"/>
      <c r="F733" s="1331"/>
      <c r="G733" s="1331"/>
      <c r="H733" s="1332">
        <f>D733+G733</f>
        <v>62519852.184034988</v>
      </c>
      <c r="I733" s="2049"/>
    </row>
    <row r="734" spans="1:9" ht="15" customHeight="1" x14ac:dyDescent="0.35">
      <c r="A734" s="2978"/>
      <c r="B734" s="105">
        <v>53103050000000</v>
      </c>
      <c r="C734" s="1329" t="s">
        <v>108</v>
      </c>
      <c r="D734" s="958"/>
      <c r="E734" s="138"/>
      <c r="F734" s="139"/>
      <c r="G734" s="1333">
        <f>E734*F734</f>
        <v>0</v>
      </c>
      <c r="H734" s="1076">
        <f>D734+G734</f>
        <v>0</v>
      </c>
      <c r="I734" s="2049"/>
    </row>
    <row r="735" spans="1:9" ht="15" customHeight="1" x14ac:dyDescent="0.35">
      <c r="A735" s="2978"/>
      <c r="B735" s="105">
        <v>53103060000000</v>
      </c>
      <c r="C735" s="1329" t="s">
        <v>109</v>
      </c>
      <c r="D735" s="958"/>
      <c r="E735" s="138"/>
      <c r="F735" s="139"/>
      <c r="G735" s="1333">
        <f t="shared" ref="G735:G736" si="141">E735*F735</f>
        <v>0</v>
      </c>
      <c r="H735" s="1334">
        <f>D735+G735</f>
        <v>0</v>
      </c>
      <c r="I735" s="2049"/>
    </row>
    <row r="736" spans="1:9" ht="15" customHeight="1" x14ac:dyDescent="0.35">
      <c r="A736" s="2978"/>
      <c r="B736" s="105">
        <v>53103080010000</v>
      </c>
      <c r="C736" s="1329" t="s">
        <v>110</v>
      </c>
      <c r="D736" s="958"/>
      <c r="E736" s="138"/>
      <c r="F736" s="139"/>
      <c r="G736" s="1333">
        <f t="shared" si="141"/>
        <v>0</v>
      </c>
      <c r="H736" s="1334">
        <f>D736+G736</f>
        <v>0</v>
      </c>
      <c r="I736" s="2049"/>
    </row>
    <row r="737" spans="1:9" ht="15" customHeight="1" x14ac:dyDescent="0.35">
      <c r="A737" s="2978"/>
      <c r="B737" s="1043"/>
      <c r="C737" s="1324" t="s">
        <v>111</v>
      </c>
      <c r="D737" s="1325">
        <f>SUM(D738)</f>
        <v>0</v>
      </c>
      <c r="E737" s="1335"/>
      <c r="F737" s="1335"/>
      <c r="G737" s="1336">
        <f>SUM(G738:G738)</f>
        <v>0</v>
      </c>
      <c r="H737" s="1026">
        <f>SUM(H738:H738)</f>
        <v>0</v>
      </c>
      <c r="I737" s="2049"/>
    </row>
    <row r="738" spans="1:9" ht="15" customHeight="1" x14ac:dyDescent="0.35">
      <c r="A738" s="2978"/>
      <c r="B738" s="105">
        <v>55201010100001</v>
      </c>
      <c r="C738" s="1329" t="s">
        <v>112</v>
      </c>
      <c r="D738" s="958"/>
      <c r="E738" s="138"/>
      <c r="F738" s="139"/>
      <c r="G738" s="1333">
        <f t="shared" ref="G738" si="142">E738*F738</f>
        <v>0</v>
      </c>
      <c r="H738" s="1334">
        <f>D738+G738</f>
        <v>0</v>
      </c>
      <c r="I738" s="2049"/>
    </row>
    <row r="739" spans="1:9" ht="15" customHeight="1" x14ac:dyDescent="0.35">
      <c r="A739" s="2978"/>
      <c r="B739" s="1043"/>
      <c r="C739" s="1324" t="s">
        <v>113</v>
      </c>
      <c r="D739" s="1325">
        <f>SUM(D740:D758)</f>
        <v>29777917.550000001</v>
      </c>
      <c r="E739" s="1335"/>
      <c r="F739" s="1335"/>
      <c r="G739" s="1327">
        <f>SUM(G740:G758)</f>
        <v>0</v>
      </c>
      <c r="H739" s="1026">
        <f>SUM(H740:H758)</f>
        <v>29777917.550000001</v>
      </c>
      <c r="I739" s="2049"/>
    </row>
    <row r="740" spans="1:9" ht="15" customHeight="1" x14ac:dyDescent="0.35">
      <c r="A740" s="2978"/>
      <c r="B740" s="105">
        <v>53201010100000</v>
      </c>
      <c r="C740" s="1329" t="s">
        <v>114</v>
      </c>
      <c r="D740" s="958"/>
      <c r="E740" s="138"/>
      <c r="F740" s="139"/>
      <c r="G740" s="1333">
        <f t="shared" ref="G740:G758" si="143">E740*F740</f>
        <v>0</v>
      </c>
      <c r="H740" s="1334">
        <f t="shared" ref="H740:H758" si="144">D740+G740</f>
        <v>0</v>
      </c>
      <c r="I740" s="2049"/>
    </row>
    <row r="741" spans="1:9" ht="15" customHeight="1" x14ac:dyDescent="0.35">
      <c r="A741" s="2978"/>
      <c r="B741" s="105">
        <v>53202010100000</v>
      </c>
      <c r="C741" s="1329" t="s">
        <v>115</v>
      </c>
      <c r="D741" s="939">
        <f>+PAPUDO!E6</f>
        <v>1587600</v>
      </c>
      <c r="E741" s="138"/>
      <c r="F741" s="139"/>
      <c r="G741" s="1333">
        <f t="shared" si="143"/>
        <v>0</v>
      </c>
      <c r="H741" s="1334">
        <f t="shared" si="144"/>
        <v>1587600</v>
      </c>
      <c r="I741" s="2049"/>
    </row>
    <row r="742" spans="1:9" ht="15" customHeight="1" x14ac:dyDescent="0.35">
      <c r="A742" s="2978"/>
      <c r="B742" s="105">
        <v>53203010100000</v>
      </c>
      <c r="C742" s="1329" t="s">
        <v>116</v>
      </c>
      <c r="D742" s="958"/>
      <c r="E742" s="138"/>
      <c r="F742" s="139"/>
      <c r="G742" s="1333">
        <f t="shared" si="143"/>
        <v>0</v>
      </c>
      <c r="H742" s="1334">
        <f t="shared" si="144"/>
        <v>0</v>
      </c>
      <c r="I742" s="2049"/>
    </row>
    <row r="743" spans="1:9" ht="15" customHeight="1" x14ac:dyDescent="0.35">
      <c r="A743" s="2978"/>
      <c r="B743" s="105">
        <v>53203030000000</v>
      </c>
      <c r="C743" s="1329" t="s">
        <v>117</v>
      </c>
      <c r="D743" s="958"/>
      <c r="E743" s="138"/>
      <c r="F743" s="139"/>
      <c r="G743" s="1333">
        <f t="shared" si="143"/>
        <v>0</v>
      </c>
      <c r="H743" s="1334">
        <f t="shared" si="144"/>
        <v>0</v>
      </c>
      <c r="I743" s="2049"/>
    </row>
    <row r="744" spans="1:9" ht="15" customHeight="1" x14ac:dyDescent="0.35">
      <c r="A744" s="2978"/>
      <c r="B744" s="105">
        <v>53204030000000</v>
      </c>
      <c r="C744" s="1329" t="s">
        <v>118</v>
      </c>
      <c r="D744" s="939">
        <f>+PAPUDO!E12</f>
        <v>1608809</v>
      </c>
      <c r="E744" s="138"/>
      <c r="F744" s="139"/>
      <c r="G744" s="1333">
        <f t="shared" si="143"/>
        <v>0</v>
      </c>
      <c r="H744" s="1334">
        <f t="shared" si="144"/>
        <v>1608809</v>
      </c>
      <c r="I744" s="2049"/>
    </row>
    <row r="745" spans="1:9" ht="15" customHeight="1" x14ac:dyDescent="0.35">
      <c r="A745" s="2978"/>
      <c r="B745" s="105">
        <v>53204100100001</v>
      </c>
      <c r="C745" s="1337" t="s">
        <v>119</v>
      </c>
      <c r="D745" s="939">
        <f>+PAPUDO!E15</f>
        <v>976500</v>
      </c>
      <c r="E745" s="138"/>
      <c r="F745" s="139"/>
      <c r="G745" s="1333">
        <f t="shared" si="143"/>
        <v>0</v>
      </c>
      <c r="H745" s="1334">
        <f t="shared" si="144"/>
        <v>976500</v>
      </c>
      <c r="I745" s="2049"/>
    </row>
    <row r="746" spans="1:9" ht="15" customHeight="1" x14ac:dyDescent="0.35">
      <c r="A746" s="2978"/>
      <c r="B746" s="105">
        <v>53204130100000</v>
      </c>
      <c r="C746" s="1337" t="s">
        <v>120</v>
      </c>
      <c r="D746" s="958">
        <f>+PAPUDO!E19</f>
        <v>572250</v>
      </c>
      <c r="E746" s="138"/>
      <c r="F746" s="139"/>
      <c r="G746" s="1333">
        <f t="shared" si="143"/>
        <v>0</v>
      </c>
      <c r="H746" s="1334">
        <f t="shared" si="144"/>
        <v>572250</v>
      </c>
      <c r="I746" s="2049"/>
    </row>
    <row r="747" spans="1:9" x14ac:dyDescent="0.35">
      <c r="A747" s="2978"/>
      <c r="B747" s="105">
        <v>53205010100000</v>
      </c>
      <c r="C747" s="1337" t="s">
        <v>121</v>
      </c>
      <c r="D747" s="958">
        <v>6194528</v>
      </c>
      <c r="E747" s="138"/>
      <c r="F747" s="139"/>
      <c r="G747" s="1333">
        <f t="shared" si="143"/>
        <v>0</v>
      </c>
      <c r="H747" s="1334">
        <f t="shared" si="144"/>
        <v>6194528</v>
      </c>
      <c r="I747" s="2049"/>
    </row>
    <row r="748" spans="1:9" ht="15" customHeight="1" x14ac:dyDescent="0.35">
      <c r="A748" s="2978"/>
      <c r="B748" s="105">
        <v>53205020100000</v>
      </c>
      <c r="C748" s="1337" t="s">
        <v>122</v>
      </c>
      <c r="D748" s="958">
        <v>7052860</v>
      </c>
      <c r="E748" s="138"/>
      <c r="F748" s="139"/>
      <c r="G748" s="1333">
        <f t="shared" si="143"/>
        <v>0</v>
      </c>
      <c r="H748" s="1334">
        <f t="shared" si="144"/>
        <v>7052860</v>
      </c>
      <c r="I748" s="2049"/>
    </row>
    <row r="749" spans="1:9" ht="15" customHeight="1" x14ac:dyDescent="0.35">
      <c r="A749" s="2978"/>
      <c r="B749" s="105">
        <v>53205030100000</v>
      </c>
      <c r="C749" s="1337" t="s">
        <v>123</v>
      </c>
      <c r="D749" s="958">
        <v>929593</v>
      </c>
      <c r="E749" s="138"/>
      <c r="F749" s="139"/>
      <c r="G749" s="1333">
        <f t="shared" si="143"/>
        <v>0</v>
      </c>
      <c r="H749" s="1334">
        <f t="shared" si="144"/>
        <v>929593</v>
      </c>
      <c r="I749" s="2049"/>
    </row>
    <row r="750" spans="1:9" ht="15" customHeight="1" x14ac:dyDescent="0.35">
      <c r="A750" s="2978"/>
      <c r="B750" s="105">
        <v>53205050100000</v>
      </c>
      <c r="C750" s="1337" t="s">
        <v>124</v>
      </c>
      <c r="D750" s="939">
        <v>277074</v>
      </c>
      <c r="E750" s="138"/>
      <c r="F750" s="139"/>
      <c r="G750" s="1333">
        <f t="shared" si="143"/>
        <v>0</v>
      </c>
      <c r="H750" s="1334">
        <f t="shared" si="144"/>
        <v>277074</v>
      </c>
      <c r="I750" s="2049" t="s">
        <v>1122</v>
      </c>
    </row>
    <row r="751" spans="1:9" ht="15" customHeight="1" x14ac:dyDescent="0.35">
      <c r="A751" s="2978"/>
      <c r="B751" s="105">
        <v>53205060100000</v>
      </c>
      <c r="C751" s="1337" t="s">
        <v>125</v>
      </c>
      <c r="D751" s="958">
        <v>264000</v>
      </c>
      <c r="E751" s="138"/>
      <c r="F751" s="139"/>
      <c r="G751" s="1333">
        <f t="shared" si="143"/>
        <v>0</v>
      </c>
      <c r="H751" s="1334">
        <f t="shared" si="144"/>
        <v>264000</v>
      </c>
      <c r="I751" s="2049"/>
    </row>
    <row r="752" spans="1:9" ht="15" customHeight="1" x14ac:dyDescent="0.35">
      <c r="A752" s="2978"/>
      <c r="B752" s="105">
        <v>53205070100000</v>
      </c>
      <c r="C752" s="1337" t="s">
        <v>126</v>
      </c>
      <c r="D752" s="958"/>
      <c r="E752" s="138"/>
      <c r="F752" s="139"/>
      <c r="G752" s="1333">
        <f t="shared" si="143"/>
        <v>0</v>
      </c>
      <c r="H752" s="1334">
        <f t="shared" si="144"/>
        <v>0</v>
      </c>
      <c r="I752" s="2049"/>
    </row>
    <row r="753" spans="1:9" ht="15" customHeight="1" x14ac:dyDescent="0.35">
      <c r="A753" s="2978"/>
      <c r="B753" s="105">
        <v>53208010100000</v>
      </c>
      <c r="C753" s="1337" t="s">
        <v>127</v>
      </c>
      <c r="D753" s="939">
        <f>+PAPUDO!E66</f>
        <v>6734669.5500000007</v>
      </c>
      <c r="E753" s="138"/>
      <c r="F753" s="139"/>
      <c r="G753" s="1333">
        <f t="shared" si="143"/>
        <v>0</v>
      </c>
      <c r="H753" s="1334">
        <f t="shared" si="144"/>
        <v>6734669.5500000007</v>
      </c>
      <c r="I753" s="2049" t="s">
        <v>1123</v>
      </c>
    </row>
    <row r="754" spans="1:9" ht="15" customHeight="1" x14ac:dyDescent="0.35">
      <c r="A754" s="2978"/>
      <c r="B754" s="105">
        <v>53208070100001</v>
      </c>
      <c r="C754" s="1337" t="s">
        <v>128</v>
      </c>
      <c r="D754" s="958"/>
      <c r="E754" s="138"/>
      <c r="F754" s="139"/>
      <c r="G754" s="1333">
        <f t="shared" si="143"/>
        <v>0</v>
      </c>
      <c r="H754" s="1334">
        <f t="shared" si="144"/>
        <v>0</v>
      </c>
      <c r="I754" s="2049"/>
    </row>
    <row r="755" spans="1:9" ht="15" customHeight="1" x14ac:dyDescent="0.35">
      <c r="A755" s="2978"/>
      <c r="B755" s="105">
        <v>53208100100001</v>
      </c>
      <c r="C755" s="1329" t="s">
        <v>129</v>
      </c>
      <c r="D755" s="958"/>
      <c r="E755" s="138"/>
      <c r="F755" s="139"/>
      <c r="G755" s="1333">
        <f t="shared" si="143"/>
        <v>0</v>
      </c>
      <c r="H755" s="1334">
        <f t="shared" si="144"/>
        <v>0</v>
      </c>
      <c r="I755" s="2049"/>
    </row>
    <row r="756" spans="1:9" ht="15" customHeight="1" x14ac:dyDescent="0.35">
      <c r="A756" s="2978"/>
      <c r="B756" s="105">
        <v>53211030000000</v>
      </c>
      <c r="C756" s="1329" t="s">
        <v>130</v>
      </c>
      <c r="D756" s="958"/>
      <c r="E756" s="138"/>
      <c r="F756" s="139"/>
      <c r="G756" s="1333">
        <f t="shared" si="143"/>
        <v>0</v>
      </c>
      <c r="H756" s="1334">
        <f t="shared" si="144"/>
        <v>0</v>
      </c>
      <c r="I756" s="2049"/>
    </row>
    <row r="757" spans="1:9" ht="15" customHeight="1" x14ac:dyDescent="0.35">
      <c r="A757" s="2978"/>
      <c r="B757" s="105">
        <v>53212020100000</v>
      </c>
      <c r="C757" s="1329" t="s">
        <v>131</v>
      </c>
      <c r="D757" s="939">
        <v>3580034</v>
      </c>
      <c r="E757" s="138"/>
      <c r="F757" s="139"/>
      <c r="G757" s="1333">
        <f t="shared" si="143"/>
        <v>0</v>
      </c>
      <c r="H757" s="1334">
        <f t="shared" si="144"/>
        <v>3580034</v>
      </c>
      <c r="I757" s="2049"/>
    </row>
    <row r="758" spans="1:9" ht="15" customHeight="1" x14ac:dyDescent="0.35">
      <c r="A758" s="2978"/>
      <c r="B758" s="105">
        <v>53214020000000</v>
      </c>
      <c r="C758" s="1329" t="s">
        <v>132</v>
      </c>
      <c r="D758" s="958"/>
      <c r="E758" s="138"/>
      <c r="F758" s="139"/>
      <c r="G758" s="1333">
        <f t="shared" si="143"/>
        <v>0</v>
      </c>
      <c r="H758" s="1334">
        <f t="shared" si="144"/>
        <v>0</v>
      </c>
      <c r="I758" s="2049"/>
    </row>
    <row r="759" spans="1:9" ht="15" customHeight="1" x14ac:dyDescent="0.35">
      <c r="A759" s="2978"/>
      <c r="B759" s="1319"/>
      <c r="C759" s="1320" t="s">
        <v>133</v>
      </c>
      <c r="D759" s="1338">
        <f>SUM(D760,D765,D768,D779,D789,D797)</f>
        <v>12060029.85</v>
      </c>
      <c r="E759" s="1322"/>
      <c r="F759" s="1322"/>
      <c r="G759" s="1339">
        <f>SUM(G760,G765,G768,G779,G789,G797)</f>
        <v>0</v>
      </c>
      <c r="H759" s="1042">
        <f>SUM(H760,H765,H768,H779,H789,H797)</f>
        <v>12060029.85</v>
      </c>
      <c r="I759" s="2049"/>
    </row>
    <row r="760" spans="1:9" ht="15" customHeight="1" x14ac:dyDescent="0.35">
      <c r="A760" s="2978"/>
      <c r="B760" s="1043"/>
      <c r="C760" s="1324" t="s">
        <v>134</v>
      </c>
      <c r="D760" s="1325">
        <f>SUM(D761:D764)</f>
        <v>1924650</v>
      </c>
      <c r="E760" s="1335"/>
      <c r="F760" s="1335"/>
      <c r="G760" s="1336">
        <f>SUM(G761:G764)</f>
        <v>0</v>
      </c>
      <c r="H760" s="1340">
        <f>SUM(H761:H764)</f>
        <v>1924650</v>
      </c>
      <c r="I760" s="2049"/>
    </row>
    <row r="761" spans="1:9" ht="15" customHeight="1" x14ac:dyDescent="0.35">
      <c r="A761" s="2978"/>
      <c r="B761" s="105">
        <v>53202020100000</v>
      </c>
      <c r="C761" s="1329" t="s">
        <v>135</v>
      </c>
      <c r="D761" s="939">
        <f>+PAPUDO!E28</f>
        <v>357000</v>
      </c>
      <c r="E761" s="137"/>
      <c r="F761" s="137"/>
      <c r="G761" s="1333">
        <f>E761*F761</f>
        <v>0</v>
      </c>
      <c r="H761" s="1334">
        <f>D761+G761</f>
        <v>357000</v>
      </c>
      <c r="I761" s="2049"/>
    </row>
    <row r="762" spans="1:9" ht="15" customHeight="1" x14ac:dyDescent="0.35">
      <c r="A762" s="2978"/>
      <c r="B762" s="105">
        <v>53202030000000</v>
      </c>
      <c r="C762" s="1329" t="s">
        <v>136</v>
      </c>
      <c r="D762" s="939">
        <f>+PAPUDO!E34</f>
        <v>134400</v>
      </c>
      <c r="E762" s="137"/>
      <c r="F762" s="137"/>
      <c r="G762" s="1333">
        <f t="shared" ref="G762:G766" si="145">E762*F762</f>
        <v>0</v>
      </c>
      <c r="H762" s="1334">
        <f>D762+G762</f>
        <v>134400</v>
      </c>
      <c r="I762" s="2049"/>
    </row>
    <row r="763" spans="1:9" ht="15" customHeight="1" x14ac:dyDescent="0.35">
      <c r="A763" s="2978"/>
      <c r="B763" s="105">
        <v>53211020000000</v>
      </c>
      <c r="C763" s="1329" t="s">
        <v>137</v>
      </c>
      <c r="D763" s="939"/>
      <c r="E763" s="137"/>
      <c r="F763" s="137"/>
      <c r="G763" s="1333">
        <f t="shared" si="145"/>
        <v>0</v>
      </c>
      <c r="H763" s="1334">
        <f>D763+G763</f>
        <v>0</v>
      </c>
      <c r="I763" s="2049"/>
    </row>
    <row r="764" spans="1:9" ht="15" customHeight="1" x14ac:dyDescent="0.35">
      <c r="A764" s="2978"/>
      <c r="B764" s="105">
        <v>53101004030000</v>
      </c>
      <c r="C764" s="1329" t="s">
        <v>138</v>
      </c>
      <c r="D764" s="618">
        <v>1433250</v>
      </c>
      <c r="E764" s="137"/>
      <c r="F764" s="137"/>
      <c r="G764" s="1333">
        <f t="shared" si="145"/>
        <v>0</v>
      </c>
      <c r="H764" s="1334">
        <f>D764+G764</f>
        <v>1433250</v>
      </c>
      <c r="I764" s="2049"/>
    </row>
    <row r="765" spans="1:9" ht="15" customHeight="1" x14ac:dyDescent="0.35">
      <c r="A765" s="2978"/>
      <c r="B765" s="1043"/>
      <c r="C765" s="1324" t="s">
        <v>139</v>
      </c>
      <c r="D765" s="1325">
        <f>SUM(D766:D767)</f>
        <v>1789452</v>
      </c>
      <c r="E765" s="1335"/>
      <c r="F765" s="1335"/>
      <c r="G765" s="1336">
        <f>SUM(G766:G767)</f>
        <v>0</v>
      </c>
      <c r="H765" s="1340">
        <f>SUM(H766:H767)</f>
        <v>1789452</v>
      </c>
      <c r="I765" s="2049"/>
    </row>
    <row r="766" spans="1:9" ht="15" customHeight="1" x14ac:dyDescent="0.35">
      <c r="A766" s="2978"/>
      <c r="B766" s="105">
        <v>53205080000000</v>
      </c>
      <c r="C766" s="1337" t="s">
        <v>140</v>
      </c>
      <c r="D766" s="958">
        <v>1789452</v>
      </c>
      <c r="E766" s="138"/>
      <c r="F766" s="139"/>
      <c r="G766" s="1333">
        <f t="shared" si="145"/>
        <v>0</v>
      </c>
      <c r="H766" s="1334">
        <f>D766+G766</f>
        <v>1789452</v>
      </c>
      <c r="I766" s="2049" t="s">
        <v>1107</v>
      </c>
    </row>
    <row r="767" spans="1:9" ht="15" customHeight="1" x14ac:dyDescent="0.35">
      <c r="A767" s="2978"/>
      <c r="B767" s="105">
        <v>53205990000000</v>
      </c>
      <c r="C767" s="1329" t="s">
        <v>141</v>
      </c>
      <c r="D767" s="958"/>
      <c r="E767" s="138"/>
      <c r="F767" s="139"/>
      <c r="G767" s="1333">
        <f t="shared" ref="G767" si="146">E767*F767</f>
        <v>0</v>
      </c>
      <c r="H767" s="1334">
        <f>D767+G767</f>
        <v>0</v>
      </c>
      <c r="I767" s="2049"/>
    </row>
    <row r="768" spans="1:9" ht="15" customHeight="1" x14ac:dyDescent="0.35">
      <c r="A768" s="2978"/>
      <c r="B768" s="1043"/>
      <c r="C768" s="1324" t="s">
        <v>142</v>
      </c>
      <c r="D768" s="1325">
        <f>SUM(D769:D778)</f>
        <v>3049500</v>
      </c>
      <c r="E768" s="1335"/>
      <c r="F768" s="1335"/>
      <c r="G768" s="1327">
        <f>SUM(G769:G778)</f>
        <v>0</v>
      </c>
      <c r="H768" s="1026">
        <f>SUM(H769:H778)</f>
        <v>3049500</v>
      </c>
      <c r="I768" s="2049"/>
    </row>
    <row r="769" spans="1:9" ht="15" customHeight="1" x14ac:dyDescent="0.35">
      <c r="A769" s="2978"/>
      <c r="B769" s="105">
        <v>53203010200000</v>
      </c>
      <c r="C769" s="1329" t="s">
        <v>143</v>
      </c>
      <c r="D769" s="939"/>
      <c r="E769" s="137"/>
      <c r="F769" s="139"/>
      <c r="G769" s="1333">
        <f t="shared" ref="G769:G778" si="147">E769*F769</f>
        <v>0</v>
      </c>
      <c r="H769" s="1334">
        <f t="shared" ref="H769:H778" si="148">D769+G769</f>
        <v>0</v>
      </c>
      <c r="I769" s="2049"/>
    </row>
    <row r="770" spans="1:9" ht="15" customHeight="1" x14ac:dyDescent="0.35">
      <c r="A770" s="2978"/>
      <c r="B770" s="105">
        <v>53204010000000</v>
      </c>
      <c r="C770" s="1329" t="s">
        <v>144</v>
      </c>
      <c r="D770" s="939">
        <f>+PAPUDO!E38</f>
        <v>220500</v>
      </c>
      <c r="E770" s="138"/>
      <c r="F770" s="139"/>
      <c r="G770" s="1333">
        <f t="shared" si="147"/>
        <v>0</v>
      </c>
      <c r="H770" s="1334">
        <f t="shared" si="148"/>
        <v>220500</v>
      </c>
      <c r="I770" s="2049"/>
    </row>
    <row r="771" spans="1:9" ht="15" customHeight="1" x14ac:dyDescent="0.35">
      <c r="A771" s="2978"/>
      <c r="B771" s="105">
        <v>53204040200000</v>
      </c>
      <c r="C771" s="1337" t="s">
        <v>145</v>
      </c>
      <c r="D771" s="939">
        <f>+PAPUDO!E41</f>
        <v>36000</v>
      </c>
      <c r="E771" s="138"/>
      <c r="F771" s="139"/>
      <c r="G771" s="1333">
        <f t="shared" si="147"/>
        <v>0</v>
      </c>
      <c r="H771" s="1334">
        <f t="shared" si="148"/>
        <v>36000</v>
      </c>
      <c r="I771" s="2049" t="s">
        <v>1235</v>
      </c>
    </row>
    <row r="772" spans="1:9" ht="15" customHeight="1" x14ac:dyDescent="0.35">
      <c r="A772" s="2978"/>
      <c r="B772" s="105">
        <v>53204060000000</v>
      </c>
      <c r="C772" s="1337" t="s">
        <v>146</v>
      </c>
      <c r="D772" s="939"/>
      <c r="E772" s="138"/>
      <c r="F772" s="139"/>
      <c r="G772" s="1333">
        <f t="shared" si="147"/>
        <v>0</v>
      </c>
      <c r="H772" s="1334">
        <f t="shared" si="148"/>
        <v>0</v>
      </c>
      <c r="I772" s="2049"/>
    </row>
    <row r="773" spans="1:9" ht="15" customHeight="1" x14ac:dyDescent="0.35">
      <c r="A773" s="2978"/>
      <c r="B773" s="105">
        <v>53204070000000</v>
      </c>
      <c r="C773" s="1337" t="s">
        <v>147</v>
      </c>
      <c r="D773" s="939">
        <f>+PAPUDO!E45</f>
        <v>1323000</v>
      </c>
      <c r="E773" s="138"/>
      <c r="F773" s="139"/>
      <c r="G773" s="1333">
        <f t="shared" si="147"/>
        <v>0</v>
      </c>
      <c r="H773" s="1334">
        <f t="shared" si="148"/>
        <v>1323000</v>
      </c>
      <c r="I773" s="2049"/>
    </row>
    <row r="774" spans="1:9" ht="15" customHeight="1" x14ac:dyDescent="0.35">
      <c r="A774" s="2978"/>
      <c r="B774" s="105">
        <v>53204080000000</v>
      </c>
      <c r="C774" s="1337" t="s">
        <v>148</v>
      </c>
      <c r="D774" s="939">
        <f>+PAPUDO!E47</f>
        <v>441000</v>
      </c>
      <c r="E774" s="138"/>
      <c r="F774" s="139"/>
      <c r="G774" s="1333">
        <f t="shared" si="147"/>
        <v>0</v>
      </c>
      <c r="H774" s="1334">
        <f t="shared" si="148"/>
        <v>441000</v>
      </c>
      <c r="I774" s="2049"/>
    </row>
    <row r="775" spans="1:9" ht="15" customHeight="1" x14ac:dyDescent="0.35">
      <c r="A775" s="2978"/>
      <c r="B775" s="105">
        <v>53214010000000</v>
      </c>
      <c r="C775" s="1337" t="s">
        <v>149</v>
      </c>
      <c r="D775" s="939">
        <f>+PAPUDO!E51</f>
        <v>1029000</v>
      </c>
      <c r="E775" s="138"/>
      <c r="F775" s="139"/>
      <c r="G775" s="1333">
        <f t="shared" si="147"/>
        <v>0</v>
      </c>
      <c r="H775" s="1334">
        <f t="shared" si="148"/>
        <v>1029000</v>
      </c>
      <c r="I775" s="2049"/>
    </row>
    <row r="776" spans="1:9" ht="15" customHeight="1" x14ac:dyDescent="0.35">
      <c r="A776" s="2978"/>
      <c r="B776" s="105">
        <v>53214040000000</v>
      </c>
      <c r="C776" s="1329" t="s">
        <v>150</v>
      </c>
      <c r="D776" s="939"/>
      <c r="E776" s="138"/>
      <c r="F776" s="139"/>
      <c r="G776" s="1333">
        <f t="shared" si="147"/>
        <v>0</v>
      </c>
      <c r="H776" s="1334">
        <f t="shared" si="148"/>
        <v>0</v>
      </c>
      <c r="I776" s="2049"/>
    </row>
    <row r="777" spans="1:9" ht="15" customHeight="1" x14ac:dyDescent="0.35">
      <c r="A777" s="2978"/>
      <c r="B777" s="105">
        <v>55201010100004</v>
      </c>
      <c r="C777" s="1329" t="s">
        <v>151</v>
      </c>
      <c r="D777" s="939"/>
      <c r="E777" s="137"/>
      <c r="F777" s="139"/>
      <c r="G777" s="1333">
        <f t="shared" si="147"/>
        <v>0</v>
      </c>
      <c r="H777" s="1334">
        <f t="shared" si="148"/>
        <v>0</v>
      </c>
      <c r="I777" s="2049"/>
    </row>
    <row r="778" spans="1:9" ht="15" customHeight="1" x14ac:dyDescent="0.35">
      <c r="A778" s="2978"/>
      <c r="B778" s="105">
        <v>55201010100005</v>
      </c>
      <c r="C778" s="1329" t="s">
        <v>152</v>
      </c>
      <c r="D778" s="939"/>
      <c r="E778" s="137"/>
      <c r="F778" s="139"/>
      <c r="G778" s="1333">
        <f t="shared" si="147"/>
        <v>0</v>
      </c>
      <c r="H778" s="1334">
        <f t="shared" si="148"/>
        <v>0</v>
      </c>
      <c r="I778" s="2049"/>
    </row>
    <row r="779" spans="1:9" ht="15" customHeight="1" x14ac:dyDescent="0.35">
      <c r="A779" s="2978"/>
      <c r="B779" s="1043"/>
      <c r="C779" s="1324" t="s">
        <v>153</v>
      </c>
      <c r="D779" s="1325">
        <f>SUM(D780:D788)</f>
        <v>441000</v>
      </c>
      <c r="E779" s="1335"/>
      <c r="F779" s="1335"/>
      <c r="G779" s="1327">
        <f>SUM(G780:G788)</f>
        <v>0</v>
      </c>
      <c r="H779" s="1026">
        <f>SUM(H780:H788)</f>
        <v>441000</v>
      </c>
      <c r="I779" s="2049"/>
    </row>
    <row r="780" spans="1:9" ht="15" customHeight="1" x14ac:dyDescent="0.35">
      <c r="A780" s="2978"/>
      <c r="B780" s="105">
        <v>53207010000000</v>
      </c>
      <c r="C780" s="1329" t="s">
        <v>154</v>
      </c>
      <c r="D780" s="958"/>
      <c r="E780" s="138"/>
      <c r="F780" s="139"/>
      <c r="G780" s="1333">
        <f t="shared" ref="G780:G788" si="149">E780*F780</f>
        <v>0</v>
      </c>
      <c r="H780" s="1334">
        <f t="shared" ref="H780:H788" si="150">D780+G780</f>
        <v>0</v>
      </c>
      <c r="I780" s="2049"/>
    </row>
    <row r="781" spans="1:9" ht="15" customHeight="1" x14ac:dyDescent="0.35">
      <c r="A781" s="2978"/>
      <c r="B781" s="105">
        <v>53207020000000</v>
      </c>
      <c r="C781" s="1329" t="s">
        <v>155</v>
      </c>
      <c r="D781" s="958"/>
      <c r="E781" s="138"/>
      <c r="F781" s="139"/>
      <c r="G781" s="1333">
        <f t="shared" si="149"/>
        <v>0</v>
      </c>
      <c r="H781" s="1334">
        <f t="shared" si="150"/>
        <v>0</v>
      </c>
      <c r="I781" s="2049"/>
    </row>
    <row r="782" spans="1:9" ht="15" customHeight="1" x14ac:dyDescent="0.35">
      <c r="A782" s="2978"/>
      <c r="B782" s="105">
        <v>53208020000000</v>
      </c>
      <c r="C782" s="1329" t="s">
        <v>156</v>
      </c>
      <c r="D782" s="958"/>
      <c r="E782" s="138"/>
      <c r="F782" s="139"/>
      <c r="G782" s="1333">
        <f t="shared" si="149"/>
        <v>0</v>
      </c>
      <c r="H782" s="1334">
        <f t="shared" si="150"/>
        <v>0</v>
      </c>
      <c r="I782" s="2049"/>
    </row>
    <row r="783" spans="1:9" ht="15" customHeight="1" x14ac:dyDescent="0.35">
      <c r="A783" s="2978"/>
      <c r="B783" s="105">
        <v>53208990000000</v>
      </c>
      <c r="C783" s="1329" t="s">
        <v>157</v>
      </c>
      <c r="D783" s="958">
        <f>+PAPUDO!E43</f>
        <v>441000</v>
      </c>
      <c r="E783" s="138"/>
      <c r="F783" s="139"/>
      <c r="G783" s="1333">
        <f t="shared" si="149"/>
        <v>0</v>
      </c>
      <c r="H783" s="1334">
        <f t="shared" si="150"/>
        <v>441000</v>
      </c>
      <c r="I783" s="2049" t="s">
        <v>1108</v>
      </c>
    </row>
    <row r="784" spans="1:9" ht="15" customHeight="1" x14ac:dyDescent="0.35">
      <c r="A784" s="2978"/>
      <c r="B784" s="105">
        <v>53209010000000</v>
      </c>
      <c r="C784" s="1329" t="s">
        <v>158</v>
      </c>
      <c r="D784" s="958"/>
      <c r="E784" s="138"/>
      <c r="F784" s="139"/>
      <c r="G784" s="1333">
        <f t="shared" si="149"/>
        <v>0</v>
      </c>
      <c r="H784" s="1334">
        <f t="shared" si="150"/>
        <v>0</v>
      </c>
      <c r="I784" s="2049"/>
    </row>
    <row r="785" spans="1:9" ht="15" customHeight="1" x14ac:dyDescent="0.35">
      <c r="A785" s="2978"/>
      <c r="B785" s="105">
        <v>53209040000000</v>
      </c>
      <c r="C785" s="1329" t="s">
        <v>159</v>
      </c>
      <c r="D785" s="958"/>
      <c r="E785" s="138"/>
      <c r="F785" s="139"/>
      <c r="G785" s="1333">
        <f t="shared" si="149"/>
        <v>0</v>
      </c>
      <c r="H785" s="1334">
        <f t="shared" si="150"/>
        <v>0</v>
      </c>
      <c r="I785" s="2049"/>
    </row>
    <row r="786" spans="1:9" ht="15" customHeight="1" x14ac:dyDescent="0.35">
      <c r="A786" s="2978"/>
      <c r="B786" s="105">
        <v>53209050000000</v>
      </c>
      <c r="C786" s="1329" t="s">
        <v>160</v>
      </c>
      <c r="D786" s="958"/>
      <c r="E786" s="138"/>
      <c r="F786" s="139"/>
      <c r="G786" s="1333">
        <f t="shared" si="149"/>
        <v>0</v>
      </c>
      <c r="H786" s="1334">
        <f t="shared" si="150"/>
        <v>0</v>
      </c>
      <c r="I786" s="2049"/>
    </row>
    <row r="787" spans="1:9" ht="15" customHeight="1" x14ac:dyDescent="0.35">
      <c r="A787" s="2978"/>
      <c r="B787" s="105">
        <v>53209990000000</v>
      </c>
      <c r="C787" s="1329" t="s">
        <v>161</v>
      </c>
      <c r="D787" s="958"/>
      <c r="E787" s="138"/>
      <c r="F787" s="139"/>
      <c r="G787" s="1333">
        <f t="shared" si="149"/>
        <v>0</v>
      </c>
      <c r="H787" s="1334">
        <f t="shared" si="150"/>
        <v>0</v>
      </c>
      <c r="I787" s="2049"/>
    </row>
    <row r="788" spans="1:9" ht="15" customHeight="1" x14ac:dyDescent="0.35">
      <c r="A788" s="2978"/>
      <c r="B788" s="105">
        <v>53210020100000</v>
      </c>
      <c r="C788" s="1329" t="s">
        <v>162</v>
      </c>
      <c r="D788" s="958"/>
      <c r="E788" s="138"/>
      <c r="F788" s="139"/>
      <c r="G788" s="1333">
        <f t="shared" si="149"/>
        <v>0</v>
      </c>
      <c r="H788" s="1334">
        <f t="shared" si="150"/>
        <v>0</v>
      </c>
      <c r="I788" s="2049"/>
    </row>
    <row r="789" spans="1:9" ht="15" customHeight="1" x14ac:dyDescent="0.35">
      <c r="A789" s="2978"/>
      <c r="B789" s="1043"/>
      <c r="C789" s="1324" t="s">
        <v>163</v>
      </c>
      <c r="D789" s="1325">
        <f>SUM(D790:D796)</f>
        <v>4165347.9</v>
      </c>
      <c r="E789" s="1335"/>
      <c r="F789" s="1335"/>
      <c r="G789" s="1327">
        <f>SUM(G790:G796)</f>
        <v>0</v>
      </c>
      <c r="H789" s="1026">
        <f>SUM(H790:H796)</f>
        <v>4165347.9</v>
      </c>
      <c r="I789" s="2049"/>
    </row>
    <row r="790" spans="1:9" ht="15" customHeight="1" x14ac:dyDescent="0.35">
      <c r="A790" s="2978"/>
      <c r="B790" s="105">
        <v>53206030000000</v>
      </c>
      <c r="C790" s="1329" t="s">
        <v>164</v>
      </c>
      <c r="D790" s="958"/>
      <c r="E790" s="138"/>
      <c r="F790" s="139"/>
      <c r="G790" s="1333">
        <f t="shared" ref="G790:G796" si="151">E790*F790</f>
        <v>0</v>
      </c>
      <c r="H790" s="1334">
        <f t="shared" ref="H790:H796" si="152">D790+G790</f>
        <v>0</v>
      </c>
      <c r="I790" s="2049"/>
    </row>
    <row r="791" spans="1:9" ht="15" customHeight="1" x14ac:dyDescent="0.35">
      <c r="A791" s="2978"/>
      <c r="B791" s="105">
        <v>53206040000000</v>
      </c>
      <c r="C791" s="1329" t="s">
        <v>165</v>
      </c>
      <c r="D791" s="958"/>
      <c r="E791" s="138"/>
      <c r="F791" s="139"/>
      <c r="G791" s="1333">
        <f t="shared" si="151"/>
        <v>0</v>
      </c>
      <c r="H791" s="1334">
        <f t="shared" si="152"/>
        <v>0</v>
      </c>
      <c r="I791" s="2049"/>
    </row>
    <row r="792" spans="1:9" ht="15" customHeight="1" x14ac:dyDescent="0.35">
      <c r="A792" s="2978"/>
      <c r="B792" s="105">
        <v>53206060000000</v>
      </c>
      <c r="C792" s="1329" t="s">
        <v>166</v>
      </c>
      <c r="D792" s="939">
        <f>+PAPUDO!E55</f>
        <v>3220347.9</v>
      </c>
      <c r="E792" s="138"/>
      <c r="F792" s="139"/>
      <c r="G792" s="1333">
        <f t="shared" si="151"/>
        <v>0</v>
      </c>
      <c r="H792" s="1334">
        <f t="shared" si="152"/>
        <v>3220347.9</v>
      </c>
      <c r="I792" s="2049"/>
    </row>
    <row r="793" spans="1:9" ht="15" customHeight="1" x14ac:dyDescent="0.35">
      <c r="A793" s="2978"/>
      <c r="B793" s="105">
        <v>53206070000000</v>
      </c>
      <c r="C793" s="1329" t="s">
        <v>167</v>
      </c>
      <c r="D793" s="958"/>
      <c r="E793" s="138"/>
      <c r="F793" s="139"/>
      <c r="G793" s="1333">
        <f t="shared" si="151"/>
        <v>0</v>
      </c>
      <c r="H793" s="1334">
        <f t="shared" si="152"/>
        <v>0</v>
      </c>
      <c r="I793" s="2049"/>
    </row>
    <row r="794" spans="1:9" ht="15" customHeight="1" x14ac:dyDescent="0.35">
      <c r="A794" s="2978"/>
      <c r="B794" s="105">
        <v>53206990000000</v>
      </c>
      <c r="C794" s="1329" t="s">
        <v>168</v>
      </c>
      <c r="D794" s="958">
        <f>+PAPUDO!E60</f>
        <v>525000</v>
      </c>
      <c r="E794" s="138"/>
      <c r="F794" s="139"/>
      <c r="G794" s="1333">
        <f t="shared" si="151"/>
        <v>0</v>
      </c>
      <c r="H794" s="1334">
        <f t="shared" si="152"/>
        <v>525000</v>
      </c>
      <c r="I794" s="2049"/>
    </row>
    <row r="795" spans="1:9" ht="15" customHeight="1" x14ac:dyDescent="0.35">
      <c r="A795" s="2978"/>
      <c r="B795" s="105">
        <v>53208030000000</v>
      </c>
      <c r="C795" s="1329" t="s">
        <v>169</v>
      </c>
      <c r="D795" s="958">
        <f>+PAPUDO!E62</f>
        <v>420000</v>
      </c>
      <c r="E795" s="138"/>
      <c r="F795" s="139"/>
      <c r="G795" s="1333">
        <f t="shared" si="151"/>
        <v>0</v>
      </c>
      <c r="H795" s="1334">
        <f t="shared" si="152"/>
        <v>420000</v>
      </c>
      <c r="I795" s="591"/>
    </row>
    <row r="796" spans="1:9" ht="15" customHeight="1" x14ac:dyDescent="0.35">
      <c r="A796" s="2978"/>
      <c r="B796" s="105">
        <v>53212060000000</v>
      </c>
      <c r="C796" s="1329" t="s">
        <v>170</v>
      </c>
      <c r="D796" s="959"/>
      <c r="E796" s="137"/>
      <c r="F796" s="139"/>
      <c r="G796" s="1333">
        <f t="shared" si="151"/>
        <v>0</v>
      </c>
      <c r="H796" s="1334">
        <f t="shared" si="152"/>
        <v>0</v>
      </c>
      <c r="I796" s="591"/>
    </row>
    <row r="797" spans="1:9" ht="15" customHeight="1" x14ac:dyDescent="0.35">
      <c r="A797" s="2978"/>
      <c r="B797" s="1043"/>
      <c r="C797" s="1324" t="s">
        <v>171</v>
      </c>
      <c r="D797" s="1325">
        <f>SUM(D798:D799)</f>
        <v>690079.95000000007</v>
      </c>
      <c r="E797" s="1335"/>
      <c r="F797" s="1335"/>
      <c r="G797" s="1327">
        <f>SUM(G798:G799)</f>
        <v>0</v>
      </c>
      <c r="H797" s="1026">
        <f>SUM(H798:H799)</f>
        <v>690079.95000000007</v>
      </c>
      <c r="I797" s="624"/>
    </row>
    <row r="798" spans="1:9" ht="15" customHeight="1" x14ac:dyDescent="0.35">
      <c r="A798" s="2978"/>
      <c r="B798" s="105">
        <v>53210020500000</v>
      </c>
      <c r="C798" s="1329" t="s">
        <v>172</v>
      </c>
      <c r="D798" s="2491">
        <f>+PAPUDO!E65</f>
        <v>690079.95000000007</v>
      </c>
      <c r="E798" s="137"/>
      <c r="F798" s="139"/>
      <c r="G798" s="1333">
        <f t="shared" ref="G798:G799" si="153">E798*F798</f>
        <v>0</v>
      </c>
      <c r="H798" s="1341">
        <f>D798+G798</f>
        <v>690079.95000000007</v>
      </c>
      <c r="I798" s="591"/>
    </row>
    <row r="799" spans="1:9" ht="15" customHeight="1" x14ac:dyDescent="0.35">
      <c r="A799" s="2978"/>
      <c r="B799" s="1053">
        <v>53204999000000</v>
      </c>
      <c r="C799" s="1035" t="s">
        <v>173</v>
      </c>
      <c r="D799" s="958"/>
      <c r="E799" s="138"/>
      <c r="F799" s="139"/>
      <c r="G799" s="1036">
        <f t="shared" si="153"/>
        <v>0</v>
      </c>
      <c r="H799" s="1341">
        <f>D799+G799</f>
        <v>0</v>
      </c>
      <c r="I799" s="591"/>
    </row>
    <row r="800" spans="1:9" ht="15" customHeight="1" x14ac:dyDescent="0.35">
      <c r="A800" s="2979"/>
      <c r="B800" s="1342"/>
      <c r="C800" s="1343" t="s">
        <v>12</v>
      </c>
      <c r="D800" s="1344">
        <f>SUM(D731,D759)</f>
        <v>104357799.58403498</v>
      </c>
      <c r="E800" s="1345"/>
      <c r="F800" s="1345"/>
      <c r="G800" s="1344">
        <f>SUM(G731,G759)</f>
        <v>0</v>
      </c>
      <c r="H800" s="1346">
        <f>SUM(H731,H759)</f>
        <v>104357799.58403498</v>
      </c>
      <c r="I800" s="624"/>
    </row>
    <row r="801" spans="1:9" ht="15" customHeight="1" x14ac:dyDescent="0.35">
      <c r="A801" s="3050" t="s">
        <v>21</v>
      </c>
      <c r="B801" s="3051" t="s">
        <v>97</v>
      </c>
      <c r="C801" s="3052" t="s">
        <v>98</v>
      </c>
      <c r="D801" s="3038" t="s">
        <v>99</v>
      </c>
      <c r="E801" s="3053" t="s">
        <v>100</v>
      </c>
      <c r="F801" s="3053"/>
      <c r="G801" s="3053"/>
      <c r="H801" s="3054" t="str">
        <f>+H729</f>
        <v>COSTO DIRECTO ESTIMADO 2026</v>
      </c>
      <c r="I801" s="2987" t="s">
        <v>101</v>
      </c>
    </row>
    <row r="802" spans="1:9" ht="38.25" customHeight="1" x14ac:dyDescent="0.35">
      <c r="A802" s="2967"/>
      <c r="B802" s="2981"/>
      <c r="C802" s="2999"/>
      <c r="D802" s="3001"/>
      <c r="E802" s="1121" t="s">
        <v>102</v>
      </c>
      <c r="F802" s="117" t="s">
        <v>103</v>
      </c>
      <c r="G802" s="1122" t="s">
        <v>104</v>
      </c>
      <c r="H802" s="2993"/>
      <c r="I802" s="2987"/>
    </row>
    <row r="803" spans="1:9" ht="15" customHeight="1" x14ac:dyDescent="0.35">
      <c r="A803" s="3055" t="str">
        <f>+'B) Reajuste Tarifas y Ocupación'!A88</f>
        <v>Residencia Universitaria Recreo</v>
      </c>
      <c r="B803" s="1347"/>
      <c r="C803" s="1348" t="s">
        <v>105</v>
      </c>
      <c r="D803" s="1349">
        <f>SUM(D804,D809,D811)</f>
        <v>8389138</v>
      </c>
      <c r="E803" s="1350"/>
      <c r="F803" s="1350"/>
      <c r="G803" s="1349">
        <f>SUM(G804,G809,G811)</f>
        <v>0</v>
      </c>
      <c r="H803" s="1351">
        <f>SUM(H804,H809,H811)</f>
        <v>8389138</v>
      </c>
      <c r="I803" s="625"/>
    </row>
    <row r="804" spans="1:9" ht="15" customHeight="1" x14ac:dyDescent="0.35">
      <c r="A804" s="2978"/>
      <c r="B804" s="1043"/>
      <c r="C804" s="1352" t="s">
        <v>106</v>
      </c>
      <c r="D804" s="1353">
        <f>SUM(D805:D808)</f>
        <v>0</v>
      </c>
      <c r="E804" s="1354"/>
      <c r="F804" s="1354"/>
      <c r="G804" s="1355">
        <f>SUM(G805:G808)</f>
        <v>0</v>
      </c>
      <c r="H804" s="1356">
        <f>SUM(H805:H808)</f>
        <v>0</v>
      </c>
      <c r="I804" s="625"/>
    </row>
    <row r="805" spans="1:9" ht="15" customHeight="1" x14ac:dyDescent="0.35">
      <c r="A805" s="2978"/>
      <c r="B805" s="105">
        <v>53103040100000</v>
      </c>
      <c r="C805" s="1357" t="s">
        <v>107</v>
      </c>
      <c r="D805" s="1358">
        <f>+'F) Remuneraciones'!M256</f>
        <v>0</v>
      </c>
      <c r="E805" s="1359"/>
      <c r="F805" s="1359"/>
      <c r="G805" s="1359"/>
      <c r="H805" s="1360">
        <f>D805+G805</f>
        <v>0</v>
      </c>
      <c r="I805" s="625"/>
    </row>
    <row r="806" spans="1:9" ht="15" customHeight="1" x14ac:dyDescent="0.35">
      <c r="A806" s="2978"/>
      <c r="B806" s="105">
        <v>53103050000000</v>
      </c>
      <c r="C806" s="1357" t="s">
        <v>108</v>
      </c>
      <c r="D806" s="960"/>
      <c r="E806" s="141"/>
      <c r="F806" s="142"/>
      <c r="G806" s="1361">
        <f>E806*F806</f>
        <v>0</v>
      </c>
      <c r="H806" s="1076">
        <f>D806+G806</f>
        <v>0</v>
      </c>
      <c r="I806" s="625"/>
    </row>
    <row r="807" spans="1:9" ht="15" customHeight="1" x14ac:dyDescent="0.35">
      <c r="A807" s="2978"/>
      <c r="B807" s="105">
        <v>53103060000000</v>
      </c>
      <c r="C807" s="1357" t="s">
        <v>109</v>
      </c>
      <c r="D807" s="960"/>
      <c r="E807" s="141"/>
      <c r="F807" s="142"/>
      <c r="G807" s="1361">
        <f t="shared" ref="G807:G808" si="154">E807*F807</f>
        <v>0</v>
      </c>
      <c r="H807" s="1362">
        <f>D807+G807</f>
        <v>0</v>
      </c>
      <c r="I807" s="591"/>
    </row>
    <row r="808" spans="1:9" ht="15" customHeight="1" x14ac:dyDescent="0.35">
      <c r="A808" s="2978"/>
      <c r="B808" s="105">
        <v>53103080010000</v>
      </c>
      <c r="C808" s="1357" t="s">
        <v>110</v>
      </c>
      <c r="D808" s="960"/>
      <c r="E808" s="141"/>
      <c r="F808" s="142"/>
      <c r="G808" s="1361">
        <f t="shared" si="154"/>
        <v>0</v>
      </c>
      <c r="H808" s="1362">
        <f>D808+G808</f>
        <v>0</v>
      </c>
      <c r="I808" s="591"/>
    </row>
    <row r="809" spans="1:9" ht="15" customHeight="1" x14ac:dyDescent="0.35">
      <c r="A809" s="2978"/>
      <c r="B809" s="1043"/>
      <c r="C809" s="1352" t="s">
        <v>111</v>
      </c>
      <c r="D809" s="1353">
        <f>SUM(D810)</f>
        <v>0</v>
      </c>
      <c r="E809" s="1363"/>
      <c r="F809" s="1363"/>
      <c r="G809" s="1364">
        <f>SUM(G810:G810)</f>
        <v>0</v>
      </c>
      <c r="H809" s="1026">
        <f>SUM(H810:H810)</f>
        <v>0</v>
      </c>
      <c r="I809" s="625"/>
    </row>
    <row r="810" spans="1:9" ht="15" customHeight="1" x14ac:dyDescent="0.35">
      <c r="A810" s="2978"/>
      <c r="B810" s="105">
        <v>55201010100001</v>
      </c>
      <c r="C810" s="1357" t="s">
        <v>112</v>
      </c>
      <c r="D810" s="960"/>
      <c r="E810" s="141"/>
      <c r="F810" s="142"/>
      <c r="G810" s="1361">
        <f t="shared" ref="G810" si="155">E810*F810</f>
        <v>0</v>
      </c>
      <c r="H810" s="1362">
        <f>D810+G810</f>
        <v>0</v>
      </c>
      <c r="I810" s="591"/>
    </row>
    <row r="811" spans="1:9" ht="15" customHeight="1" x14ac:dyDescent="0.35">
      <c r="A811" s="2978"/>
      <c r="B811" s="1043"/>
      <c r="C811" s="1352" t="s">
        <v>113</v>
      </c>
      <c r="D811" s="1353">
        <f>SUM(D812:D830)</f>
        <v>8389138</v>
      </c>
      <c r="E811" s="1363"/>
      <c r="F811" s="1363"/>
      <c r="G811" s="1355">
        <f>SUM(G812:G830)</f>
        <v>0</v>
      </c>
      <c r="H811" s="1026">
        <f>SUM(H812:H830)</f>
        <v>8389138</v>
      </c>
      <c r="I811" s="625"/>
    </row>
    <row r="812" spans="1:9" ht="15" customHeight="1" x14ac:dyDescent="0.35">
      <c r="A812" s="2978"/>
      <c r="B812" s="105">
        <v>53201010100000</v>
      </c>
      <c r="C812" s="1357" t="s">
        <v>114</v>
      </c>
      <c r="D812" s="960"/>
      <c r="E812" s="141"/>
      <c r="F812" s="142"/>
      <c r="G812" s="1361">
        <f t="shared" ref="G812:G830" si="156">E812*F812</f>
        <v>0</v>
      </c>
      <c r="H812" s="1362">
        <f t="shared" ref="H812:H830" si="157">D812+G812</f>
        <v>0</v>
      </c>
      <c r="I812" s="591"/>
    </row>
    <row r="813" spans="1:9" ht="15" customHeight="1" x14ac:dyDescent="0.35">
      <c r="A813" s="2978"/>
      <c r="B813" s="105">
        <v>53202010100000</v>
      </c>
      <c r="C813" s="1357" t="s">
        <v>115</v>
      </c>
      <c r="D813" s="960">
        <v>197400</v>
      </c>
      <c r="E813" s="141"/>
      <c r="F813" s="142"/>
      <c r="G813" s="1361">
        <f t="shared" si="156"/>
        <v>0</v>
      </c>
      <c r="H813" s="1362">
        <f t="shared" si="157"/>
        <v>197400</v>
      </c>
      <c r="I813" s="591"/>
    </row>
    <row r="814" spans="1:9" ht="15" customHeight="1" x14ac:dyDescent="0.35">
      <c r="A814" s="2978"/>
      <c r="B814" s="105">
        <v>53203010100000</v>
      </c>
      <c r="C814" s="1357" t="s">
        <v>116</v>
      </c>
      <c r="D814" s="960"/>
      <c r="E814" s="141"/>
      <c r="F814" s="142"/>
      <c r="G814" s="1361">
        <f t="shared" si="156"/>
        <v>0</v>
      </c>
      <c r="H814" s="1362">
        <f t="shared" si="157"/>
        <v>0</v>
      </c>
      <c r="I814" s="591"/>
    </row>
    <row r="815" spans="1:9" ht="15" customHeight="1" x14ac:dyDescent="0.35">
      <c r="A815" s="2978"/>
      <c r="B815" s="105">
        <v>53203030000000</v>
      </c>
      <c r="C815" s="1357" t="s">
        <v>117</v>
      </c>
      <c r="D815" s="960">
        <v>262500</v>
      </c>
      <c r="E815" s="141"/>
      <c r="F815" s="142"/>
      <c r="G815" s="1361">
        <f t="shared" si="156"/>
        <v>0</v>
      </c>
      <c r="H815" s="1362">
        <f t="shared" si="157"/>
        <v>262500</v>
      </c>
      <c r="I815" s="591"/>
    </row>
    <row r="816" spans="1:9" ht="15" customHeight="1" x14ac:dyDescent="0.35">
      <c r="A816" s="2978"/>
      <c r="B816" s="105">
        <v>53204030000000</v>
      </c>
      <c r="C816" s="1357" t="s">
        <v>118</v>
      </c>
      <c r="D816" s="960"/>
      <c r="E816" s="141"/>
      <c r="F816" s="142"/>
      <c r="G816" s="1361">
        <f t="shared" si="156"/>
        <v>0</v>
      </c>
      <c r="H816" s="1362">
        <f t="shared" si="157"/>
        <v>0</v>
      </c>
      <c r="I816" s="591"/>
    </row>
    <row r="817" spans="1:9" ht="15" customHeight="1" x14ac:dyDescent="0.35">
      <c r="A817" s="2978"/>
      <c r="B817" s="105">
        <v>53204100100001</v>
      </c>
      <c r="C817" s="1357" t="s">
        <v>119</v>
      </c>
      <c r="D817" s="960">
        <v>4095000</v>
      </c>
      <c r="E817" s="141"/>
      <c r="F817" s="142"/>
      <c r="G817" s="1361">
        <f t="shared" si="156"/>
        <v>0</v>
      </c>
      <c r="H817" s="1362">
        <f t="shared" si="157"/>
        <v>4095000</v>
      </c>
      <c r="I817" s="591"/>
    </row>
    <row r="818" spans="1:9" ht="15" customHeight="1" x14ac:dyDescent="0.35">
      <c r="A818" s="2978"/>
      <c r="B818" s="105">
        <v>53204130100000</v>
      </c>
      <c r="C818" s="1357" t="s">
        <v>120</v>
      </c>
      <c r="D818" s="960">
        <v>94500</v>
      </c>
      <c r="E818" s="141"/>
      <c r="F818" s="142"/>
      <c r="G818" s="1361">
        <f t="shared" si="156"/>
        <v>0</v>
      </c>
      <c r="H818" s="1362">
        <f t="shared" si="157"/>
        <v>94500</v>
      </c>
      <c r="I818" s="591"/>
    </row>
    <row r="819" spans="1:9" x14ac:dyDescent="0.35">
      <c r="A819" s="2978"/>
      <c r="B819" s="105">
        <v>53205010100000</v>
      </c>
      <c r="C819" s="1357" t="s">
        <v>121</v>
      </c>
      <c r="D819" s="960">
        <v>1710167</v>
      </c>
      <c r="E819" s="141"/>
      <c r="F819" s="142"/>
      <c r="G819" s="1361">
        <f t="shared" si="156"/>
        <v>0</v>
      </c>
      <c r="H819" s="1362">
        <f t="shared" si="157"/>
        <v>1710167</v>
      </c>
      <c r="I819" s="591"/>
    </row>
    <row r="820" spans="1:9" ht="15" customHeight="1" x14ac:dyDescent="0.35">
      <c r="A820" s="2978"/>
      <c r="B820" s="105">
        <v>53205020100000</v>
      </c>
      <c r="C820" s="1357" t="s">
        <v>122</v>
      </c>
      <c r="D820" s="960">
        <v>570218</v>
      </c>
      <c r="E820" s="141"/>
      <c r="F820" s="142"/>
      <c r="G820" s="1361">
        <f t="shared" si="156"/>
        <v>0</v>
      </c>
      <c r="H820" s="1362">
        <f t="shared" si="157"/>
        <v>570218</v>
      </c>
      <c r="I820" s="591"/>
    </row>
    <row r="821" spans="1:9" ht="15" customHeight="1" x14ac:dyDescent="0.35">
      <c r="A821" s="2978"/>
      <c r="B821" s="105">
        <v>53205030100000</v>
      </c>
      <c r="C821" s="1357" t="s">
        <v>123</v>
      </c>
      <c r="D821" s="960">
        <v>414834</v>
      </c>
      <c r="E821" s="141"/>
      <c r="F821" s="142"/>
      <c r="G821" s="1361">
        <f t="shared" si="156"/>
        <v>0</v>
      </c>
      <c r="H821" s="1362">
        <f t="shared" si="157"/>
        <v>414834</v>
      </c>
      <c r="I821" s="591"/>
    </row>
    <row r="822" spans="1:9" ht="15" customHeight="1" x14ac:dyDescent="0.35">
      <c r="A822" s="2978"/>
      <c r="B822" s="105">
        <v>53205050100000</v>
      </c>
      <c r="C822" s="1357" t="s">
        <v>124</v>
      </c>
      <c r="D822" s="960"/>
      <c r="E822" s="141"/>
      <c r="F822" s="142"/>
      <c r="G822" s="1361">
        <f t="shared" si="156"/>
        <v>0</v>
      </c>
      <c r="H822" s="1362">
        <f t="shared" si="157"/>
        <v>0</v>
      </c>
      <c r="I822" s="591"/>
    </row>
    <row r="823" spans="1:9" ht="15" customHeight="1" x14ac:dyDescent="0.35">
      <c r="A823" s="2978"/>
      <c r="B823" s="105">
        <v>53205060100000</v>
      </c>
      <c r="C823" s="1357" t="s">
        <v>125</v>
      </c>
      <c r="D823" s="960"/>
      <c r="E823" s="141"/>
      <c r="F823" s="142"/>
      <c r="G823" s="1361">
        <f t="shared" si="156"/>
        <v>0</v>
      </c>
      <c r="H823" s="1362">
        <f t="shared" si="157"/>
        <v>0</v>
      </c>
      <c r="I823" s="591"/>
    </row>
    <row r="824" spans="1:9" ht="15" customHeight="1" x14ac:dyDescent="0.35">
      <c r="A824" s="2978"/>
      <c r="B824" s="105">
        <v>53205070100000</v>
      </c>
      <c r="C824" s="1357" t="s">
        <v>126</v>
      </c>
      <c r="D824" s="960"/>
      <c r="E824" s="141"/>
      <c r="F824" s="142"/>
      <c r="G824" s="1361">
        <f t="shared" si="156"/>
        <v>0</v>
      </c>
      <c r="H824" s="1362">
        <f t="shared" si="157"/>
        <v>0</v>
      </c>
      <c r="I824" s="591"/>
    </row>
    <row r="825" spans="1:9" ht="15" customHeight="1" x14ac:dyDescent="0.35">
      <c r="A825" s="2978"/>
      <c r="B825" s="105">
        <v>53208010100000</v>
      </c>
      <c r="C825" s="1357" t="s">
        <v>127</v>
      </c>
      <c r="D825" s="960">
        <v>582519</v>
      </c>
      <c r="E825" s="141"/>
      <c r="F825" s="142"/>
      <c r="G825" s="1361">
        <f t="shared" si="156"/>
        <v>0</v>
      </c>
      <c r="H825" s="1362">
        <f t="shared" si="157"/>
        <v>582519</v>
      </c>
      <c r="I825" s="591"/>
    </row>
    <row r="826" spans="1:9" ht="15" customHeight="1" x14ac:dyDescent="0.35">
      <c r="A826" s="2978"/>
      <c r="B826" s="105">
        <v>53208070100001</v>
      </c>
      <c r="C826" s="1357" t="s">
        <v>128</v>
      </c>
      <c r="D826" s="960"/>
      <c r="E826" s="141"/>
      <c r="F826" s="142"/>
      <c r="G826" s="1361">
        <f t="shared" si="156"/>
        <v>0</v>
      </c>
      <c r="H826" s="1362">
        <f t="shared" si="157"/>
        <v>0</v>
      </c>
      <c r="I826" s="591"/>
    </row>
    <row r="827" spans="1:9" ht="15" customHeight="1" x14ac:dyDescent="0.35">
      <c r="A827" s="2978"/>
      <c r="B827" s="105">
        <v>53208100100001</v>
      </c>
      <c r="C827" s="1357" t="s">
        <v>129</v>
      </c>
      <c r="D827" s="960"/>
      <c r="E827" s="141"/>
      <c r="F827" s="142"/>
      <c r="G827" s="1361">
        <f t="shared" si="156"/>
        <v>0</v>
      </c>
      <c r="H827" s="1362">
        <f t="shared" si="157"/>
        <v>0</v>
      </c>
      <c r="I827" s="591"/>
    </row>
    <row r="828" spans="1:9" ht="15" customHeight="1" x14ac:dyDescent="0.35">
      <c r="A828" s="2978"/>
      <c r="B828" s="105">
        <v>53211030000000</v>
      </c>
      <c r="C828" s="1357" t="s">
        <v>130</v>
      </c>
      <c r="D828" s="960"/>
      <c r="E828" s="141"/>
      <c r="F828" s="142"/>
      <c r="G828" s="1361">
        <f t="shared" si="156"/>
        <v>0</v>
      </c>
      <c r="H828" s="1362">
        <f t="shared" si="157"/>
        <v>0</v>
      </c>
      <c r="I828" s="591"/>
    </row>
    <row r="829" spans="1:9" ht="15" customHeight="1" x14ac:dyDescent="0.35">
      <c r="A829" s="2978"/>
      <c r="B829" s="105">
        <v>53212020100000</v>
      </c>
      <c r="C829" s="1357" t="s">
        <v>131</v>
      </c>
      <c r="D829" s="960">
        <v>462000</v>
      </c>
      <c r="E829" s="141"/>
      <c r="F829" s="142"/>
      <c r="G829" s="1361">
        <f t="shared" si="156"/>
        <v>0</v>
      </c>
      <c r="H829" s="1362">
        <f t="shared" si="157"/>
        <v>462000</v>
      </c>
      <c r="I829" s="591"/>
    </row>
    <row r="830" spans="1:9" ht="15" customHeight="1" x14ac:dyDescent="0.35">
      <c r="A830" s="2978"/>
      <c r="B830" s="105">
        <v>53214020000000</v>
      </c>
      <c r="C830" s="1357" t="s">
        <v>132</v>
      </c>
      <c r="D830" s="960"/>
      <c r="E830" s="141"/>
      <c r="F830" s="142"/>
      <c r="G830" s="1361">
        <f t="shared" si="156"/>
        <v>0</v>
      </c>
      <c r="H830" s="1362">
        <f t="shared" si="157"/>
        <v>0</v>
      </c>
      <c r="I830" s="591"/>
    </row>
    <row r="831" spans="1:9" ht="15" customHeight="1" x14ac:dyDescent="0.35">
      <c r="A831" s="2978"/>
      <c r="B831" s="1347"/>
      <c r="C831" s="1348" t="s">
        <v>133</v>
      </c>
      <c r="D831" s="1365">
        <f>SUM(D832,D837,D840,D851,D861,D869)</f>
        <v>2930046</v>
      </c>
      <c r="E831" s="1350"/>
      <c r="F831" s="1350"/>
      <c r="G831" s="1366">
        <f>SUM(G832,G837,G840,G851,G861,G869)</f>
        <v>0</v>
      </c>
      <c r="H831" s="1042">
        <f>SUM(H832,H837,H840,H851,H861,H869)</f>
        <v>2930046</v>
      </c>
      <c r="I831" s="625"/>
    </row>
    <row r="832" spans="1:9" ht="15" customHeight="1" x14ac:dyDescent="0.35">
      <c r="A832" s="2978"/>
      <c r="B832" s="1043"/>
      <c r="C832" s="1352" t="s">
        <v>134</v>
      </c>
      <c r="D832" s="1353">
        <f>SUM(D833:D836)</f>
        <v>105000</v>
      </c>
      <c r="E832" s="1363"/>
      <c r="F832" s="1363"/>
      <c r="G832" s="1364">
        <f>SUM(G833:G836)</f>
        <v>0</v>
      </c>
      <c r="H832" s="1367">
        <f>SUM(H833:H836)</f>
        <v>105000</v>
      </c>
      <c r="I832" s="591"/>
    </row>
    <row r="833" spans="1:9" ht="15" customHeight="1" x14ac:dyDescent="0.35">
      <c r="A833" s="2978"/>
      <c r="B833" s="105">
        <v>53202020100000</v>
      </c>
      <c r="C833" s="1357" t="s">
        <v>135</v>
      </c>
      <c r="D833" s="960">
        <v>68250</v>
      </c>
      <c r="E833" s="141"/>
      <c r="F833" s="142"/>
      <c r="G833" s="1361">
        <f>E833*F833</f>
        <v>0</v>
      </c>
      <c r="H833" s="1362">
        <f>D833+G833</f>
        <v>68250</v>
      </c>
      <c r="I833" s="591"/>
    </row>
    <row r="834" spans="1:9" ht="15" customHeight="1" x14ac:dyDescent="0.35">
      <c r="A834" s="2978"/>
      <c r="B834" s="105">
        <v>53202030000000</v>
      </c>
      <c r="C834" s="1357" t="s">
        <v>136</v>
      </c>
      <c r="D834" s="960">
        <v>36750</v>
      </c>
      <c r="E834" s="141"/>
      <c r="F834" s="142"/>
      <c r="G834" s="1361">
        <f t="shared" ref="G834:G836" si="158">E834*F834</f>
        <v>0</v>
      </c>
      <c r="H834" s="1362">
        <f>D834+G834</f>
        <v>36750</v>
      </c>
      <c r="I834" s="591"/>
    </row>
    <row r="835" spans="1:9" ht="15" customHeight="1" x14ac:dyDescent="0.35">
      <c r="A835" s="2978"/>
      <c r="B835" s="105">
        <v>53211020000000</v>
      </c>
      <c r="C835" s="1357" t="s">
        <v>137</v>
      </c>
      <c r="D835" s="960"/>
      <c r="E835" s="141"/>
      <c r="F835" s="142"/>
      <c r="G835" s="1361">
        <f t="shared" si="158"/>
        <v>0</v>
      </c>
      <c r="H835" s="1362">
        <f>D835+G835</f>
        <v>0</v>
      </c>
      <c r="I835" s="591"/>
    </row>
    <row r="836" spans="1:9" ht="15" customHeight="1" x14ac:dyDescent="0.35">
      <c r="A836" s="2978"/>
      <c r="B836" s="105">
        <v>53101004030000</v>
      </c>
      <c r="C836" s="1357" t="s">
        <v>138</v>
      </c>
      <c r="D836" s="960"/>
      <c r="E836" s="141"/>
      <c r="F836" s="142"/>
      <c r="G836" s="1361">
        <f t="shared" si="158"/>
        <v>0</v>
      </c>
      <c r="H836" s="1362">
        <f>D836+G836</f>
        <v>0</v>
      </c>
      <c r="I836" s="591"/>
    </row>
    <row r="837" spans="1:9" ht="15" customHeight="1" x14ac:dyDescent="0.35">
      <c r="A837" s="2978"/>
      <c r="B837" s="1043"/>
      <c r="C837" s="1352" t="s">
        <v>139</v>
      </c>
      <c r="D837" s="1353">
        <f>SUM(D838:D839)</f>
        <v>730296</v>
      </c>
      <c r="E837" s="1363"/>
      <c r="F837" s="1363"/>
      <c r="G837" s="1364">
        <f>SUM(G838:G839)</f>
        <v>0</v>
      </c>
      <c r="H837" s="1367">
        <f>SUM(H838:H839)</f>
        <v>730296</v>
      </c>
      <c r="I837" s="591"/>
    </row>
    <row r="838" spans="1:9" ht="15" customHeight="1" x14ac:dyDescent="0.35">
      <c r="A838" s="2978"/>
      <c r="B838" s="105">
        <v>53205080000000</v>
      </c>
      <c r="C838" s="1357" t="s">
        <v>140</v>
      </c>
      <c r="D838" s="960">
        <v>730296</v>
      </c>
      <c r="E838" s="141"/>
      <c r="F838" s="142"/>
      <c r="G838" s="1361">
        <f t="shared" ref="G838:G839" si="159">E838*F838</f>
        <v>0</v>
      </c>
      <c r="H838" s="1362">
        <f>D838+G838</f>
        <v>730296</v>
      </c>
      <c r="I838" s="847" t="s">
        <v>813</v>
      </c>
    </row>
    <row r="839" spans="1:9" ht="15" customHeight="1" x14ac:dyDescent="0.35">
      <c r="A839" s="2978"/>
      <c r="B839" s="105">
        <v>53205990000000</v>
      </c>
      <c r="C839" s="1357" t="s">
        <v>141</v>
      </c>
      <c r="D839" s="960"/>
      <c r="E839" s="141"/>
      <c r="F839" s="142"/>
      <c r="G839" s="1361">
        <f t="shared" si="159"/>
        <v>0</v>
      </c>
      <c r="H839" s="1362">
        <f>D839+G839</f>
        <v>0</v>
      </c>
      <c r="I839" s="591"/>
    </row>
    <row r="840" spans="1:9" ht="15" customHeight="1" x14ac:dyDescent="0.35">
      <c r="A840" s="2978"/>
      <c r="B840" s="1043"/>
      <c r="C840" s="1352" t="s">
        <v>142</v>
      </c>
      <c r="D840" s="1353">
        <f>SUM(D841:D850)</f>
        <v>1274700</v>
      </c>
      <c r="E840" s="1363"/>
      <c r="F840" s="1363"/>
      <c r="G840" s="1355">
        <f>SUM(G841:G850)</f>
        <v>0</v>
      </c>
      <c r="H840" s="1026">
        <f>SUM(H841:H850)</f>
        <v>1274700</v>
      </c>
      <c r="I840" s="625"/>
    </row>
    <row r="841" spans="1:9" ht="15" customHeight="1" x14ac:dyDescent="0.35">
      <c r="A841" s="2978"/>
      <c r="B841" s="105">
        <v>53203010200000</v>
      </c>
      <c r="C841" s="1357" t="s">
        <v>143</v>
      </c>
      <c r="D841" s="960"/>
      <c r="E841" s="140"/>
      <c r="F841" s="142"/>
      <c r="G841" s="1361">
        <f t="shared" ref="G841:G850" si="160">E841*F841</f>
        <v>0</v>
      </c>
      <c r="H841" s="1362">
        <f t="shared" ref="H841:H850" si="161">D841+G841</f>
        <v>0</v>
      </c>
      <c r="I841" s="591"/>
    </row>
    <row r="842" spans="1:9" ht="15" customHeight="1" x14ac:dyDescent="0.35">
      <c r="A842" s="2978"/>
      <c r="B842" s="105">
        <v>53204010000000</v>
      </c>
      <c r="C842" s="1357" t="s">
        <v>144</v>
      </c>
      <c r="D842" s="960"/>
      <c r="E842" s="141"/>
      <c r="F842" s="142"/>
      <c r="G842" s="1361">
        <f t="shared" si="160"/>
        <v>0</v>
      </c>
      <c r="H842" s="1362">
        <f t="shared" si="161"/>
        <v>0</v>
      </c>
      <c r="I842" s="591"/>
    </row>
    <row r="843" spans="1:9" ht="15" customHeight="1" x14ac:dyDescent="0.35">
      <c r="A843" s="2978"/>
      <c r="B843" s="105">
        <v>53204040200000</v>
      </c>
      <c r="C843" s="1368" t="s">
        <v>145</v>
      </c>
      <c r="D843" s="960"/>
      <c r="E843" s="141"/>
      <c r="F843" s="142"/>
      <c r="G843" s="1361">
        <f t="shared" si="160"/>
        <v>0</v>
      </c>
      <c r="H843" s="1362">
        <f t="shared" si="161"/>
        <v>0</v>
      </c>
      <c r="I843" s="591"/>
    </row>
    <row r="844" spans="1:9" ht="15" customHeight="1" x14ac:dyDescent="0.35">
      <c r="A844" s="2978"/>
      <c r="B844" s="105">
        <v>53204060000000</v>
      </c>
      <c r="C844" s="1357" t="s">
        <v>146</v>
      </c>
      <c r="D844" s="960">
        <v>367500</v>
      </c>
      <c r="E844" s="141"/>
      <c r="F844" s="142"/>
      <c r="G844" s="1361">
        <f t="shared" si="160"/>
        <v>0</v>
      </c>
      <c r="H844" s="1362">
        <f t="shared" si="161"/>
        <v>367500</v>
      </c>
      <c r="I844" s="591"/>
    </row>
    <row r="845" spans="1:9" ht="15" customHeight="1" x14ac:dyDescent="0.35">
      <c r="A845" s="2978"/>
      <c r="B845" s="105">
        <v>53204070000000</v>
      </c>
      <c r="C845" s="1368" t="s">
        <v>147</v>
      </c>
      <c r="D845" s="960">
        <v>420000</v>
      </c>
      <c r="E845" s="141"/>
      <c r="F845" s="142"/>
      <c r="G845" s="1361">
        <f t="shared" si="160"/>
        <v>0</v>
      </c>
      <c r="H845" s="1362">
        <f t="shared" si="161"/>
        <v>420000</v>
      </c>
      <c r="I845" s="591"/>
    </row>
    <row r="846" spans="1:9" ht="15" customHeight="1" x14ac:dyDescent="0.35">
      <c r="A846" s="2978"/>
      <c r="B846" s="105">
        <v>53204080000000</v>
      </c>
      <c r="C846" s="1368" t="s">
        <v>148</v>
      </c>
      <c r="D846" s="960">
        <v>119700</v>
      </c>
      <c r="E846" s="141"/>
      <c r="F846" s="142"/>
      <c r="G846" s="1361">
        <f t="shared" si="160"/>
        <v>0</v>
      </c>
      <c r="H846" s="1362">
        <f t="shared" si="161"/>
        <v>119700</v>
      </c>
      <c r="I846" s="591"/>
    </row>
    <row r="847" spans="1:9" ht="15" customHeight="1" x14ac:dyDescent="0.35">
      <c r="A847" s="2978"/>
      <c r="B847" s="105">
        <v>53214010000000</v>
      </c>
      <c r="C847" s="1368" t="s">
        <v>149</v>
      </c>
      <c r="D847" s="960">
        <v>367500</v>
      </c>
      <c r="E847" s="141"/>
      <c r="F847" s="142"/>
      <c r="G847" s="1361">
        <f t="shared" si="160"/>
        <v>0</v>
      </c>
      <c r="H847" s="1362">
        <f t="shared" si="161"/>
        <v>367500</v>
      </c>
      <c r="I847" s="591"/>
    </row>
    <row r="848" spans="1:9" ht="15" customHeight="1" x14ac:dyDescent="0.35">
      <c r="A848" s="2978"/>
      <c r="B848" s="105">
        <v>53214040000000</v>
      </c>
      <c r="C848" s="1357" t="s">
        <v>150</v>
      </c>
      <c r="D848" s="960"/>
      <c r="E848" s="140"/>
      <c r="F848" s="142"/>
      <c r="G848" s="1361">
        <f t="shared" si="160"/>
        <v>0</v>
      </c>
      <c r="H848" s="1362">
        <f t="shared" si="161"/>
        <v>0</v>
      </c>
      <c r="I848" s="591"/>
    </row>
    <row r="849" spans="1:9" ht="15" customHeight="1" x14ac:dyDescent="0.35">
      <c r="A849" s="2978"/>
      <c r="B849" s="105">
        <v>55201010100004</v>
      </c>
      <c r="C849" s="1357" t="s">
        <v>151</v>
      </c>
      <c r="D849" s="960"/>
      <c r="E849" s="140"/>
      <c r="F849" s="142"/>
      <c r="G849" s="1361">
        <f t="shared" si="160"/>
        <v>0</v>
      </c>
      <c r="H849" s="1362">
        <f t="shared" si="161"/>
        <v>0</v>
      </c>
      <c r="I849" s="591"/>
    </row>
    <row r="850" spans="1:9" ht="15" customHeight="1" x14ac:dyDescent="0.35">
      <c r="A850" s="2978"/>
      <c r="B850" s="105">
        <v>55201010100005</v>
      </c>
      <c r="C850" s="1357" t="s">
        <v>152</v>
      </c>
      <c r="D850" s="960"/>
      <c r="E850" s="140"/>
      <c r="F850" s="142"/>
      <c r="G850" s="1361">
        <f t="shared" si="160"/>
        <v>0</v>
      </c>
      <c r="H850" s="1362">
        <f t="shared" si="161"/>
        <v>0</v>
      </c>
      <c r="I850" s="591"/>
    </row>
    <row r="851" spans="1:9" ht="15" customHeight="1" x14ac:dyDescent="0.35">
      <c r="A851" s="2978"/>
      <c r="B851" s="1043"/>
      <c r="C851" s="1352" t="s">
        <v>153</v>
      </c>
      <c r="D851" s="1353">
        <f>SUM(D852:D860)</f>
        <v>262500</v>
      </c>
      <c r="E851" s="1363"/>
      <c r="F851" s="1363"/>
      <c r="G851" s="1355">
        <f>SUM(G852:G860)</f>
        <v>0</v>
      </c>
      <c r="H851" s="1026">
        <f>SUM(H852:H860)</f>
        <v>262500</v>
      </c>
      <c r="I851" s="625"/>
    </row>
    <row r="852" spans="1:9" ht="15" customHeight="1" x14ac:dyDescent="0.35">
      <c r="A852" s="2978"/>
      <c r="B852" s="105">
        <v>53207010000000</v>
      </c>
      <c r="C852" s="1357" t="s">
        <v>154</v>
      </c>
      <c r="D852" s="960"/>
      <c r="E852" s="141"/>
      <c r="F852" s="142"/>
      <c r="G852" s="1361">
        <f t="shared" ref="G852:G860" si="162">E852*F852</f>
        <v>0</v>
      </c>
      <c r="H852" s="1362">
        <f t="shared" ref="H852:H860" si="163">D852+G852</f>
        <v>0</v>
      </c>
      <c r="I852" s="591"/>
    </row>
    <row r="853" spans="1:9" ht="15" customHeight="1" x14ac:dyDescent="0.35">
      <c r="A853" s="2978"/>
      <c r="B853" s="105">
        <v>53207020000000</v>
      </c>
      <c r="C853" s="1357" t="s">
        <v>155</v>
      </c>
      <c r="D853" s="960"/>
      <c r="E853" s="141"/>
      <c r="F853" s="142"/>
      <c r="G853" s="1361">
        <f t="shared" si="162"/>
        <v>0</v>
      </c>
      <c r="H853" s="1362">
        <f t="shared" si="163"/>
        <v>0</v>
      </c>
      <c r="I853" s="591"/>
    </row>
    <row r="854" spans="1:9" ht="15" customHeight="1" x14ac:dyDescent="0.35">
      <c r="A854" s="2978"/>
      <c r="B854" s="105">
        <v>53208020000000</v>
      </c>
      <c r="C854" s="1357" t="s">
        <v>156</v>
      </c>
      <c r="D854" s="960"/>
      <c r="E854" s="141"/>
      <c r="F854" s="142"/>
      <c r="G854" s="1361">
        <f t="shared" si="162"/>
        <v>0</v>
      </c>
      <c r="H854" s="1362">
        <f t="shared" si="163"/>
        <v>0</v>
      </c>
      <c r="I854" s="591"/>
    </row>
    <row r="855" spans="1:9" ht="15" customHeight="1" x14ac:dyDescent="0.35">
      <c r="A855" s="2978"/>
      <c r="B855" s="105">
        <v>53208990000000</v>
      </c>
      <c r="C855" s="1357" t="s">
        <v>157</v>
      </c>
      <c r="D855" s="960">
        <v>262500</v>
      </c>
      <c r="E855" s="141"/>
      <c r="F855" s="142"/>
      <c r="G855" s="1361">
        <f t="shared" si="162"/>
        <v>0</v>
      </c>
      <c r="H855" s="1362">
        <f t="shared" si="163"/>
        <v>262500</v>
      </c>
      <c r="I855" s="2049" t="s">
        <v>1108</v>
      </c>
    </row>
    <row r="856" spans="1:9" ht="15" customHeight="1" x14ac:dyDescent="0.35">
      <c r="A856" s="2978"/>
      <c r="B856" s="105">
        <v>53209010000000</v>
      </c>
      <c r="C856" s="1357" t="s">
        <v>158</v>
      </c>
      <c r="D856" s="960"/>
      <c r="E856" s="141"/>
      <c r="F856" s="142"/>
      <c r="G856" s="1361">
        <f t="shared" si="162"/>
        <v>0</v>
      </c>
      <c r="H856" s="1362">
        <f t="shared" si="163"/>
        <v>0</v>
      </c>
      <c r="I856" s="591"/>
    </row>
    <row r="857" spans="1:9" ht="15" customHeight="1" x14ac:dyDescent="0.35">
      <c r="A857" s="2978"/>
      <c r="B857" s="105">
        <v>53209040000000</v>
      </c>
      <c r="C857" s="1357" t="s">
        <v>159</v>
      </c>
      <c r="D857" s="960"/>
      <c r="E857" s="141"/>
      <c r="F857" s="142"/>
      <c r="G857" s="1361">
        <f t="shared" si="162"/>
        <v>0</v>
      </c>
      <c r="H857" s="1362">
        <f t="shared" si="163"/>
        <v>0</v>
      </c>
      <c r="I857" s="591"/>
    </row>
    <row r="858" spans="1:9" ht="15" customHeight="1" x14ac:dyDescent="0.35">
      <c r="A858" s="2978"/>
      <c r="B858" s="105">
        <v>53209050000000</v>
      </c>
      <c r="C858" s="1357" t="s">
        <v>160</v>
      </c>
      <c r="D858" s="960"/>
      <c r="E858" s="141"/>
      <c r="F858" s="142"/>
      <c r="G858" s="1361">
        <f t="shared" si="162"/>
        <v>0</v>
      </c>
      <c r="H858" s="1362">
        <f t="shared" si="163"/>
        <v>0</v>
      </c>
      <c r="I858" s="591"/>
    </row>
    <row r="859" spans="1:9" ht="15" customHeight="1" x14ac:dyDescent="0.35">
      <c r="A859" s="2978"/>
      <c r="B859" s="105">
        <v>53209990000000</v>
      </c>
      <c r="C859" s="1357" t="s">
        <v>161</v>
      </c>
      <c r="D859" s="960"/>
      <c r="E859" s="141"/>
      <c r="F859" s="142"/>
      <c r="G859" s="1361">
        <f t="shared" si="162"/>
        <v>0</v>
      </c>
      <c r="H859" s="1362">
        <f t="shared" si="163"/>
        <v>0</v>
      </c>
      <c r="I859" s="591"/>
    </row>
    <row r="860" spans="1:9" ht="15" customHeight="1" x14ac:dyDescent="0.35">
      <c r="A860" s="2978"/>
      <c r="B860" s="105">
        <v>53210020100000</v>
      </c>
      <c r="C860" s="1357" t="s">
        <v>162</v>
      </c>
      <c r="D860" s="960"/>
      <c r="E860" s="141"/>
      <c r="F860" s="142"/>
      <c r="G860" s="1361">
        <f t="shared" si="162"/>
        <v>0</v>
      </c>
      <c r="H860" s="1362">
        <f t="shared" si="163"/>
        <v>0</v>
      </c>
      <c r="I860" s="591"/>
    </row>
    <row r="861" spans="1:9" ht="15" customHeight="1" x14ac:dyDescent="0.35">
      <c r="A861" s="2978"/>
      <c r="B861" s="1043"/>
      <c r="C861" s="1352" t="s">
        <v>163</v>
      </c>
      <c r="D861" s="1353">
        <f>SUM(D862:D868)</f>
        <v>557550</v>
      </c>
      <c r="E861" s="1363"/>
      <c r="F861" s="1363"/>
      <c r="G861" s="1355">
        <f>SUM(G862:G868)</f>
        <v>0</v>
      </c>
      <c r="H861" s="1026">
        <f>SUM(H862:H868)</f>
        <v>557550</v>
      </c>
      <c r="I861" s="625"/>
    </row>
    <row r="862" spans="1:9" ht="15" customHeight="1" x14ac:dyDescent="0.35">
      <c r="A862" s="2978"/>
      <c r="B862" s="105">
        <v>53206030000000</v>
      </c>
      <c r="C862" s="1357" t="s">
        <v>164</v>
      </c>
      <c r="D862" s="960"/>
      <c r="E862" s="141"/>
      <c r="F862" s="142"/>
      <c r="G862" s="1361">
        <f t="shared" ref="G862:G868" si="164">E862*F862</f>
        <v>0</v>
      </c>
      <c r="H862" s="1362">
        <f t="shared" ref="H862:H868" si="165">D862+G862</f>
        <v>0</v>
      </c>
      <c r="I862" s="591"/>
    </row>
    <row r="863" spans="1:9" ht="15" customHeight="1" x14ac:dyDescent="0.35">
      <c r="A863" s="2978"/>
      <c r="B863" s="105">
        <v>53206040000000</v>
      </c>
      <c r="C863" s="1357" t="s">
        <v>165</v>
      </c>
      <c r="D863" s="960"/>
      <c r="E863" s="141"/>
      <c r="F863" s="142"/>
      <c r="G863" s="1361">
        <f t="shared" si="164"/>
        <v>0</v>
      </c>
      <c r="H863" s="1362">
        <f t="shared" si="165"/>
        <v>0</v>
      </c>
      <c r="I863" s="591"/>
    </row>
    <row r="864" spans="1:9" ht="15" customHeight="1" x14ac:dyDescent="0.35">
      <c r="A864" s="2978"/>
      <c r="B864" s="105">
        <v>53206060000000</v>
      </c>
      <c r="C864" s="1357" t="s">
        <v>166</v>
      </c>
      <c r="D864" s="960">
        <v>557550</v>
      </c>
      <c r="E864" s="141"/>
      <c r="F864" s="142"/>
      <c r="G864" s="1361">
        <f t="shared" si="164"/>
        <v>0</v>
      </c>
      <c r="H864" s="1362">
        <f t="shared" si="165"/>
        <v>557550</v>
      </c>
      <c r="I864" s="591"/>
    </row>
    <row r="865" spans="1:9" ht="15" customHeight="1" x14ac:dyDescent="0.35">
      <c r="A865" s="2978"/>
      <c r="B865" s="105">
        <v>53206070000000</v>
      </c>
      <c r="C865" s="1357" t="s">
        <v>167</v>
      </c>
      <c r="D865" s="960"/>
      <c r="E865" s="141"/>
      <c r="F865" s="142"/>
      <c r="G865" s="1361">
        <f t="shared" si="164"/>
        <v>0</v>
      </c>
      <c r="H865" s="1362">
        <f t="shared" si="165"/>
        <v>0</v>
      </c>
      <c r="I865" s="591"/>
    </row>
    <row r="866" spans="1:9" ht="15" customHeight="1" x14ac:dyDescent="0.35">
      <c r="A866" s="2978"/>
      <c r="B866" s="105">
        <v>53206990000000</v>
      </c>
      <c r="C866" s="1357" t="s">
        <v>168</v>
      </c>
      <c r="D866" s="960"/>
      <c r="E866" s="141"/>
      <c r="F866" s="142"/>
      <c r="G866" s="1361">
        <f t="shared" si="164"/>
        <v>0</v>
      </c>
      <c r="H866" s="1362">
        <f t="shared" si="165"/>
        <v>0</v>
      </c>
      <c r="I866" s="591"/>
    </row>
    <row r="867" spans="1:9" ht="15" customHeight="1" x14ac:dyDescent="0.35">
      <c r="A867" s="2978"/>
      <c r="B867" s="105">
        <v>53208030000000</v>
      </c>
      <c r="C867" s="1357" t="s">
        <v>169</v>
      </c>
      <c r="D867" s="960"/>
      <c r="E867" s="141"/>
      <c r="F867" s="142"/>
      <c r="G867" s="1361">
        <f t="shared" si="164"/>
        <v>0</v>
      </c>
      <c r="H867" s="1362">
        <f t="shared" si="165"/>
        <v>0</v>
      </c>
      <c r="I867" s="591"/>
    </row>
    <row r="868" spans="1:9" ht="15" customHeight="1" x14ac:dyDescent="0.35">
      <c r="A868" s="2978"/>
      <c r="B868" s="105">
        <v>53212060000000</v>
      </c>
      <c r="C868" s="1357" t="s">
        <v>170</v>
      </c>
      <c r="D868" s="960"/>
      <c r="E868" s="140"/>
      <c r="F868" s="142"/>
      <c r="G868" s="1361">
        <f t="shared" si="164"/>
        <v>0</v>
      </c>
      <c r="H868" s="1362">
        <f t="shared" si="165"/>
        <v>0</v>
      </c>
      <c r="I868" s="591"/>
    </row>
    <row r="869" spans="1:9" ht="15" customHeight="1" x14ac:dyDescent="0.35">
      <c r="A869" s="2978"/>
      <c r="B869" s="1043"/>
      <c r="C869" s="1352" t="s">
        <v>171</v>
      </c>
      <c r="D869" s="1353">
        <f>SUM(D870:D871)</f>
        <v>0</v>
      </c>
      <c r="E869" s="1363"/>
      <c r="F869" s="1363"/>
      <c r="G869" s="1355">
        <f>SUM(G870:G871)</f>
        <v>0</v>
      </c>
      <c r="H869" s="1026">
        <f>SUM(H870:H871)</f>
        <v>0</v>
      </c>
      <c r="I869" s="625"/>
    </row>
    <row r="870" spans="1:9" ht="15" customHeight="1" x14ac:dyDescent="0.35">
      <c r="A870" s="2978"/>
      <c r="B870" s="105">
        <v>53210020500000</v>
      </c>
      <c r="C870" s="1357" t="s">
        <v>172</v>
      </c>
      <c r="D870" s="960"/>
      <c r="E870" s="140"/>
      <c r="F870" s="142"/>
      <c r="G870" s="1361">
        <f t="shared" ref="G870:G871" si="166">E870*F870</f>
        <v>0</v>
      </c>
      <c r="H870" s="1369">
        <f>D870+G870</f>
        <v>0</v>
      </c>
      <c r="I870" s="591"/>
    </row>
    <row r="871" spans="1:9" ht="15" customHeight="1" x14ac:dyDescent="0.35">
      <c r="A871" s="2978"/>
      <c r="B871" s="1053">
        <v>53204999000000</v>
      </c>
      <c r="C871" s="1035" t="s">
        <v>173</v>
      </c>
      <c r="D871" s="960"/>
      <c r="E871" s="141"/>
      <c r="F871" s="142"/>
      <c r="G871" s="1036">
        <f t="shared" si="166"/>
        <v>0</v>
      </c>
      <c r="H871" s="1369">
        <f>D871+G871</f>
        <v>0</v>
      </c>
      <c r="I871" s="591"/>
    </row>
    <row r="872" spans="1:9" ht="15" customHeight="1" x14ac:dyDescent="0.35">
      <c r="A872" s="2979"/>
      <c r="B872" s="1370"/>
      <c r="C872" s="1371" t="s">
        <v>12</v>
      </c>
      <c r="D872" s="1372">
        <f>SUM(D803,D831)</f>
        <v>11319184</v>
      </c>
      <c r="E872" s="1373"/>
      <c r="F872" s="1373"/>
      <c r="G872" s="1372">
        <f>SUM(G803,G831)</f>
        <v>0</v>
      </c>
      <c r="H872" s="1374">
        <f>SUM(H803,H831)</f>
        <v>11319184</v>
      </c>
      <c r="I872" s="625"/>
    </row>
    <row r="873" spans="1:9" ht="15" customHeight="1" x14ac:dyDescent="0.35">
      <c r="A873" s="3056" t="s">
        <v>21</v>
      </c>
      <c r="B873" s="3057" t="s">
        <v>97</v>
      </c>
      <c r="C873" s="3058" t="s">
        <v>98</v>
      </c>
      <c r="D873" s="3059" t="s">
        <v>99</v>
      </c>
      <c r="E873" s="3060" t="s">
        <v>100</v>
      </c>
      <c r="F873" s="3060"/>
      <c r="G873" s="3060"/>
      <c r="H873" s="3061" t="str">
        <f>+H801</f>
        <v>COSTO DIRECTO ESTIMADO 2026</v>
      </c>
      <c r="I873" s="2987" t="s">
        <v>101</v>
      </c>
    </row>
    <row r="874" spans="1:9" ht="38.25" customHeight="1" x14ac:dyDescent="0.35">
      <c r="A874" s="2967"/>
      <c r="B874" s="2981"/>
      <c r="C874" s="2999"/>
      <c r="D874" s="3001"/>
      <c r="E874" s="1121" t="s">
        <v>102</v>
      </c>
      <c r="F874" s="117" t="s">
        <v>103</v>
      </c>
      <c r="G874" s="1122" t="s">
        <v>104</v>
      </c>
      <c r="H874" s="2993"/>
      <c r="I874" s="2987"/>
    </row>
    <row r="875" spans="1:9" ht="15" customHeight="1" x14ac:dyDescent="0.35">
      <c r="A875" s="3062" t="str">
        <f>+'B) Reajuste Tarifas y Ocupación'!A90</f>
        <v>Residencia Universitaria Las Salinas</v>
      </c>
      <c r="B875" s="1375"/>
      <c r="C875" s="1376" t="s">
        <v>105</v>
      </c>
      <c r="D875" s="1377">
        <f>SUM(D876,D881,D883)</f>
        <v>1866733.05</v>
      </c>
      <c r="E875" s="1378"/>
      <c r="F875" s="1378"/>
      <c r="G875" s="1377">
        <f>SUM(G876,G881,G883)</f>
        <v>0</v>
      </c>
      <c r="H875" s="1379">
        <f>SUM(H876,H881,H883)</f>
        <v>1866733.05</v>
      </c>
      <c r="I875" s="626"/>
    </row>
    <row r="876" spans="1:9" ht="15" customHeight="1" x14ac:dyDescent="0.35">
      <c r="A876" s="2978"/>
      <c r="B876" s="1043"/>
      <c r="C876" s="1380" t="s">
        <v>106</v>
      </c>
      <c r="D876" s="1381">
        <f>SUM(D877:D880)</f>
        <v>0</v>
      </c>
      <c r="E876" s="1382"/>
      <c r="F876" s="1382"/>
      <c r="G876" s="1383">
        <f>SUM(G877:G880)</f>
        <v>0</v>
      </c>
      <c r="H876" s="1384">
        <f>SUM(H877:H880)</f>
        <v>0</v>
      </c>
      <c r="I876" s="626"/>
    </row>
    <row r="877" spans="1:9" ht="15" customHeight="1" x14ac:dyDescent="0.35">
      <c r="A877" s="2978"/>
      <c r="B877" s="105">
        <v>53103040100000</v>
      </c>
      <c r="C877" s="1385" t="s">
        <v>107</v>
      </c>
      <c r="D877" s="1386">
        <f>+'F) Remuneraciones'!M278</f>
        <v>0</v>
      </c>
      <c r="E877" s="1387"/>
      <c r="F877" s="1387"/>
      <c r="G877" s="1387"/>
      <c r="H877" s="1388">
        <f>D877+G877</f>
        <v>0</v>
      </c>
      <c r="I877" s="626"/>
    </row>
    <row r="878" spans="1:9" ht="15" customHeight="1" x14ac:dyDescent="0.35">
      <c r="A878" s="2978"/>
      <c r="B878" s="105">
        <v>53103050000000</v>
      </c>
      <c r="C878" s="1385" t="s">
        <v>108</v>
      </c>
      <c r="D878" s="932"/>
      <c r="E878" s="144"/>
      <c r="F878" s="145"/>
      <c r="G878" s="1389">
        <f>E878*F878</f>
        <v>0</v>
      </c>
      <c r="H878" s="1076">
        <f>D878+G878</f>
        <v>0</v>
      </c>
      <c r="I878" s="626"/>
    </row>
    <row r="879" spans="1:9" ht="15" customHeight="1" x14ac:dyDescent="0.35">
      <c r="A879" s="2978"/>
      <c r="B879" s="105">
        <v>53103060000000</v>
      </c>
      <c r="C879" s="1385" t="s">
        <v>109</v>
      </c>
      <c r="D879" s="932"/>
      <c r="E879" s="144"/>
      <c r="F879" s="145"/>
      <c r="G879" s="1389">
        <f t="shared" ref="G879:G880" si="167">E879*F879</f>
        <v>0</v>
      </c>
      <c r="H879" s="1390">
        <f>D879+G879</f>
        <v>0</v>
      </c>
      <c r="I879" s="591"/>
    </row>
    <row r="880" spans="1:9" ht="15" customHeight="1" x14ac:dyDescent="0.35">
      <c r="A880" s="2978"/>
      <c r="B880" s="105">
        <v>53103080010000</v>
      </c>
      <c r="C880" s="1385" t="s">
        <v>110</v>
      </c>
      <c r="D880" s="932"/>
      <c r="E880" s="144"/>
      <c r="F880" s="145"/>
      <c r="G880" s="1389">
        <f t="shared" si="167"/>
        <v>0</v>
      </c>
      <c r="H880" s="1390">
        <f>D880+G880</f>
        <v>0</v>
      </c>
      <c r="I880" s="591"/>
    </row>
    <row r="881" spans="1:9" ht="15" customHeight="1" x14ac:dyDescent="0.35">
      <c r="A881" s="2978"/>
      <c r="B881" s="1043"/>
      <c r="C881" s="1380" t="s">
        <v>111</v>
      </c>
      <c r="D881" s="1381">
        <f>SUM(D882)</f>
        <v>0</v>
      </c>
      <c r="E881" s="1391"/>
      <c r="F881" s="1391"/>
      <c r="G881" s="1392">
        <f>SUM(G882:G882)</f>
        <v>0</v>
      </c>
      <c r="H881" s="1026">
        <f>SUM(H882:H882)</f>
        <v>0</v>
      </c>
      <c r="I881" s="626"/>
    </row>
    <row r="882" spans="1:9" ht="15" customHeight="1" x14ac:dyDescent="0.35">
      <c r="A882" s="2978"/>
      <c r="B882" s="105">
        <v>55201010100001</v>
      </c>
      <c r="C882" s="1385" t="s">
        <v>112</v>
      </c>
      <c r="D882" s="932"/>
      <c r="E882" s="144"/>
      <c r="F882" s="145"/>
      <c r="G882" s="1389">
        <f t="shared" ref="G882" si="168">E882*F882</f>
        <v>0</v>
      </c>
      <c r="H882" s="1390">
        <f>D882+G882</f>
        <v>0</v>
      </c>
      <c r="I882" s="591"/>
    </row>
    <row r="883" spans="1:9" ht="15" customHeight="1" x14ac:dyDescent="0.35">
      <c r="A883" s="2978"/>
      <c r="B883" s="1043"/>
      <c r="C883" s="1380" t="s">
        <v>113</v>
      </c>
      <c r="D883" s="1381">
        <f>SUM(D884:D902)</f>
        <v>1866733.05</v>
      </c>
      <c r="E883" s="1391"/>
      <c r="F883" s="1391"/>
      <c r="G883" s="1383">
        <f>SUM(G884:G902)</f>
        <v>0</v>
      </c>
      <c r="H883" s="1026">
        <f>SUM(H884:H902)</f>
        <v>1866733.05</v>
      </c>
      <c r="I883" s="626"/>
    </row>
    <row r="884" spans="1:9" ht="15" customHeight="1" x14ac:dyDescent="0.35">
      <c r="A884" s="2978"/>
      <c r="B884" s="105">
        <v>53201010100000</v>
      </c>
      <c r="C884" s="1385" t="s">
        <v>114</v>
      </c>
      <c r="D884" s="932"/>
      <c r="E884" s="144"/>
      <c r="F884" s="145"/>
      <c r="G884" s="1389">
        <f t="shared" ref="G884:G902" si="169">E884*F884</f>
        <v>0</v>
      </c>
      <c r="H884" s="1390">
        <f t="shared" ref="H884:H902" si="170">D884+G884</f>
        <v>0</v>
      </c>
      <c r="I884" s="591"/>
    </row>
    <row r="885" spans="1:9" ht="15" customHeight="1" x14ac:dyDescent="0.35">
      <c r="A885" s="2978"/>
      <c r="B885" s="105">
        <v>53202010100000</v>
      </c>
      <c r="C885" s="1385" t="s">
        <v>115</v>
      </c>
      <c r="D885" s="932">
        <v>344400</v>
      </c>
      <c r="E885" s="144"/>
      <c r="F885" s="145"/>
      <c r="G885" s="1389">
        <f t="shared" si="169"/>
        <v>0</v>
      </c>
      <c r="H885" s="1390">
        <f t="shared" si="170"/>
        <v>344400</v>
      </c>
      <c r="I885" s="591"/>
    </row>
    <row r="886" spans="1:9" ht="15" customHeight="1" x14ac:dyDescent="0.35">
      <c r="A886" s="2978"/>
      <c r="B886" s="105">
        <v>53203010100000</v>
      </c>
      <c r="C886" s="1385" t="s">
        <v>116</v>
      </c>
      <c r="D886" s="932"/>
      <c r="E886" s="144"/>
      <c r="F886" s="145"/>
      <c r="G886" s="1389">
        <f t="shared" si="169"/>
        <v>0</v>
      </c>
      <c r="H886" s="1390">
        <f t="shared" si="170"/>
        <v>0</v>
      </c>
      <c r="I886" s="591"/>
    </row>
    <row r="887" spans="1:9" ht="15" customHeight="1" x14ac:dyDescent="0.35">
      <c r="A887" s="2978"/>
      <c r="B887" s="105">
        <v>53203030000000</v>
      </c>
      <c r="C887" s="1385" t="s">
        <v>117</v>
      </c>
      <c r="D887" s="932"/>
      <c r="E887" s="144"/>
      <c r="F887" s="145"/>
      <c r="G887" s="1389">
        <f t="shared" si="169"/>
        <v>0</v>
      </c>
      <c r="H887" s="1390">
        <f t="shared" si="170"/>
        <v>0</v>
      </c>
      <c r="I887" s="591"/>
    </row>
    <row r="888" spans="1:9" ht="15" customHeight="1" x14ac:dyDescent="0.35">
      <c r="A888" s="2978"/>
      <c r="B888" s="105">
        <v>53204030000000</v>
      </c>
      <c r="C888" s="1385" t="s">
        <v>118</v>
      </c>
      <c r="D888" s="932"/>
      <c r="E888" s="144"/>
      <c r="F888" s="145"/>
      <c r="G888" s="1389">
        <f t="shared" si="169"/>
        <v>0</v>
      </c>
      <c r="H888" s="1390">
        <f t="shared" si="170"/>
        <v>0</v>
      </c>
      <c r="I888" s="591"/>
    </row>
    <row r="889" spans="1:9" ht="15" customHeight="1" x14ac:dyDescent="0.35">
      <c r="A889" s="2978"/>
      <c r="B889" s="105">
        <v>53204100100001</v>
      </c>
      <c r="C889" s="1385" t="s">
        <v>119</v>
      </c>
      <c r="D889" s="932">
        <v>577500</v>
      </c>
      <c r="E889" s="144"/>
      <c r="F889" s="145"/>
      <c r="G889" s="1389">
        <f t="shared" si="169"/>
        <v>0</v>
      </c>
      <c r="H889" s="1390">
        <f t="shared" si="170"/>
        <v>577500</v>
      </c>
      <c r="I889" s="591"/>
    </row>
    <row r="890" spans="1:9" ht="15" customHeight="1" x14ac:dyDescent="0.35">
      <c r="A890" s="2978"/>
      <c r="B890" s="105">
        <v>53204130100000</v>
      </c>
      <c r="C890" s="1385" t="s">
        <v>120</v>
      </c>
      <c r="D890" s="932">
        <v>63000</v>
      </c>
      <c r="E890" s="144"/>
      <c r="F890" s="145"/>
      <c r="G890" s="1389">
        <f t="shared" si="169"/>
        <v>0</v>
      </c>
      <c r="H890" s="1390">
        <f t="shared" si="170"/>
        <v>63000</v>
      </c>
      <c r="I890" s="591"/>
    </row>
    <row r="891" spans="1:9" x14ac:dyDescent="0.35">
      <c r="A891" s="2978"/>
      <c r="B891" s="105">
        <v>53205010100000</v>
      </c>
      <c r="C891" s="1385" t="s">
        <v>121</v>
      </c>
      <c r="D891" s="932"/>
      <c r="E891" s="144"/>
      <c r="F891" s="145"/>
      <c r="G891" s="1389">
        <f t="shared" si="169"/>
        <v>0</v>
      </c>
      <c r="H891" s="1390">
        <f t="shared" si="170"/>
        <v>0</v>
      </c>
      <c r="I891" s="591"/>
    </row>
    <row r="892" spans="1:9" ht="15" customHeight="1" x14ac:dyDescent="0.35">
      <c r="A892" s="2978"/>
      <c r="B892" s="105">
        <v>53205020100000</v>
      </c>
      <c r="C892" s="1385" t="s">
        <v>122</v>
      </c>
      <c r="D892" s="932"/>
      <c r="E892" s="144"/>
      <c r="F892" s="145"/>
      <c r="G892" s="1389">
        <f t="shared" si="169"/>
        <v>0</v>
      </c>
      <c r="H892" s="1390">
        <f t="shared" si="170"/>
        <v>0</v>
      </c>
      <c r="I892" s="591"/>
    </row>
    <row r="893" spans="1:9" ht="15" customHeight="1" x14ac:dyDescent="0.35">
      <c r="A893" s="2978"/>
      <c r="B893" s="105">
        <v>53205030100000</v>
      </c>
      <c r="C893" s="1385" t="s">
        <v>123</v>
      </c>
      <c r="D893" s="932"/>
      <c r="E893" s="144"/>
      <c r="F893" s="145"/>
      <c r="G893" s="1389">
        <f t="shared" si="169"/>
        <v>0</v>
      </c>
      <c r="H893" s="1390">
        <f t="shared" si="170"/>
        <v>0</v>
      </c>
      <c r="I893" s="591"/>
    </row>
    <row r="894" spans="1:9" ht="15" customHeight="1" x14ac:dyDescent="0.35">
      <c r="A894" s="2978"/>
      <c r="B894" s="105">
        <v>53205050100000</v>
      </c>
      <c r="C894" s="1385" t="s">
        <v>124</v>
      </c>
      <c r="D894" s="932"/>
      <c r="E894" s="144"/>
      <c r="F894" s="145"/>
      <c r="G894" s="1389">
        <f t="shared" si="169"/>
        <v>0</v>
      </c>
      <c r="H894" s="1390">
        <f t="shared" si="170"/>
        <v>0</v>
      </c>
      <c r="I894" s="591"/>
    </row>
    <row r="895" spans="1:9" ht="15" customHeight="1" x14ac:dyDescent="0.35">
      <c r="A895" s="2978"/>
      <c r="B895" s="105">
        <v>53205060100000</v>
      </c>
      <c r="C895" s="1385" t="s">
        <v>125</v>
      </c>
      <c r="D895" s="932"/>
      <c r="E895" s="144"/>
      <c r="F895" s="145"/>
      <c r="G895" s="1389">
        <f t="shared" si="169"/>
        <v>0</v>
      </c>
      <c r="H895" s="1390">
        <f t="shared" si="170"/>
        <v>0</v>
      </c>
      <c r="I895" s="591"/>
    </row>
    <row r="896" spans="1:9" ht="15" customHeight="1" x14ac:dyDescent="0.35">
      <c r="A896" s="2978"/>
      <c r="B896" s="105">
        <v>53205070100000</v>
      </c>
      <c r="C896" s="1385" t="s">
        <v>126</v>
      </c>
      <c r="D896" s="932"/>
      <c r="E896" s="144"/>
      <c r="F896" s="145"/>
      <c r="G896" s="1389">
        <f t="shared" si="169"/>
        <v>0</v>
      </c>
      <c r="H896" s="1390">
        <f t="shared" si="170"/>
        <v>0</v>
      </c>
      <c r="I896" s="591"/>
    </row>
    <row r="897" spans="1:9" ht="15" customHeight="1" x14ac:dyDescent="0.35">
      <c r="A897" s="2978"/>
      <c r="B897" s="105">
        <v>53208010100000</v>
      </c>
      <c r="C897" s="1385" t="s">
        <v>127</v>
      </c>
      <c r="D897" s="932">
        <v>503833.05000000005</v>
      </c>
      <c r="E897" s="144"/>
      <c r="F897" s="145"/>
      <c r="G897" s="1389">
        <f t="shared" si="169"/>
        <v>0</v>
      </c>
      <c r="H897" s="1390">
        <f t="shared" si="170"/>
        <v>503833.05000000005</v>
      </c>
      <c r="I897" s="591"/>
    </row>
    <row r="898" spans="1:9" ht="15" customHeight="1" x14ac:dyDescent="0.35">
      <c r="A898" s="2978"/>
      <c r="B898" s="105">
        <v>53208070100001</v>
      </c>
      <c r="C898" s="1385" t="s">
        <v>128</v>
      </c>
      <c r="D898" s="932"/>
      <c r="E898" s="144"/>
      <c r="F898" s="145"/>
      <c r="G898" s="1389">
        <f t="shared" si="169"/>
        <v>0</v>
      </c>
      <c r="H898" s="1390">
        <f t="shared" si="170"/>
        <v>0</v>
      </c>
      <c r="I898" s="591"/>
    </row>
    <row r="899" spans="1:9" ht="15" customHeight="1" x14ac:dyDescent="0.35">
      <c r="A899" s="2978"/>
      <c r="B899" s="105">
        <v>53208100100001</v>
      </c>
      <c r="C899" s="1385" t="s">
        <v>129</v>
      </c>
      <c r="D899" s="932"/>
      <c r="E899" s="144"/>
      <c r="F899" s="145"/>
      <c r="G899" s="1389">
        <f t="shared" si="169"/>
        <v>0</v>
      </c>
      <c r="H899" s="1390">
        <f t="shared" si="170"/>
        <v>0</v>
      </c>
      <c r="I899" s="591"/>
    </row>
    <row r="900" spans="1:9" ht="15" customHeight="1" x14ac:dyDescent="0.35">
      <c r="A900" s="2978"/>
      <c r="B900" s="105">
        <v>53211030000000</v>
      </c>
      <c r="C900" s="1385" t="s">
        <v>130</v>
      </c>
      <c r="D900" s="932"/>
      <c r="E900" s="144"/>
      <c r="F900" s="145"/>
      <c r="G900" s="1389">
        <f t="shared" si="169"/>
        <v>0</v>
      </c>
      <c r="H900" s="1390">
        <f t="shared" si="170"/>
        <v>0</v>
      </c>
      <c r="I900" s="591"/>
    </row>
    <row r="901" spans="1:9" ht="15" customHeight="1" x14ac:dyDescent="0.35">
      <c r="A901" s="2978"/>
      <c r="B901" s="105">
        <v>53212020100000</v>
      </c>
      <c r="C901" s="1385" t="s">
        <v>131</v>
      </c>
      <c r="D901" s="932">
        <v>378000</v>
      </c>
      <c r="E901" s="144"/>
      <c r="F901" s="145"/>
      <c r="G901" s="1389">
        <f t="shared" si="169"/>
        <v>0</v>
      </c>
      <c r="H901" s="1390">
        <f t="shared" si="170"/>
        <v>378000</v>
      </c>
      <c r="I901" s="591"/>
    </row>
    <row r="902" spans="1:9" ht="15" customHeight="1" x14ac:dyDescent="0.35">
      <c r="A902" s="2978"/>
      <c r="B902" s="105">
        <v>53214020000000</v>
      </c>
      <c r="C902" s="1385" t="s">
        <v>132</v>
      </c>
      <c r="D902" s="932"/>
      <c r="E902" s="144"/>
      <c r="F902" s="145"/>
      <c r="G902" s="1389">
        <f t="shared" si="169"/>
        <v>0</v>
      </c>
      <c r="H902" s="1390">
        <f t="shared" si="170"/>
        <v>0</v>
      </c>
      <c r="I902" s="591"/>
    </row>
    <row r="903" spans="1:9" ht="15" customHeight="1" x14ac:dyDescent="0.35">
      <c r="A903" s="2978"/>
      <c r="B903" s="1375"/>
      <c r="C903" s="1376" t="s">
        <v>133</v>
      </c>
      <c r="D903" s="1393">
        <f>SUM(D904,D909,D912,D923,D933,D941)</f>
        <v>2492700</v>
      </c>
      <c r="E903" s="1378"/>
      <c r="F903" s="1378"/>
      <c r="G903" s="1394">
        <f>SUM(G904,G909,G912,G923,G933,G941)</f>
        <v>0</v>
      </c>
      <c r="H903" s="1042">
        <f>SUM(H904,H909,H912,H923,H933,H941)</f>
        <v>2492700</v>
      </c>
      <c r="I903" s="626"/>
    </row>
    <row r="904" spans="1:9" ht="15" customHeight="1" x14ac:dyDescent="0.35">
      <c r="A904" s="2978"/>
      <c r="B904" s="1043"/>
      <c r="C904" s="1380" t="s">
        <v>134</v>
      </c>
      <c r="D904" s="1381">
        <f>SUM(D905:D908)</f>
        <v>0</v>
      </c>
      <c r="E904" s="1391"/>
      <c r="F904" s="1391"/>
      <c r="G904" s="1392">
        <f>SUM(G905:G908)</f>
        <v>0</v>
      </c>
      <c r="H904" s="1395">
        <f>SUM(H905:H908)</f>
        <v>0</v>
      </c>
      <c r="I904" s="591"/>
    </row>
    <row r="905" spans="1:9" ht="15" customHeight="1" x14ac:dyDescent="0.35">
      <c r="A905" s="2978"/>
      <c r="B905" s="105">
        <v>53202020100000</v>
      </c>
      <c r="C905" s="1385" t="s">
        <v>135</v>
      </c>
      <c r="D905" s="932"/>
      <c r="E905" s="144"/>
      <c r="F905" s="145"/>
      <c r="G905" s="1389">
        <f>E905*F905</f>
        <v>0</v>
      </c>
      <c r="H905" s="1390">
        <f>D905+G905</f>
        <v>0</v>
      </c>
      <c r="I905" s="591"/>
    </row>
    <row r="906" spans="1:9" ht="15" customHeight="1" x14ac:dyDescent="0.35">
      <c r="A906" s="2978"/>
      <c r="B906" s="105">
        <v>53202030000000</v>
      </c>
      <c r="C906" s="1385" t="s">
        <v>136</v>
      </c>
      <c r="D906" s="932"/>
      <c r="E906" s="144"/>
      <c r="F906" s="145"/>
      <c r="G906" s="1389">
        <f t="shared" ref="G906:G908" si="171">E906*F906</f>
        <v>0</v>
      </c>
      <c r="H906" s="1390">
        <f>D906+G906</f>
        <v>0</v>
      </c>
      <c r="I906" s="591"/>
    </row>
    <row r="907" spans="1:9" ht="15" customHeight="1" x14ac:dyDescent="0.35">
      <c r="A907" s="2978"/>
      <c r="B907" s="105">
        <v>53211020000000</v>
      </c>
      <c r="C907" s="1385" t="s">
        <v>137</v>
      </c>
      <c r="D907" s="932"/>
      <c r="E907" s="144"/>
      <c r="F907" s="145"/>
      <c r="G907" s="1389">
        <f t="shared" si="171"/>
        <v>0</v>
      </c>
      <c r="H907" s="1390">
        <f>D907+G907</f>
        <v>0</v>
      </c>
      <c r="I907" s="591"/>
    </row>
    <row r="908" spans="1:9" ht="15" customHeight="1" x14ac:dyDescent="0.35">
      <c r="A908" s="2978"/>
      <c r="B908" s="105">
        <v>53101004030000</v>
      </c>
      <c r="C908" s="1385" t="s">
        <v>138</v>
      </c>
      <c r="D908" s="932"/>
      <c r="E908" s="144"/>
      <c r="F908" s="145"/>
      <c r="G908" s="1389">
        <f t="shared" si="171"/>
        <v>0</v>
      </c>
      <c r="H908" s="1390">
        <f>D908+G908</f>
        <v>0</v>
      </c>
      <c r="I908" s="591"/>
    </row>
    <row r="909" spans="1:9" ht="15" customHeight="1" x14ac:dyDescent="0.35">
      <c r="A909" s="2978"/>
      <c r="B909" s="1043"/>
      <c r="C909" s="1380" t="s">
        <v>139</v>
      </c>
      <c r="D909" s="1381">
        <f>SUM(D910:D911)</f>
        <v>0</v>
      </c>
      <c r="E909" s="1391"/>
      <c r="F909" s="1391"/>
      <c r="G909" s="1392">
        <f>SUM(G910:G911)</f>
        <v>0</v>
      </c>
      <c r="H909" s="1395">
        <f>SUM(H910:H911)</f>
        <v>0</v>
      </c>
      <c r="I909" s="591"/>
    </row>
    <row r="910" spans="1:9" ht="15" customHeight="1" x14ac:dyDescent="0.35">
      <c r="A910" s="2978"/>
      <c r="B910" s="105">
        <v>53205080000000</v>
      </c>
      <c r="C910" s="1385" t="s">
        <v>140</v>
      </c>
      <c r="D910" s="932"/>
      <c r="E910" s="144"/>
      <c r="F910" s="145"/>
      <c r="G910" s="1389">
        <f t="shared" ref="G910:G911" si="172">E910*F910</f>
        <v>0</v>
      </c>
      <c r="H910" s="1390">
        <f>D910+G910</f>
        <v>0</v>
      </c>
      <c r="I910" s="591"/>
    </row>
    <row r="911" spans="1:9" ht="15" customHeight="1" x14ac:dyDescent="0.35">
      <c r="A911" s="2978"/>
      <c r="B911" s="105">
        <v>53205990000000</v>
      </c>
      <c r="C911" s="1385" t="s">
        <v>141</v>
      </c>
      <c r="D911" s="932"/>
      <c r="E911" s="144"/>
      <c r="F911" s="145"/>
      <c r="G911" s="1389">
        <f t="shared" si="172"/>
        <v>0</v>
      </c>
      <c r="H911" s="1390">
        <f>D911+G911</f>
        <v>0</v>
      </c>
      <c r="I911" s="591"/>
    </row>
    <row r="912" spans="1:9" ht="15" customHeight="1" x14ac:dyDescent="0.35">
      <c r="A912" s="2978"/>
      <c r="B912" s="1043"/>
      <c r="C912" s="1380" t="s">
        <v>142</v>
      </c>
      <c r="D912" s="1381">
        <f>SUM(D913:D922)</f>
        <v>1799700</v>
      </c>
      <c r="E912" s="1391"/>
      <c r="F912" s="1391"/>
      <c r="G912" s="1383">
        <f>SUM(G913:G922)</f>
        <v>0</v>
      </c>
      <c r="H912" s="1026">
        <f>SUM(H913:H922)</f>
        <v>1799700</v>
      </c>
      <c r="I912" s="626"/>
    </row>
    <row r="913" spans="1:9" ht="15" customHeight="1" x14ac:dyDescent="0.35">
      <c r="A913" s="2978"/>
      <c r="B913" s="105">
        <v>53203010200000</v>
      </c>
      <c r="C913" s="1385" t="s">
        <v>143</v>
      </c>
      <c r="D913" s="932"/>
      <c r="E913" s="143"/>
      <c r="F913" s="145"/>
      <c r="G913" s="1389">
        <f t="shared" ref="G913:G922" si="173">E913*F913</f>
        <v>0</v>
      </c>
      <c r="H913" s="1390">
        <f t="shared" ref="H913:H922" si="174">D913+G913</f>
        <v>0</v>
      </c>
      <c r="I913" s="591"/>
    </row>
    <row r="914" spans="1:9" ht="15" customHeight="1" x14ac:dyDescent="0.35">
      <c r="A914" s="2978"/>
      <c r="B914" s="105">
        <v>53204010000000</v>
      </c>
      <c r="C914" s="1385" t="s">
        <v>144</v>
      </c>
      <c r="D914" s="932"/>
      <c r="E914" s="144"/>
      <c r="F914" s="145"/>
      <c r="G914" s="1389">
        <f t="shared" si="173"/>
        <v>0</v>
      </c>
      <c r="H914" s="1390">
        <f t="shared" si="174"/>
        <v>0</v>
      </c>
      <c r="I914" s="591"/>
    </row>
    <row r="915" spans="1:9" ht="15" customHeight="1" x14ac:dyDescent="0.35">
      <c r="A915" s="2978"/>
      <c r="B915" s="105">
        <v>53204040200000</v>
      </c>
      <c r="C915" s="1396" t="s">
        <v>145</v>
      </c>
      <c r="D915" s="932"/>
      <c r="E915" s="144"/>
      <c r="F915" s="145"/>
      <c r="G915" s="1389">
        <f t="shared" si="173"/>
        <v>0</v>
      </c>
      <c r="H915" s="1390">
        <f t="shared" si="174"/>
        <v>0</v>
      </c>
      <c r="I915" s="591"/>
    </row>
    <row r="916" spans="1:9" ht="15" customHeight="1" x14ac:dyDescent="0.35">
      <c r="A916" s="2978"/>
      <c r="B916" s="105">
        <v>53204060000000</v>
      </c>
      <c r="C916" s="1396" t="s">
        <v>146</v>
      </c>
      <c r="D916" s="932">
        <v>262500</v>
      </c>
      <c r="E916" s="144"/>
      <c r="F916" s="145"/>
      <c r="G916" s="1389">
        <f t="shared" si="173"/>
        <v>0</v>
      </c>
      <c r="H916" s="1390">
        <f t="shared" si="174"/>
        <v>262500</v>
      </c>
      <c r="I916" s="591"/>
    </row>
    <row r="917" spans="1:9" ht="15" customHeight="1" x14ac:dyDescent="0.35">
      <c r="A917" s="2978"/>
      <c r="B917" s="105">
        <v>53204070000000</v>
      </c>
      <c r="C917" s="1385" t="s">
        <v>147</v>
      </c>
      <c r="D917" s="932">
        <v>315000</v>
      </c>
      <c r="E917" s="144"/>
      <c r="F917" s="145"/>
      <c r="G917" s="1389">
        <f t="shared" si="173"/>
        <v>0</v>
      </c>
      <c r="H917" s="1390">
        <f t="shared" si="174"/>
        <v>315000</v>
      </c>
      <c r="I917" s="591"/>
    </row>
    <row r="918" spans="1:9" ht="15" customHeight="1" x14ac:dyDescent="0.35">
      <c r="A918" s="2978"/>
      <c r="B918" s="105">
        <v>53204080000000</v>
      </c>
      <c r="C918" s="1396" t="s">
        <v>148</v>
      </c>
      <c r="D918" s="932">
        <v>119700</v>
      </c>
      <c r="E918" s="144"/>
      <c r="F918" s="145"/>
      <c r="G918" s="1389">
        <f t="shared" si="173"/>
        <v>0</v>
      </c>
      <c r="H918" s="1390">
        <f t="shared" si="174"/>
        <v>119700</v>
      </c>
      <c r="I918" s="591"/>
    </row>
    <row r="919" spans="1:9" ht="15" customHeight="1" x14ac:dyDescent="0.35">
      <c r="A919" s="2978"/>
      <c r="B919" s="105">
        <v>53214010000000</v>
      </c>
      <c r="C919" s="1396" t="s">
        <v>149</v>
      </c>
      <c r="D919" s="932">
        <v>1102500</v>
      </c>
      <c r="E919" s="144"/>
      <c r="F919" s="145"/>
      <c r="G919" s="1389">
        <f t="shared" si="173"/>
        <v>0</v>
      </c>
      <c r="H919" s="1390">
        <f t="shared" si="174"/>
        <v>1102500</v>
      </c>
      <c r="I919" s="591"/>
    </row>
    <row r="920" spans="1:9" ht="15" customHeight="1" x14ac:dyDescent="0.35">
      <c r="A920" s="2978"/>
      <c r="B920" s="105">
        <v>53214040000000</v>
      </c>
      <c r="C920" s="1385" t="s">
        <v>150</v>
      </c>
      <c r="D920" s="932"/>
      <c r="E920" s="143"/>
      <c r="F920" s="145"/>
      <c r="G920" s="1389">
        <f t="shared" si="173"/>
        <v>0</v>
      </c>
      <c r="H920" s="1390">
        <f t="shared" si="174"/>
        <v>0</v>
      </c>
      <c r="I920" s="591"/>
    </row>
    <row r="921" spans="1:9" ht="15" customHeight="1" x14ac:dyDescent="0.35">
      <c r="A921" s="2978"/>
      <c r="B921" s="105">
        <v>55201010100004</v>
      </c>
      <c r="C921" s="1385" t="s">
        <v>151</v>
      </c>
      <c r="D921" s="932"/>
      <c r="E921" s="143"/>
      <c r="F921" s="145"/>
      <c r="G921" s="1389">
        <f t="shared" si="173"/>
        <v>0</v>
      </c>
      <c r="H921" s="1390">
        <f t="shared" si="174"/>
        <v>0</v>
      </c>
      <c r="I921" s="591"/>
    </row>
    <row r="922" spans="1:9" ht="15" customHeight="1" x14ac:dyDescent="0.35">
      <c r="A922" s="2978"/>
      <c r="B922" s="105">
        <v>55201010100005</v>
      </c>
      <c r="C922" s="1385" t="s">
        <v>152</v>
      </c>
      <c r="D922" s="932"/>
      <c r="E922" s="143"/>
      <c r="F922" s="145"/>
      <c r="G922" s="1389">
        <f t="shared" si="173"/>
        <v>0</v>
      </c>
      <c r="H922" s="1390">
        <f t="shared" si="174"/>
        <v>0</v>
      </c>
      <c r="I922" s="591"/>
    </row>
    <row r="923" spans="1:9" ht="15" customHeight="1" x14ac:dyDescent="0.35">
      <c r="A923" s="2978"/>
      <c r="B923" s="1043"/>
      <c r="C923" s="1380" t="s">
        <v>153</v>
      </c>
      <c r="D923" s="1381">
        <f>SUM(D924:D932)</f>
        <v>693000</v>
      </c>
      <c r="E923" s="1391"/>
      <c r="F923" s="1391"/>
      <c r="G923" s="1383">
        <f>SUM(G924:G932)</f>
        <v>0</v>
      </c>
      <c r="H923" s="1026">
        <f>SUM(H924:H932)</f>
        <v>693000</v>
      </c>
      <c r="I923" s="626"/>
    </row>
    <row r="924" spans="1:9" ht="15" customHeight="1" x14ac:dyDescent="0.35">
      <c r="A924" s="2978"/>
      <c r="B924" s="105">
        <v>53207010000000</v>
      </c>
      <c r="C924" s="1385" t="s">
        <v>154</v>
      </c>
      <c r="D924" s="932"/>
      <c r="E924" s="144"/>
      <c r="F924" s="145"/>
      <c r="G924" s="1389">
        <f t="shared" ref="G924:G932" si="175">E924*F924</f>
        <v>0</v>
      </c>
      <c r="H924" s="1390">
        <f t="shared" ref="H924:H932" si="176">D924+G924</f>
        <v>0</v>
      </c>
      <c r="I924" s="591"/>
    </row>
    <row r="925" spans="1:9" ht="15" customHeight="1" x14ac:dyDescent="0.35">
      <c r="A925" s="2978"/>
      <c r="B925" s="105">
        <v>53207020000000</v>
      </c>
      <c r="C925" s="1385" t="s">
        <v>155</v>
      </c>
      <c r="D925" s="932"/>
      <c r="E925" s="144"/>
      <c r="F925" s="145"/>
      <c r="G925" s="1389">
        <f t="shared" si="175"/>
        <v>0</v>
      </c>
      <c r="H925" s="1390">
        <f t="shared" si="176"/>
        <v>0</v>
      </c>
      <c r="I925" s="591"/>
    </row>
    <row r="926" spans="1:9" ht="15" customHeight="1" x14ac:dyDescent="0.35">
      <c r="A926" s="2978"/>
      <c r="B926" s="105">
        <v>53208020000000</v>
      </c>
      <c r="C926" s="1385" t="s">
        <v>156</v>
      </c>
      <c r="D926" s="932"/>
      <c r="E926" s="144"/>
      <c r="F926" s="145"/>
      <c r="G926" s="1389">
        <f t="shared" si="175"/>
        <v>0</v>
      </c>
      <c r="H926" s="1390">
        <f t="shared" si="176"/>
        <v>0</v>
      </c>
      <c r="I926" s="591"/>
    </row>
    <row r="927" spans="1:9" ht="15" customHeight="1" x14ac:dyDescent="0.35">
      <c r="A927" s="2978"/>
      <c r="B927" s="105">
        <v>53208990000000</v>
      </c>
      <c r="C927" s="1385" t="s">
        <v>157</v>
      </c>
      <c r="D927" s="932"/>
      <c r="E927" s="144"/>
      <c r="F927" s="145"/>
      <c r="G927" s="1389">
        <f t="shared" si="175"/>
        <v>0</v>
      </c>
      <c r="H927" s="1390">
        <f t="shared" si="176"/>
        <v>0</v>
      </c>
      <c r="I927" s="591" t="s">
        <v>1108</v>
      </c>
    </row>
    <row r="928" spans="1:9" ht="15" customHeight="1" x14ac:dyDescent="0.35">
      <c r="A928" s="2978"/>
      <c r="B928" s="105">
        <v>53209010000000</v>
      </c>
      <c r="C928" s="1385" t="s">
        <v>158</v>
      </c>
      <c r="D928" s="932"/>
      <c r="E928" s="144"/>
      <c r="F928" s="145"/>
      <c r="G928" s="1389">
        <f t="shared" si="175"/>
        <v>0</v>
      </c>
      <c r="H928" s="1390">
        <f t="shared" si="176"/>
        <v>0</v>
      </c>
      <c r="I928" s="591"/>
    </row>
    <row r="929" spans="1:9" ht="15" customHeight="1" x14ac:dyDescent="0.35">
      <c r="A929" s="2978"/>
      <c r="B929" s="105">
        <v>53209040000000</v>
      </c>
      <c r="C929" s="1385" t="s">
        <v>159</v>
      </c>
      <c r="D929" s="932"/>
      <c r="E929" s="144"/>
      <c r="F929" s="145"/>
      <c r="G929" s="1389">
        <f t="shared" si="175"/>
        <v>0</v>
      </c>
      <c r="H929" s="1390">
        <f t="shared" si="176"/>
        <v>0</v>
      </c>
      <c r="I929" s="591"/>
    </row>
    <row r="930" spans="1:9" ht="15" customHeight="1" x14ac:dyDescent="0.35">
      <c r="A930" s="2978"/>
      <c r="B930" s="105">
        <v>53209050000000</v>
      </c>
      <c r="C930" s="1385" t="s">
        <v>160</v>
      </c>
      <c r="D930" s="932"/>
      <c r="E930" s="144"/>
      <c r="F930" s="145"/>
      <c r="G930" s="1389">
        <f t="shared" si="175"/>
        <v>0</v>
      </c>
      <c r="H930" s="1390">
        <f t="shared" si="176"/>
        <v>0</v>
      </c>
      <c r="I930" s="591"/>
    </row>
    <row r="931" spans="1:9" ht="15" customHeight="1" x14ac:dyDescent="0.35">
      <c r="A931" s="2978"/>
      <c r="B931" s="105">
        <v>53209990000000</v>
      </c>
      <c r="C931" s="1385" t="s">
        <v>161</v>
      </c>
      <c r="D931" s="932">
        <v>693000</v>
      </c>
      <c r="E931" s="144"/>
      <c r="F931" s="145"/>
      <c r="G931" s="1389">
        <f t="shared" si="175"/>
        <v>0</v>
      </c>
      <c r="H931" s="1390">
        <f t="shared" si="176"/>
        <v>693000</v>
      </c>
      <c r="I931" s="847" t="s">
        <v>1124</v>
      </c>
    </row>
    <row r="932" spans="1:9" ht="15" customHeight="1" x14ac:dyDescent="0.35">
      <c r="A932" s="2978"/>
      <c r="B932" s="105">
        <v>53210020100000</v>
      </c>
      <c r="C932" s="1385" t="s">
        <v>162</v>
      </c>
      <c r="D932" s="932"/>
      <c r="E932" s="144"/>
      <c r="F932" s="145"/>
      <c r="G932" s="1389">
        <f t="shared" si="175"/>
        <v>0</v>
      </c>
      <c r="H932" s="1390">
        <f t="shared" si="176"/>
        <v>0</v>
      </c>
      <c r="I932" s="591"/>
    </row>
    <row r="933" spans="1:9" ht="15" customHeight="1" x14ac:dyDescent="0.35">
      <c r="A933" s="2978"/>
      <c r="B933" s="1043"/>
      <c r="C933" s="1380" t="s">
        <v>163</v>
      </c>
      <c r="D933" s="1381">
        <f>SUM(D934:D940)</f>
        <v>0</v>
      </c>
      <c r="E933" s="1391"/>
      <c r="F933" s="1391"/>
      <c r="G933" s="1383">
        <f>SUM(G934:G940)</f>
        <v>0</v>
      </c>
      <c r="H933" s="1026">
        <f>SUM(H934:H940)</f>
        <v>0</v>
      </c>
      <c r="I933" s="626"/>
    </row>
    <row r="934" spans="1:9" ht="15" customHeight="1" x14ac:dyDescent="0.35">
      <c r="A934" s="2978"/>
      <c r="B934" s="105">
        <v>53206030000000</v>
      </c>
      <c r="C934" s="1385" t="s">
        <v>164</v>
      </c>
      <c r="D934" s="932"/>
      <c r="E934" s="144"/>
      <c r="F934" s="145"/>
      <c r="G934" s="1389">
        <f t="shared" ref="G934:G940" si="177">E934*F934</f>
        <v>0</v>
      </c>
      <c r="H934" s="1390">
        <f t="shared" ref="H934:H940" si="178">D934+G934</f>
        <v>0</v>
      </c>
      <c r="I934" s="591"/>
    </row>
    <row r="935" spans="1:9" ht="15" customHeight="1" x14ac:dyDescent="0.35">
      <c r="A935" s="2978"/>
      <c r="B935" s="105">
        <v>53206040000000</v>
      </c>
      <c r="C935" s="1385" t="s">
        <v>165</v>
      </c>
      <c r="D935" s="932"/>
      <c r="E935" s="144"/>
      <c r="F935" s="145"/>
      <c r="G935" s="1389">
        <f t="shared" si="177"/>
        <v>0</v>
      </c>
      <c r="H935" s="1390">
        <f t="shared" si="178"/>
        <v>0</v>
      </c>
      <c r="I935" s="591"/>
    </row>
    <row r="936" spans="1:9" ht="15" customHeight="1" x14ac:dyDescent="0.35">
      <c r="A936" s="2978"/>
      <c r="B936" s="105">
        <v>53206060000000</v>
      </c>
      <c r="C936" s="1385" t="s">
        <v>166</v>
      </c>
      <c r="D936" s="932"/>
      <c r="E936" s="144"/>
      <c r="F936" s="145"/>
      <c r="G936" s="1389">
        <f t="shared" si="177"/>
        <v>0</v>
      </c>
      <c r="H936" s="1390">
        <f t="shared" si="178"/>
        <v>0</v>
      </c>
      <c r="I936" s="591"/>
    </row>
    <row r="937" spans="1:9" ht="15" customHeight="1" x14ac:dyDescent="0.35">
      <c r="A937" s="2978"/>
      <c r="B937" s="105">
        <v>53206070000000</v>
      </c>
      <c r="C937" s="1385" t="s">
        <v>167</v>
      </c>
      <c r="D937" s="932"/>
      <c r="E937" s="144"/>
      <c r="F937" s="145"/>
      <c r="G937" s="1389">
        <f t="shared" si="177"/>
        <v>0</v>
      </c>
      <c r="H937" s="1390">
        <f t="shared" si="178"/>
        <v>0</v>
      </c>
      <c r="I937" s="591"/>
    </row>
    <row r="938" spans="1:9" ht="15" customHeight="1" x14ac:dyDescent="0.35">
      <c r="A938" s="2978"/>
      <c r="B938" s="105">
        <v>53206990000000</v>
      </c>
      <c r="C938" s="1385" t="s">
        <v>168</v>
      </c>
      <c r="D938" s="932"/>
      <c r="E938" s="144"/>
      <c r="F938" s="145"/>
      <c r="G938" s="1389">
        <f t="shared" si="177"/>
        <v>0</v>
      </c>
      <c r="H938" s="1390">
        <f t="shared" si="178"/>
        <v>0</v>
      </c>
      <c r="I938" s="591"/>
    </row>
    <row r="939" spans="1:9" ht="15" customHeight="1" x14ac:dyDescent="0.35">
      <c r="A939" s="2978"/>
      <c r="B939" s="105">
        <v>53208030000000</v>
      </c>
      <c r="C939" s="1385" t="s">
        <v>169</v>
      </c>
      <c r="D939" s="932"/>
      <c r="E939" s="144"/>
      <c r="F939" s="145"/>
      <c r="G939" s="1389">
        <f t="shared" si="177"/>
        <v>0</v>
      </c>
      <c r="H939" s="1390">
        <f t="shared" si="178"/>
        <v>0</v>
      </c>
      <c r="I939" s="591"/>
    </row>
    <row r="940" spans="1:9" ht="15" customHeight="1" x14ac:dyDescent="0.35">
      <c r="A940" s="2978"/>
      <c r="B940" s="105">
        <v>53212060000000</v>
      </c>
      <c r="C940" s="1385" t="s">
        <v>170</v>
      </c>
      <c r="D940" s="932"/>
      <c r="E940" s="143"/>
      <c r="F940" s="145"/>
      <c r="G940" s="1389">
        <f t="shared" si="177"/>
        <v>0</v>
      </c>
      <c r="H940" s="1390">
        <f t="shared" si="178"/>
        <v>0</v>
      </c>
      <c r="I940" s="591"/>
    </row>
    <row r="941" spans="1:9" ht="15" customHeight="1" x14ac:dyDescent="0.35">
      <c r="A941" s="2978"/>
      <c r="B941" s="1043"/>
      <c r="C941" s="1380" t="s">
        <v>171</v>
      </c>
      <c r="D941" s="1381">
        <f>SUM(D942:D943)</f>
        <v>0</v>
      </c>
      <c r="E941" s="1391"/>
      <c r="F941" s="1391"/>
      <c r="G941" s="1383">
        <f>SUM(G942:G943)</f>
        <v>0</v>
      </c>
      <c r="H941" s="1026">
        <f>SUM(H942:H943)</f>
        <v>0</v>
      </c>
      <c r="I941" s="626"/>
    </row>
    <row r="942" spans="1:9" ht="15" customHeight="1" x14ac:dyDescent="0.35">
      <c r="A942" s="2978"/>
      <c r="B942" s="105">
        <v>53210020500000</v>
      </c>
      <c r="C942" s="1385" t="s">
        <v>172</v>
      </c>
      <c r="D942" s="932"/>
      <c r="E942" s="143"/>
      <c r="F942" s="145"/>
      <c r="G942" s="1389">
        <f t="shared" ref="G942:G943" si="179">E942*F942</f>
        <v>0</v>
      </c>
      <c r="H942" s="1397">
        <f>D942+G942</f>
        <v>0</v>
      </c>
      <c r="I942" s="591"/>
    </row>
    <row r="943" spans="1:9" ht="15" customHeight="1" x14ac:dyDescent="0.35">
      <c r="A943" s="2978"/>
      <c r="B943" s="1053">
        <v>53204999000000</v>
      </c>
      <c r="C943" s="1035" t="s">
        <v>173</v>
      </c>
      <c r="D943" s="932"/>
      <c r="E943" s="144"/>
      <c r="F943" s="145"/>
      <c r="G943" s="1036">
        <f t="shared" si="179"/>
        <v>0</v>
      </c>
      <c r="H943" s="1397">
        <f>D943+G943</f>
        <v>0</v>
      </c>
      <c r="I943" s="591"/>
    </row>
    <row r="944" spans="1:9" ht="15" customHeight="1" x14ac:dyDescent="0.35">
      <c r="A944" s="2979"/>
      <c r="B944" s="1398"/>
      <c r="C944" s="1399" t="s">
        <v>12</v>
      </c>
      <c r="D944" s="1400">
        <f>SUM(D875,D903)</f>
        <v>4359433.05</v>
      </c>
      <c r="E944" s="1401"/>
      <c r="F944" s="1401"/>
      <c r="G944" s="1400">
        <f>SUM(G875,G903)</f>
        <v>0</v>
      </c>
      <c r="H944" s="1402">
        <f>SUM(H875,H903)</f>
        <v>4359433.05</v>
      </c>
      <c r="I944" s="626"/>
    </row>
    <row r="945" spans="1:9" ht="15" customHeight="1" x14ac:dyDescent="0.35">
      <c r="A945" s="3056" t="s">
        <v>21</v>
      </c>
      <c r="B945" s="3057" t="s">
        <v>97</v>
      </c>
      <c r="C945" s="3058" t="s">
        <v>98</v>
      </c>
      <c r="D945" s="3059" t="s">
        <v>99</v>
      </c>
      <c r="E945" s="3060" t="s">
        <v>100</v>
      </c>
      <c r="F945" s="3060"/>
      <c r="G945" s="3060"/>
      <c r="H945" s="3061" t="str">
        <f>H873</f>
        <v>COSTO DIRECTO ESTIMADO 2026</v>
      </c>
      <c r="I945" s="2987" t="s">
        <v>101</v>
      </c>
    </row>
    <row r="946" spans="1:9" ht="38.25" customHeight="1" x14ac:dyDescent="0.35">
      <c r="A946" s="2967"/>
      <c r="B946" s="2981"/>
      <c r="C946" s="2999"/>
      <c r="D946" s="3001"/>
      <c r="E946" s="1121" t="s">
        <v>102</v>
      </c>
      <c r="F946" s="117" t="s">
        <v>103</v>
      </c>
      <c r="G946" s="1122" t="s">
        <v>104</v>
      </c>
      <c r="H946" s="2993"/>
      <c r="I946" s="2987"/>
    </row>
    <row r="947" spans="1:9" ht="15" customHeight="1" x14ac:dyDescent="0.35">
      <c r="A947" s="3062" t="str">
        <f>'B) Reajuste Tarifas y Ocupación'!A95</f>
        <v>Vista Mar</v>
      </c>
      <c r="B947" s="1375"/>
      <c r="C947" s="1376" t="s">
        <v>105</v>
      </c>
      <c r="D947" s="1377">
        <f>SUM(D948,D953,D955)</f>
        <v>164952747.10838002</v>
      </c>
      <c r="E947" s="1378">
        <f>E948+E953+E955</f>
        <v>0</v>
      </c>
      <c r="F947" s="1404">
        <f>F948+F10835+F955</f>
        <v>0</v>
      </c>
      <c r="G947" s="1377">
        <f>SUM(G948,G953,G955)</f>
        <v>0</v>
      </c>
      <c r="H947" s="1379">
        <f>SUM(H948,H953,H955)</f>
        <v>164952747.10838002</v>
      </c>
      <c r="I947" s="626"/>
    </row>
    <row r="948" spans="1:9" ht="15" customHeight="1" x14ac:dyDescent="0.35">
      <c r="A948" s="2978"/>
      <c r="B948" s="1043"/>
      <c r="C948" s="1380" t="s">
        <v>106</v>
      </c>
      <c r="D948" s="1381">
        <f>SUM(D949:D952)</f>
        <v>108390066.54000001</v>
      </c>
      <c r="E948" s="1382">
        <f>SUM(E949:E952)</f>
        <v>0</v>
      </c>
      <c r="F948" s="1405">
        <f>SUM(F949:F952)</f>
        <v>0</v>
      </c>
      <c r="G948" s="1383">
        <f>SUM(G949:G952)</f>
        <v>0</v>
      </c>
      <c r="H948" s="1384">
        <f>SUM(H949:H952)</f>
        <v>108390066.54000001</v>
      </c>
      <c r="I948" s="626"/>
    </row>
    <row r="949" spans="1:9" ht="15" customHeight="1" x14ac:dyDescent="0.35">
      <c r="A949" s="2978"/>
      <c r="B949" s="105">
        <v>53103040100000</v>
      </c>
      <c r="C949" s="1385" t="s">
        <v>107</v>
      </c>
      <c r="D949" s="1403">
        <f>'F) Remuneraciones'!M300</f>
        <v>108390066.54000001</v>
      </c>
      <c r="E949" s="1387"/>
      <c r="F949" s="1406"/>
      <c r="G949" s="1387">
        <f>E949*F949</f>
        <v>0</v>
      </c>
      <c r="H949" s="1076">
        <f>D949+G949</f>
        <v>108390066.54000001</v>
      </c>
      <c r="I949" s="626"/>
    </row>
    <row r="950" spans="1:9" ht="15" customHeight="1" x14ac:dyDescent="0.35">
      <c r="A950" s="2978"/>
      <c r="B950" s="105">
        <v>53103050000000</v>
      </c>
      <c r="C950" s="1385" t="s">
        <v>108</v>
      </c>
      <c r="D950" s="932"/>
      <c r="E950" s="144"/>
      <c r="F950" s="145"/>
      <c r="G950" s="1389">
        <f>E950*F950</f>
        <v>0</v>
      </c>
      <c r="H950" s="1076">
        <f>D950+G950</f>
        <v>0</v>
      </c>
      <c r="I950" s="626"/>
    </row>
    <row r="951" spans="1:9" ht="15" customHeight="1" x14ac:dyDescent="0.35">
      <c r="A951" s="2978"/>
      <c r="B951" s="105">
        <v>53103060000000</v>
      </c>
      <c r="C951" s="1385" t="s">
        <v>109</v>
      </c>
      <c r="D951" s="932"/>
      <c r="E951" s="144"/>
      <c r="F951" s="145"/>
      <c r="G951" s="1389">
        <f t="shared" ref="G951:G952" si="180">E951*F951</f>
        <v>0</v>
      </c>
      <c r="H951" s="1390">
        <f>D951+G951</f>
        <v>0</v>
      </c>
      <c r="I951" s="591"/>
    </row>
    <row r="952" spans="1:9" ht="15" customHeight="1" x14ac:dyDescent="0.35">
      <c r="A952" s="2978"/>
      <c r="B952" s="105">
        <v>53103080010000</v>
      </c>
      <c r="C952" s="1385" t="s">
        <v>110</v>
      </c>
      <c r="D952" s="932"/>
      <c r="E952" s="144"/>
      <c r="F952" s="145"/>
      <c r="G952" s="1389">
        <f t="shared" si="180"/>
        <v>0</v>
      </c>
      <c r="H952" s="1390">
        <f>D952+G952</f>
        <v>0</v>
      </c>
      <c r="I952" s="591"/>
    </row>
    <row r="953" spans="1:9" ht="15" customHeight="1" x14ac:dyDescent="0.35">
      <c r="A953" s="2978"/>
      <c r="B953" s="1043"/>
      <c r="C953" s="1380" t="s">
        <v>111</v>
      </c>
      <c r="D953" s="1381">
        <f>SUM(D954)</f>
        <v>0</v>
      </c>
      <c r="E953" s="1382">
        <f>SUM(E954:E957)</f>
        <v>0</v>
      </c>
      <c r="F953" s="1405">
        <f>SUM(F954:F957)</f>
        <v>0</v>
      </c>
      <c r="G953" s="1392">
        <f>SUM(G954:G954)</f>
        <v>0</v>
      </c>
      <c r="H953" s="1026">
        <f>SUM(H954:H954)</f>
        <v>0</v>
      </c>
      <c r="I953" s="626"/>
    </row>
    <row r="954" spans="1:9" ht="15" customHeight="1" x14ac:dyDescent="0.35">
      <c r="A954" s="2978"/>
      <c r="B954" s="105">
        <v>55201010100001</v>
      </c>
      <c r="C954" s="1385" t="s">
        <v>112</v>
      </c>
      <c r="D954" s="932"/>
      <c r="E954" s="144"/>
      <c r="F954" s="145"/>
      <c r="G954" s="1389">
        <f t="shared" ref="G954" si="181">E954*F954</f>
        <v>0</v>
      </c>
      <c r="H954" s="1390">
        <f>D954+G954</f>
        <v>0</v>
      </c>
      <c r="I954" s="591"/>
    </row>
    <row r="955" spans="1:9" ht="15" customHeight="1" x14ac:dyDescent="0.35">
      <c r="A955" s="2978"/>
      <c r="B955" s="1043"/>
      <c r="C955" s="1380" t="s">
        <v>113</v>
      </c>
      <c r="D955" s="1381">
        <f>SUM(D956:D974)</f>
        <v>56562680.568379998</v>
      </c>
      <c r="E955" s="1382">
        <f>SUM(E956:E959)</f>
        <v>0</v>
      </c>
      <c r="F955" s="1405">
        <f>SUM(F956:F959)</f>
        <v>0</v>
      </c>
      <c r="G955" s="1383">
        <f>SUM(G956:G974)</f>
        <v>0</v>
      </c>
      <c r="H955" s="1026">
        <f>SUM(H956:H974)</f>
        <v>56562680.568379998</v>
      </c>
      <c r="I955" s="626"/>
    </row>
    <row r="956" spans="1:9" ht="15" customHeight="1" x14ac:dyDescent="0.35">
      <c r="A956" s="2978"/>
      <c r="B956" s="105">
        <v>53201010100000</v>
      </c>
      <c r="C956" s="1385" t="s">
        <v>114</v>
      </c>
      <c r="D956" s="932">
        <f>+VISTAMAR!H13</f>
        <v>21200000</v>
      </c>
      <c r="E956" s="144"/>
      <c r="F956" s="145"/>
      <c r="G956" s="1389">
        <f t="shared" ref="G956:G974" si="182">E956*F956</f>
        <v>0</v>
      </c>
      <c r="H956" s="1390">
        <f t="shared" ref="H956:H974" si="183">D956+G956</f>
        <v>21200000</v>
      </c>
      <c r="I956" s="2049"/>
    </row>
    <row r="957" spans="1:9" ht="15" customHeight="1" x14ac:dyDescent="0.35">
      <c r="A957" s="2978"/>
      <c r="B957" s="105">
        <v>53202010100000</v>
      </c>
      <c r="C957" s="1385" t="s">
        <v>115</v>
      </c>
      <c r="D957" s="932">
        <f>+VISTAMAR!H18</f>
        <v>62148.24</v>
      </c>
      <c r="E957" s="144"/>
      <c r="F957" s="145"/>
      <c r="G957" s="1389">
        <f t="shared" si="182"/>
        <v>0</v>
      </c>
      <c r="H957" s="1390">
        <f>D957+G957</f>
        <v>62148.24</v>
      </c>
      <c r="I957" s="2049"/>
    </row>
    <row r="958" spans="1:9" ht="15" customHeight="1" x14ac:dyDescent="0.35">
      <c r="A958" s="2978"/>
      <c r="B958" s="105">
        <v>53203010100000</v>
      </c>
      <c r="C958" s="1385" t="s">
        <v>116</v>
      </c>
      <c r="D958" s="932">
        <f>+VISTAMAR!H21</f>
        <v>19750.5</v>
      </c>
      <c r="E958" s="144"/>
      <c r="F958" s="145"/>
      <c r="G958" s="1389">
        <f t="shared" si="182"/>
        <v>0</v>
      </c>
      <c r="H958" s="1390">
        <f t="shared" si="183"/>
        <v>19750.5</v>
      </c>
      <c r="I958" s="2049"/>
    </row>
    <row r="959" spans="1:9" ht="15" customHeight="1" x14ac:dyDescent="0.35">
      <c r="A959" s="2978"/>
      <c r="B959" s="105">
        <v>53203030000000</v>
      </c>
      <c r="C959" s="1385" t="s">
        <v>117</v>
      </c>
      <c r="D959" s="932"/>
      <c r="E959" s="144"/>
      <c r="F959" s="145"/>
      <c r="G959" s="1389">
        <f t="shared" si="182"/>
        <v>0</v>
      </c>
      <c r="H959" s="1390">
        <f t="shared" si="183"/>
        <v>0</v>
      </c>
      <c r="I959" s="2049"/>
    </row>
    <row r="960" spans="1:9" ht="15" customHeight="1" x14ac:dyDescent="0.35">
      <c r="A960" s="2978"/>
      <c r="B960" s="105">
        <v>53204030000000</v>
      </c>
      <c r="C960" s="1385" t="s">
        <v>118</v>
      </c>
      <c r="D960" s="932"/>
      <c r="E960" s="144"/>
      <c r="F960" s="145"/>
      <c r="G960" s="1389">
        <f t="shared" si="182"/>
        <v>0</v>
      </c>
      <c r="H960" s="1390">
        <f t="shared" si="183"/>
        <v>0</v>
      </c>
      <c r="I960" s="2049"/>
    </row>
    <row r="961" spans="1:9" ht="15" customHeight="1" x14ac:dyDescent="0.35">
      <c r="A961" s="2978"/>
      <c r="B961" s="105">
        <v>53204100100001</v>
      </c>
      <c r="C961" s="1385" t="s">
        <v>119</v>
      </c>
      <c r="D961" s="932">
        <f>+VISTAMAR!H88</f>
        <v>966804.53099999996</v>
      </c>
      <c r="E961" s="144"/>
      <c r="F961" s="145"/>
      <c r="G961" s="1389">
        <f t="shared" si="182"/>
        <v>0</v>
      </c>
      <c r="H961" s="1390">
        <f t="shared" si="183"/>
        <v>966804.53099999996</v>
      </c>
      <c r="I961" s="2049"/>
    </row>
    <row r="962" spans="1:9" ht="15" customHeight="1" x14ac:dyDescent="0.35">
      <c r="A962" s="2978"/>
      <c r="B962" s="105">
        <v>53204130100000</v>
      </c>
      <c r="C962" s="1385" t="s">
        <v>120</v>
      </c>
      <c r="D962" s="932">
        <f>+VISTAMAR!H106</f>
        <v>1137446.6564999998</v>
      </c>
      <c r="E962" s="144"/>
      <c r="F962" s="145"/>
      <c r="G962" s="1389">
        <f t="shared" si="182"/>
        <v>0</v>
      </c>
      <c r="H962" s="1390">
        <f t="shared" si="183"/>
        <v>1137446.6564999998</v>
      </c>
      <c r="I962" s="2049"/>
    </row>
    <row r="963" spans="1:9" ht="15" customHeight="1" x14ac:dyDescent="0.35">
      <c r="A963" s="2978"/>
      <c r="B963" s="105">
        <v>53205010100000</v>
      </c>
      <c r="C963" s="1385" t="s">
        <v>121</v>
      </c>
      <c r="D963" s="939">
        <v>4752190.8</v>
      </c>
      <c r="E963" s="144"/>
      <c r="F963" s="145"/>
      <c r="G963" s="1389">
        <f t="shared" si="182"/>
        <v>0</v>
      </c>
      <c r="H963" s="1390">
        <f t="shared" si="183"/>
        <v>4752190.8</v>
      </c>
      <c r="I963" s="2049"/>
    </row>
    <row r="964" spans="1:9" ht="15" customHeight="1" x14ac:dyDescent="0.35">
      <c r="A964" s="2978"/>
      <c r="B964" s="105">
        <v>53205020100000</v>
      </c>
      <c r="C964" s="1385" t="s">
        <v>122</v>
      </c>
      <c r="D964" s="939">
        <v>4507864</v>
      </c>
      <c r="E964" s="144"/>
      <c r="F964" s="145"/>
      <c r="G964" s="1389">
        <f t="shared" si="182"/>
        <v>0</v>
      </c>
      <c r="H964" s="1390">
        <f t="shared" si="183"/>
        <v>4507864</v>
      </c>
      <c r="I964" s="2049"/>
    </row>
    <row r="965" spans="1:9" ht="15" customHeight="1" x14ac:dyDescent="0.35">
      <c r="A965" s="2978"/>
      <c r="B965" s="105">
        <v>53205030100000</v>
      </c>
      <c r="C965" s="1385" t="s">
        <v>123</v>
      </c>
      <c r="D965" s="939">
        <v>21061200</v>
      </c>
      <c r="E965" s="144"/>
      <c r="F965" s="145"/>
      <c r="G965" s="1389">
        <f t="shared" si="182"/>
        <v>0</v>
      </c>
      <c r="H965" s="1390">
        <f t="shared" si="183"/>
        <v>21061200</v>
      </c>
      <c r="I965" s="2049"/>
    </row>
    <row r="966" spans="1:9" ht="15" customHeight="1" x14ac:dyDescent="0.35">
      <c r="A966" s="2978"/>
      <c r="B966" s="105">
        <v>53205050100000</v>
      </c>
      <c r="C966" s="1385" t="s">
        <v>124</v>
      </c>
      <c r="D966" s="932"/>
      <c r="E966" s="144"/>
      <c r="F966" s="145"/>
      <c r="G966" s="1389">
        <f t="shared" si="182"/>
        <v>0</v>
      </c>
      <c r="H966" s="1390">
        <f t="shared" si="183"/>
        <v>0</v>
      </c>
      <c r="I966" s="2049"/>
    </row>
    <row r="967" spans="1:9" ht="15" customHeight="1" x14ac:dyDescent="0.35">
      <c r="A967" s="2978"/>
      <c r="B967" s="105">
        <v>53205060100000</v>
      </c>
      <c r="C967" s="1385" t="s">
        <v>125</v>
      </c>
      <c r="D967" s="932"/>
      <c r="E967" s="144"/>
      <c r="F967" s="145"/>
      <c r="G967" s="1389">
        <f t="shared" si="182"/>
        <v>0</v>
      </c>
      <c r="H967" s="1390">
        <f t="shared" si="183"/>
        <v>0</v>
      </c>
      <c r="I967" s="2049"/>
    </row>
    <row r="968" spans="1:9" ht="15" customHeight="1" x14ac:dyDescent="0.35">
      <c r="A968" s="2978"/>
      <c r="B968" s="105">
        <v>53205070100000</v>
      </c>
      <c r="C968" s="1385" t="s">
        <v>126</v>
      </c>
      <c r="D968" s="932"/>
      <c r="E968" s="144"/>
      <c r="F968" s="145"/>
      <c r="G968" s="1389">
        <f t="shared" si="182"/>
        <v>0</v>
      </c>
      <c r="H968" s="1390">
        <f t="shared" si="183"/>
        <v>0</v>
      </c>
      <c r="I968" s="2049"/>
    </row>
    <row r="969" spans="1:9" ht="15" customHeight="1" x14ac:dyDescent="0.35">
      <c r="A969" s="2978"/>
      <c r="B969" s="105">
        <v>53208010100000</v>
      </c>
      <c r="C969" s="1385" t="s">
        <v>127</v>
      </c>
      <c r="D969" s="932">
        <f>+VISTAMAR!H198</f>
        <v>1078157.8499999999</v>
      </c>
      <c r="E969" s="144"/>
      <c r="F969" s="145"/>
      <c r="G969" s="1389">
        <f t="shared" si="182"/>
        <v>0</v>
      </c>
      <c r="H969" s="1390">
        <f t="shared" si="183"/>
        <v>1078157.8499999999</v>
      </c>
      <c r="I969" s="2049" t="s">
        <v>1125</v>
      </c>
    </row>
    <row r="970" spans="1:9" ht="15" customHeight="1" x14ac:dyDescent="0.35">
      <c r="A970" s="2978"/>
      <c r="B970" s="105">
        <v>53208070100001</v>
      </c>
      <c r="C970" s="1385" t="s">
        <v>128</v>
      </c>
      <c r="D970" s="932"/>
      <c r="E970" s="144"/>
      <c r="F970" s="145"/>
      <c r="G970" s="1389">
        <f t="shared" si="182"/>
        <v>0</v>
      </c>
      <c r="H970" s="1390">
        <f t="shared" si="183"/>
        <v>0</v>
      </c>
      <c r="I970" s="2049"/>
    </row>
    <row r="971" spans="1:9" ht="15" customHeight="1" x14ac:dyDescent="0.35">
      <c r="A971" s="2978"/>
      <c r="B971" s="105">
        <v>53208100100001</v>
      </c>
      <c r="C971" s="1385" t="s">
        <v>129</v>
      </c>
      <c r="D971" s="932"/>
      <c r="E971" s="144"/>
      <c r="F971" s="145"/>
      <c r="G971" s="1389">
        <f t="shared" si="182"/>
        <v>0</v>
      </c>
      <c r="H971" s="1390">
        <f t="shared" si="183"/>
        <v>0</v>
      </c>
      <c r="I971" s="2049"/>
    </row>
    <row r="972" spans="1:9" ht="15" customHeight="1" x14ac:dyDescent="0.35">
      <c r="A972" s="2978"/>
      <c r="B972" s="105">
        <v>53211030000000</v>
      </c>
      <c r="C972" s="1385" t="s">
        <v>130</v>
      </c>
      <c r="D972" s="932"/>
      <c r="E972" s="144"/>
      <c r="F972" s="145"/>
      <c r="G972" s="1389">
        <f t="shared" si="182"/>
        <v>0</v>
      </c>
      <c r="H972" s="1390">
        <f t="shared" si="183"/>
        <v>0</v>
      </c>
      <c r="I972" s="2049"/>
    </row>
    <row r="973" spans="1:9" ht="15" customHeight="1" x14ac:dyDescent="0.35">
      <c r="A973" s="2978"/>
      <c r="B973" s="105">
        <v>53212020100000</v>
      </c>
      <c r="C973" s="1385" t="s">
        <v>131</v>
      </c>
      <c r="D973" s="932">
        <v>1230671</v>
      </c>
      <c r="E973" s="144"/>
      <c r="F973" s="145"/>
      <c r="G973" s="1389">
        <f t="shared" si="182"/>
        <v>0</v>
      </c>
      <c r="H973" s="1390">
        <f t="shared" si="183"/>
        <v>1230671</v>
      </c>
      <c r="I973" s="2049" t="s">
        <v>674</v>
      </c>
    </row>
    <row r="974" spans="1:9" ht="15" customHeight="1" x14ac:dyDescent="0.35">
      <c r="A974" s="2978"/>
      <c r="B974" s="105">
        <v>53214020000000</v>
      </c>
      <c r="C974" s="1385" t="s">
        <v>132</v>
      </c>
      <c r="D974" s="932">
        <v>546446.99087999994</v>
      </c>
      <c r="E974" s="144"/>
      <c r="F974" s="145"/>
      <c r="G974" s="1389">
        <f t="shared" si="182"/>
        <v>0</v>
      </c>
      <c r="H974" s="1390">
        <f t="shared" si="183"/>
        <v>546446.99087999994</v>
      </c>
      <c r="I974" s="2049" t="s">
        <v>795</v>
      </c>
    </row>
    <row r="975" spans="1:9" ht="15" customHeight="1" x14ac:dyDescent="0.35">
      <c r="A975" s="2978"/>
      <c r="B975" s="1375"/>
      <c r="C975" s="1376" t="s">
        <v>133</v>
      </c>
      <c r="D975" s="1393">
        <f>SUM(D976,D981,D984,D995,D1005,D1013)</f>
        <v>11528536.666749999</v>
      </c>
      <c r="E975" s="1378">
        <f>E976+E981+E984+E995+E1005+E1013</f>
        <v>0</v>
      </c>
      <c r="F975" s="1404">
        <f>F976+F981+F984+F995+F1005+F1013</f>
        <v>0</v>
      </c>
      <c r="G975" s="1394">
        <f>SUM(G976,G981,G984,G995,G1005,G1013)</f>
        <v>0</v>
      </c>
      <c r="H975" s="1042">
        <f>SUM(H976,H981,H984,H995,H1005,H1013)</f>
        <v>11528536.666749999</v>
      </c>
      <c r="I975" s="2049"/>
    </row>
    <row r="976" spans="1:9" ht="15" customHeight="1" x14ac:dyDescent="0.35">
      <c r="A976" s="2978"/>
      <c r="B976" s="1043"/>
      <c r="C976" s="1380" t="s">
        <v>134</v>
      </c>
      <c r="D976" s="1381">
        <f>SUM(D977:D980)</f>
        <v>829376.16299999994</v>
      </c>
      <c r="E976" s="1382">
        <f>SUM(E977:E980)</f>
        <v>0</v>
      </c>
      <c r="F976" s="1405">
        <f>SUM(F977:F980)</f>
        <v>0</v>
      </c>
      <c r="G976" s="1392">
        <f>SUM(G977:G980)</f>
        <v>0</v>
      </c>
      <c r="H976" s="1395">
        <f>SUM(H977:H980)</f>
        <v>829376.16299999994</v>
      </c>
      <c r="I976" s="2049"/>
    </row>
    <row r="977" spans="1:9" ht="15" customHeight="1" x14ac:dyDescent="0.35">
      <c r="A977" s="2978"/>
      <c r="B977" s="105">
        <v>53202020100000</v>
      </c>
      <c r="C977" s="1385" t="s">
        <v>135</v>
      </c>
      <c r="D977" s="932">
        <f>+VISTAMAR!H114</f>
        <v>574901.94299999997</v>
      </c>
      <c r="E977" s="144"/>
      <c r="F977" s="145"/>
      <c r="G977" s="1389">
        <f>E977*F977</f>
        <v>0</v>
      </c>
      <c r="H977" s="1390">
        <f>D977+G977</f>
        <v>574901.94299999997</v>
      </c>
      <c r="I977" s="2049"/>
    </row>
    <row r="978" spans="1:9" ht="15" customHeight="1" x14ac:dyDescent="0.35">
      <c r="A978" s="2978"/>
      <c r="B978" s="105">
        <v>53202030000000</v>
      </c>
      <c r="C978" s="1385" t="s">
        <v>136</v>
      </c>
      <c r="D978" s="932">
        <f>+VISTAMAR!H120</f>
        <v>254474.21999999997</v>
      </c>
      <c r="E978" s="144"/>
      <c r="F978" s="145"/>
      <c r="G978" s="1389">
        <f t="shared" ref="G978:G980" si="184">E978*F978</f>
        <v>0</v>
      </c>
      <c r="H978" s="1390">
        <f>D978+G978</f>
        <v>254474.21999999997</v>
      </c>
      <c r="I978" s="2049"/>
    </row>
    <row r="979" spans="1:9" ht="15" customHeight="1" x14ac:dyDescent="0.35">
      <c r="A979" s="2978"/>
      <c r="B979" s="105">
        <v>53211020000000</v>
      </c>
      <c r="C979" s="1385" t="s">
        <v>137</v>
      </c>
      <c r="D979" s="932">
        <v>0</v>
      </c>
      <c r="E979" s="144"/>
      <c r="F979" s="145"/>
      <c r="G979" s="1389">
        <f t="shared" si="184"/>
        <v>0</v>
      </c>
      <c r="H979" s="1390">
        <f>D979+G979</f>
        <v>0</v>
      </c>
      <c r="I979" s="2049"/>
    </row>
    <row r="980" spans="1:9" ht="15" customHeight="1" x14ac:dyDescent="0.35">
      <c r="A980" s="2978"/>
      <c r="B980" s="105">
        <v>53101004030000</v>
      </c>
      <c r="C980" s="1385" t="s">
        <v>138</v>
      </c>
      <c r="D980" s="932"/>
      <c r="E980" s="144"/>
      <c r="F980" s="145"/>
      <c r="G980" s="1389">
        <f t="shared" si="184"/>
        <v>0</v>
      </c>
      <c r="H980" s="1390">
        <f>D980+G980</f>
        <v>0</v>
      </c>
      <c r="I980" s="2049"/>
    </row>
    <row r="981" spans="1:9" ht="15" customHeight="1" x14ac:dyDescent="0.35">
      <c r="A981" s="2978"/>
      <c r="B981" s="1043"/>
      <c r="C981" s="1380" t="s">
        <v>139</v>
      </c>
      <c r="D981" s="1381">
        <f>SUM(D982:D983)</f>
        <v>1135512</v>
      </c>
      <c r="E981" s="1382">
        <f>SUM(E982:E983)</f>
        <v>0</v>
      </c>
      <c r="F981" s="1405">
        <f>SUM(F982:F983)</f>
        <v>0</v>
      </c>
      <c r="G981" s="1392">
        <f>SUM(G982:G983)</f>
        <v>0</v>
      </c>
      <c r="H981" s="1395">
        <f>SUM(H982:H983)</f>
        <v>1135512</v>
      </c>
      <c r="I981" s="2049"/>
    </row>
    <row r="982" spans="1:9" ht="15" customHeight="1" x14ac:dyDescent="0.35">
      <c r="A982" s="2978"/>
      <c r="B982" s="105">
        <v>53205080000000</v>
      </c>
      <c r="C982" s="1385" t="s">
        <v>140</v>
      </c>
      <c r="D982" s="939">
        <v>1135512</v>
      </c>
      <c r="E982" s="144"/>
      <c r="F982" s="145"/>
      <c r="G982" s="1389">
        <f t="shared" ref="G982:G983" si="185">E982*F982</f>
        <v>0</v>
      </c>
      <c r="H982" s="1390">
        <f>D982+G982</f>
        <v>1135512</v>
      </c>
      <c r="I982" s="2049" t="s">
        <v>1126</v>
      </c>
    </row>
    <row r="983" spans="1:9" ht="15" customHeight="1" x14ac:dyDescent="0.35">
      <c r="A983" s="2978"/>
      <c r="B983" s="105">
        <v>53205990000000</v>
      </c>
      <c r="C983" s="1385" t="s">
        <v>141</v>
      </c>
      <c r="D983" s="932"/>
      <c r="E983" s="144"/>
      <c r="F983" s="145"/>
      <c r="G983" s="1389">
        <f t="shared" si="185"/>
        <v>0</v>
      </c>
      <c r="H983" s="1390">
        <f>D983+G983</f>
        <v>0</v>
      </c>
      <c r="I983" s="2049"/>
    </row>
    <row r="984" spans="1:9" ht="15" customHeight="1" x14ac:dyDescent="0.35">
      <c r="A984" s="2978"/>
      <c r="B984" s="1043"/>
      <c r="C984" s="1380" t="s">
        <v>142</v>
      </c>
      <c r="D984" s="1381">
        <f>SUM(D985:D994)</f>
        <v>2078873.8327499998</v>
      </c>
      <c r="E984" s="1382">
        <f>SUM(E985:E994)</f>
        <v>0</v>
      </c>
      <c r="F984" s="1405">
        <f>SUM(F985:F994)</f>
        <v>0</v>
      </c>
      <c r="G984" s="1383">
        <f>SUM(G985:G994)</f>
        <v>0</v>
      </c>
      <c r="H984" s="1026">
        <f>SUM(H985:H994)</f>
        <v>2078873.8327499998</v>
      </c>
      <c r="I984" s="2049"/>
    </row>
    <row r="985" spans="1:9" ht="15" customHeight="1" x14ac:dyDescent="0.35">
      <c r="A985" s="2978"/>
      <c r="B985" s="105">
        <v>53203010200000</v>
      </c>
      <c r="C985" s="1385" t="s">
        <v>143</v>
      </c>
      <c r="D985" s="932"/>
      <c r="E985" s="143"/>
      <c r="F985" s="145"/>
      <c r="G985" s="1389">
        <f t="shared" ref="G985:G994" si="186">E985*F985</f>
        <v>0</v>
      </c>
      <c r="H985" s="1390">
        <f t="shared" ref="H985:H994" si="187">D985+G985</f>
        <v>0</v>
      </c>
      <c r="I985" s="2049"/>
    </row>
    <row r="986" spans="1:9" ht="15" customHeight="1" x14ac:dyDescent="0.35">
      <c r="A986" s="2978"/>
      <c r="B986" s="105">
        <v>53204010000000</v>
      </c>
      <c r="C986" s="1385" t="s">
        <v>144</v>
      </c>
      <c r="D986" s="932">
        <f>+VISTAMAR!H124</f>
        <v>127280.99999999999</v>
      </c>
      <c r="E986" s="144"/>
      <c r="F986" s="145"/>
      <c r="G986" s="1389">
        <f t="shared" si="186"/>
        <v>0</v>
      </c>
      <c r="H986" s="1390">
        <f t="shared" si="187"/>
        <v>127280.99999999999</v>
      </c>
      <c r="I986" s="2049"/>
    </row>
    <row r="987" spans="1:9" ht="15" customHeight="1" x14ac:dyDescent="0.35">
      <c r="A987" s="2978"/>
      <c r="B987" s="105">
        <v>53204040200000</v>
      </c>
      <c r="C987" s="1396" t="s">
        <v>145</v>
      </c>
      <c r="D987" s="932">
        <f>+VISTAMAR!H138</f>
        <v>86679.614999999991</v>
      </c>
      <c r="E987" s="144"/>
      <c r="F987" s="145"/>
      <c r="G987" s="1389">
        <f t="shared" si="186"/>
        <v>0</v>
      </c>
      <c r="H987" s="1390">
        <f t="shared" si="187"/>
        <v>86679.614999999991</v>
      </c>
      <c r="I987" s="2049"/>
    </row>
    <row r="988" spans="1:9" ht="15" customHeight="1" x14ac:dyDescent="0.35">
      <c r="A988" s="2978"/>
      <c r="B988" s="105">
        <v>53204060000000</v>
      </c>
      <c r="C988" s="1396" t="s">
        <v>146</v>
      </c>
      <c r="D988" s="932">
        <f>+VISTAMAR!H145</f>
        <v>83589.549999999988</v>
      </c>
      <c r="E988" s="144"/>
      <c r="F988" s="145"/>
      <c r="G988" s="1389">
        <f t="shared" si="186"/>
        <v>0</v>
      </c>
      <c r="H988" s="1390">
        <f t="shared" si="187"/>
        <v>83589.549999999988</v>
      </c>
      <c r="I988" s="2049"/>
    </row>
    <row r="989" spans="1:9" ht="15" customHeight="1" x14ac:dyDescent="0.35">
      <c r="A989" s="2978"/>
      <c r="B989" s="105">
        <v>53204070000000</v>
      </c>
      <c r="C989" s="1385" t="s">
        <v>147</v>
      </c>
      <c r="D989" s="932">
        <f>+VISTAMAR!H149</f>
        <v>1327848.0599999998</v>
      </c>
      <c r="E989" s="144"/>
      <c r="F989" s="145"/>
      <c r="G989" s="1389">
        <f t="shared" si="186"/>
        <v>0</v>
      </c>
      <c r="H989" s="1390">
        <f t="shared" si="187"/>
        <v>1327848.0599999998</v>
      </c>
      <c r="I989" s="2049"/>
    </row>
    <row r="990" spans="1:9" ht="15" customHeight="1" x14ac:dyDescent="0.35">
      <c r="A990" s="2978"/>
      <c r="B990" s="105">
        <v>53204080000000</v>
      </c>
      <c r="C990" s="1396" t="s">
        <v>148</v>
      </c>
      <c r="D990" s="932">
        <f>+VISTAMAR!H153</f>
        <v>221539.99999999997</v>
      </c>
      <c r="E990" s="144"/>
      <c r="F990" s="145"/>
      <c r="G990" s="1389">
        <f t="shared" si="186"/>
        <v>0</v>
      </c>
      <c r="H990" s="1390">
        <f t="shared" si="187"/>
        <v>221539.99999999997</v>
      </c>
      <c r="I990" s="2049"/>
    </row>
    <row r="991" spans="1:9" ht="15" customHeight="1" x14ac:dyDescent="0.35">
      <c r="A991" s="2978"/>
      <c r="B991" s="105">
        <v>53214010000000</v>
      </c>
      <c r="C991" s="1396" t="s">
        <v>149</v>
      </c>
      <c r="D991" s="932"/>
      <c r="E991" s="144"/>
      <c r="F991" s="145"/>
      <c r="G991" s="1389">
        <f t="shared" si="186"/>
        <v>0</v>
      </c>
      <c r="H991" s="1390">
        <f t="shared" si="187"/>
        <v>0</v>
      </c>
      <c r="I991" s="2049"/>
    </row>
    <row r="992" spans="1:9" ht="15" customHeight="1" x14ac:dyDescent="0.35">
      <c r="A992" s="2978"/>
      <c r="B992" s="105">
        <v>53214040000000</v>
      </c>
      <c r="C992" s="1385" t="s">
        <v>150</v>
      </c>
      <c r="D992" s="932">
        <f>+VISTAMAR!H161</f>
        <v>231935.60775</v>
      </c>
      <c r="E992" s="143"/>
      <c r="F992" s="145"/>
      <c r="G992" s="1389">
        <f t="shared" si="186"/>
        <v>0</v>
      </c>
      <c r="H992" s="1390">
        <f t="shared" si="187"/>
        <v>231935.60775</v>
      </c>
      <c r="I992" s="2049"/>
    </row>
    <row r="993" spans="1:9" ht="15" customHeight="1" x14ac:dyDescent="0.35">
      <c r="A993" s="2978"/>
      <c r="B993" s="105">
        <v>55201010100004</v>
      </c>
      <c r="C993" s="1385" t="s">
        <v>151</v>
      </c>
      <c r="D993" s="961">
        <f>'I) Costo Desayuno'!F37</f>
        <v>0</v>
      </c>
      <c r="E993" s="143"/>
      <c r="F993" s="145"/>
      <c r="G993" s="1389">
        <f t="shared" si="186"/>
        <v>0</v>
      </c>
      <c r="H993" s="1390">
        <f>D993+G993</f>
        <v>0</v>
      </c>
      <c r="I993" s="2049"/>
    </row>
    <row r="994" spans="1:9" ht="15" customHeight="1" x14ac:dyDescent="0.35">
      <c r="A994" s="2978"/>
      <c r="B994" s="105">
        <v>55201010100005</v>
      </c>
      <c r="C994" s="1385" t="s">
        <v>152</v>
      </c>
      <c r="D994" s="932"/>
      <c r="E994" s="143"/>
      <c r="F994" s="145"/>
      <c r="G994" s="1389">
        <f t="shared" si="186"/>
        <v>0</v>
      </c>
      <c r="H994" s="1390">
        <f t="shared" si="187"/>
        <v>0</v>
      </c>
      <c r="I994" s="2049"/>
    </row>
    <row r="995" spans="1:9" ht="15" customHeight="1" x14ac:dyDescent="0.35">
      <c r="A995" s="2978"/>
      <c r="B995" s="1043"/>
      <c r="C995" s="1380" t="s">
        <v>153</v>
      </c>
      <c r="D995" s="1381">
        <f>SUM(D996:D1004)</f>
        <v>0</v>
      </c>
      <c r="E995" s="1382">
        <f>SUM(E996:E1004)</f>
        <v>0</v>
      </c>
      <c r="F995" s="1405">
        <f>SUM(F996:F1004)</f>
        <v>0</v>
      </c>
      <c r="G995" s="1383">
        <f>SUM(G996:G1004)</f>
        <v>0</v>
      </c>
      <c r="H995" s="1026">
        <f>SUM(H996:H1004)</f>
        <v>0</v>
      </c>
      <c r="I995" s="2049"/>
    </row>
    <row r="996" spans="1:9" ht="15" customHeight="1" x14ac:dyDescent="0.35">
      <c r="A996" s="2978"/>
      <c r="B996" s="105">
        <v>53207010000000</v>
      </c>
      <c r="C996" s="1385" t="s">
        <v>154</v>
      </c>
      <c r="D996" s="932"/>
      <c r="E996" s="144"/>
      <c r="F996" s="145"/>
      <c r="G996" s="1389">
        <f t="shared" ref="G996:G1004" si="188">E996*F996</f>
        <v>0</v>
      </c>
      <c r="H996" s="1390">
        <f t="shared" ref="H996:H1004" si="189">D996+G996</f>
        <v>0</v>
      </c>
      <c r="I996" s="2049"/>
    </row>
    <row r="997" spans="1:9" ht="15" customHeight="1" x14ac:dyDescent="0.35">
      <c r="A997" s="2978"/>
      <c r="B997" s="105">
        <v>53207020000000</v>
      </c>
      <c r="C997" s="1385" t="s">
        <v>155</v>
      </c>
      <c r="D997" s="932"/>
      <c r="E997" s="144"/>
      <c r="F997" s="145"/>
      <c r="G997" s="1389">
        <f t="shared" si="188"/>
        <v>0</v>
      </c>
      <c r="H997" s="1390">
        <f t="shared" si="189"/>
        <v>0</v>
      </c>
      <c r="I997" s="2049"/>
    </row>
    <row r="998" spans="1:9" ht="15" customHeight="1" x14ac:dyDescent="0.35">
      <c r="A998" s="2978"/>
      <c r="B998" s="105">
        <v>53208020000000</v>
      </c>
      <c r="C998" s="1385" t="s">
        <v>156</v>
      </c>
      <c r="D998" s="932"/>
      <c r="E998" s="144"/>
      <c r="F998" s="145"/>
      <c r="G998" s="1389">
        <f t="shared" si="188"/>
        <v>0</v>
      </c>
      <c r="H998" s="1390">
        <f t="shared" si="189"/>
        <v>0</v>
      </c>
      <c r="I998" s="2049"/>
    </row>
    <row r="999" spans="1:9" ht="15" customHeight="1" x14ac:dyDescent="0.35">
      <c r="A999" s="2978"/>
      <c r="B999" s="105">
        <v>53208990000000</v>
      </c>
      <c r="C999" s="1385" t="s">
        <v>157</v>
      </c>
      <c r="D999" s="932"/>
      <c r="E999" s="144"/>
      <c r="F999" s="145"/>
      <c r="G999" s="1389">
        <f t="shared" si="188"/>
        <v>0</v>
      </c>
      <c r="H999" s="1390">
        <f t="shared" si="189"/>
        <v>0</v>
      </c>
      <c r="I999" s="2049" t="s">
        <v>1108</v>
      </c>
    </row>
    <row r="1000" spans="1:9" ht="15" customHeight="1" x14ac:dyDescent="0.35">
      <c r="A1000" s="2978"/>
      <c r="B1000" s="105">
        <v>53209010000000</v>
      </c>
      <c r="C1000" s="1385" t="s">
        <v>158</v>
      </c>
      <c r="D1000" s="932"/>
      <c r="E1000" s="144"/>
      <c r="F1000" s="145"/>
      <c r="G1000" s="1389">
        <f t="shared" si="188"/>
        <v>0</v>
      </c>
      <c r="H1000" s="1390">
        <f t="shared" si="189"/>
        <v>0</v>
      </c>
      <c r="I1000" s="591"/>
    </row>
    <row r="1001" spans="1:9" ht="15" customHeight="1" x14ac:dyDescent="0.35">
      <c r="A1001" s="2978"/>
      <c r="B1001" s="105">
        <v>53209040000000</v>
      </c>
      <c r="C1001" s="1385" t="s">
        <v>159</v>
      </c>
      <c r="D1001" s="932"/>
      <c r="E1001" s="144"/>
      <c r="F1001" s="145"/>
      <c r="G1001" s="1389">
        <f t="shared" si="188"/>
        <v>0</v>
      </c>
      <c r="H1001" s="1390">
        <f t="shared" si="189"/>
        <v>0</v>
      </c>
      <c r="I1001" s="591"/>
    </row>
    <row r="1002" spans="1:9" ht="15" customHeight="1" x14ac:dyDescent="0.35">
      <c r="A1002" s="2978"/>
      <c r="B1002" s="105">
        <v>53209050000000</v>
      </c>
      <c r="C1002" s="1385" t="s">
        <v>160</v>
      </c>
      <c r="D1002" s="932"/>
      <c r="E1002" s="144"/>
      <c r="F1002" s="145"/>
      <c r="G1002" s="1389">
        <f t="shared" si="188"/>
        <v>0</v>
      </c>
      <c r="H1002" s="1390">
        <f t="shared" si="189"/>
        <v>0</v>
      </c>
      <c r="I1002" s="591"/>
    </row>
    <row r="1003" spans="1:9" ht="15" customHeight="1" x14ac:dyDescent="0.35">
      <c r="A1003" s="2978"/>
      <c r="B1003" s="105">
        <v>53209990000000</v>
      </c>
      <c r="C1003" s="1385" t="s">
        <v>161</v>
      </c>
      <c r="D1003" s="932"/>
      <c r="E1003" s="144"/>
      <c r="F1003" s="145"/>
      <c r="G1003" s="1389">
        <f t="shared" si="188"/>
        <v>0</v>
      </c>
      <c r="H1003" s="1390">
        <f t="shared" si="189"/>
        <v>0</v>
      </c>
      <c r="I1003" s="591"/>
    </row>
    <row r="1004" spans="1:9" ht="15" customHeight="1" x14ac:dyDescent="0.35">
      <c r="A1004" s="2978"/>
      <c r="B1004" s="105">
        <v>53210020100000</v>
      </c>
      <c r="C1004" s="1385" t="s">
        <v>162</v>
      </c>
      <c r="D1004" s="962"/>
      <c r="E1004" s="144"/>
      <c r="F1004" s="145"/>
      <c r="G1004" s="1389">
        <f t="shared" si="188"/>
        <v>0</v>
      </c>
      <c r="H1004" s="1390">
        <f t="shared" si="189"/>
        <v>0</v>
      </c>
      <c r="I1004" s="591"/>
    </row>
    <row r="1005" spans="1:9" ht="15" customHeight="1" x14ac:dyDescent="0.35">
      <c r="A1005" s="2978"/>
      <c r="B1005" s="1043"/>
      <c r="C1005" s="1380" t="s">
        <v>163</v>
      </c>
      <c r="D1005" s="1381">
        <f>SUM(D1006:D1012)</f>
        <v>7484774.6710000001</v>
      </c>
      <c r="E1005" s="1382">
        <f>SUM(E1006:E1012)</f>
        <v>0</v>
      </c>
      <c r="F1005" s="1405">
        <f>SUM(F1006:F1012)</f>
        <v>0</v>
      </c>
      <c r="G1005" s="1383">
        <f>SUM(G1006:G1012)</f>
        <v>0</v>
      </c>
      <c r="H1005" s="1026">
        <f>SUM(H1006:H1012)</f>
        <v>7484774.6710000001</v>
      </c>
      <c r="I1005" s="626"/>
    </row>
    <row r="1006" spans="1:9" ht="15" customHeight="1" x14ac:dyDescent="0.35">
      <c r="A1006" s="2978"/>
      <c r="B1006" s="105">
        <v>53206030000000</v>
      </c>
      <c r="C1006" s="1385" t="s">
        <v>164</v>
      </c>
      <c r="D1006" s="932">
        <f>+VISTAMAR!H165</f>
        <v>664620</v>
      </c>
      <c r="E1006" s="144"/>
      <c r="F1006" s="145"/>
      <c r="G1006" s="1389">
        <f t="shared" ref="G1006:G1012" si="190">E1006*F1006</f>
        <v>0</v>
      </c>
      <c r="H1006" s="1390">
        <f t="shared" ref="H1006:H1012" si="191">D1006+G1006</f>
        <v>664620</v>
      </c>
      <c r="I1006" s="591"/>
    </row>
    <row r="1007" spans="1:9" ht="15" customHeight="1" x14ac:dyDescent="0.35">
      <c r="A1007" s="2978"/>
      <c r="B1007" s="105">
        <v>53206040000000</v>
      </c>
      <c r="C1007" s="1385" t="s">
        <v>165</v>
      </c>
      <c r="D1007" s="932">
        <f>+VISTAMAR!H169</f>
        <v>198550</v>
      </c>
      <c r="E1007" s="144"/>
      <c r="F1007" s="145"/>
      <c r="G1007" s="1389">
        <f t="shared" si="190"/>
        <v>0</v>
      </c>
      <c r="H1007" s="1390">
        <f t="shared" si="191"/>
        <v>198550</v>
      </c>
      <c r="I1007" s="591"/>
    </row>
    <row r="1008" spans="1:9" ht="15" customHeight="1" x14ac:dyDescent="0.35">
      <c r="A1008" s="2978"/>
      <c r="B1008" s="105">
        <v>53206060000000</v>
      </c>
      <c r="C1008" s="1385" t="s">
        <v>166</v>
      </c>
      <c r="D1008" s="939">
        <f>+VISTAMAR!H180</f>
        <v>2395885.9732499998</v>
      </c>
      <c r="E1008" s="144"/>
      <c r="F1008" s="145"/>
      <c r="G1008" s="1389">
        <f t="shared" si="190"/>
        <v>0</v>
      </c>
      <c r="H1008" s="1390">
        <f t="shared" si="191"/>
        <v>2395885.9732499998</v>
      </c>
      <c r="I1008" s="591"/>
    </row>
    <row r="1009" spans="1:9" ht="15" customHeight="1" x14ac:dyDescent="0.35">
      <c r="A1009" s="2978"/>
      <c r="B1009" s="105">
        <v>53206070000000</v>
      </c>
      <c r="C1009" s="1385" t="s">
        <v>167</v>
      </c>
      <c r="D1009" s="932">
        <f>+VISTAMAR!H184</f>
        <v>120697.49999999999</v>
      </c>
      <c r="E1009" s="144"/>
      <c r="F1009" s="145"/>
      <c r="G1009" s="1389">
        <f t="shared" si="190"/>
        <v>0</v>
      </c>
      <c r="H1009" s="1390">
        <f t="shared" si="191"/>
        <v>120697.49999999999</v>
      </c>
      <c r="I1009" s="591"/>
    </row>
    <row r="1010" spans="1:9" ht="15" customHeight="1" x14ac:dyDescent="0.35">
      <c r="A1010" s="2978"/>
      <c r="B1010" s="105">
        <v>53206990000000</v>
      </c>
      <c r="C1010" s="1385" t="s">
        <v>168</v>
      </c>
      <c r="D1010" s="932">
        <f>+VISTAMAR!H194</f>
        <v>3766441.1977499998</v>
      </c>
      <c r="E1010" s="144"/>
      <c r="F1010" s="145"/>
      <c r="G1010" s="1389">
        <f t="shared" si="190"/>
        <v>0</v>
      </c>
      <c r="H1010" s="1390">
        <f t="shared" si="191"/>
        <v>3766441.1977499998</v>
      </c>
      <c r="I1010" s="591"/>
    </row>
    <row r="1011" spans="1:9" ht="15" customHeight="1" x14ac:dyDescent="0.35">
      <c r="A1011" s="2978"/>
      <c r="B1011" s="105">
        <v>53208030000000</v>
      </c>
      <c r="C1011" s="1385" t="s">
        <v>169</v>
      </c>
      <c r="D1011" s="932">
        <f>+VISTAMAR!H92</f>
        <v>338580</v>
      </c>
      <c r="E1011" s="144"/>
      <c r="F1011" s="145"/>
      <c r="G1011" s="1389">
        <f t="shared" si="190"/>
        <v>0</v>
      </c>
      <c r="H1011" s="1390">
        <f t="shared" si="191"/>
        <v>338580</v>
      </c>
      <c r="I1011" s="591"/>
    </row>
    <row r="1012" spans="1:9" ht="15" customHeight="1" x14ac:dyDescent="0.35">
      <c r="A1012" s="2978"/>
      <c r="B1012" s="105">
        <v>53212060000000</v>
      </c>
      <c r="C1012" s="1385" t="s">
        <v>170</v>
      </c>
      <c r="D1012" s="932"/>
      <c r="E1012" s="143"/>
      <c r="F1012" s="145"/>
      <c r="G1012" s="1389">
        <f t="shared" si="190"/>
        <v>0</v>
      </c>
      <c r="H1012" s="1390">
        <f t="shared" si="191"/>
        <v>0</v>
      </c>
      <c r="I1012" s="591"/>
    </row>
    <row r="1013" spans="1:9" ht="15" customHeight="1" x14ac:dyDescent="0.35">
      <c r="A1013" s="2978"/>
      <c r="B1013" s="1043"/>
      <c r="C1013" s="1380" t="s">
        <v>171</v>
      </c>
      <c r="D1013" s="1381">
        <f>SUM(D1014:D1015)</f>
        <v>0</v>
      </c>
      <c r="E1013" s="1382">
        <f>SUM(E1014:E1015)</f>
        <v>0</v>
      </c>
      <c r="F1013" s="1405">
        <f>SUM(F1014:F1015)</f>
        <v>0</v>
      </c>
      <c r="G1013" s="1383">
        <f>SUM(G1014:G1015)</f>
        <v>0</v>
      </c>
      <c r="H1013" s="1026">
        <f>SUM(H1014:H1015)</f>
        <v>0</v>
      </c>
      <c r="I1013" s="626"/>
    </row>
    <row r="1014" spans="1:9" ht="15" customHeight="1" x14ac:dyDescent="0.35">
      <c r="A1014" s="2978"/>
      <c r="B1014" s="105">
        <v>53210020500000</v>
      </c>
      <c r="C1014" s="1385" t="s">
        <v>172</v>
      </c>
      <c r="D1014" s="932"/>
      <c r="E1014" s="143"/>
      <c r="F1014" s="145"/>
      <c r="G1014" s="1389">
        <f t="shared" ref="G1014:G1015" si="192">E1014*F1014</f>
        <v>0</v>
      </c>
      <c r="H1014" s="1397">
        <f>D1014+G1014</f>
        <v>0</v>
      </c>
      <c r="I1014" s="591"/>
    </row>
    <row r="1015" spans="1:9" ht="15" customHeight="1" x14ac:dyDescent="0.35">
      <c r="A1015" s="2978"/>
      <c r="B1015" s="1053">
        <v>53204999000000</v>
      </c>
      <c r="C1015" s="1035" t="s">
        <v>173</v>
      </c>
      <c r="D1015" s="932"/>
      <c r="E1015" s="144"/>
      <c r="F1015" s="145"/>
      <c r="G1015" s="1036">
        <f t="shared" si="192"/>
        <v>0</v>
      </c>
      <c r="H1015" s="1397">
        <f>D1015+G1015</f>
        <v>0</v>
      </c>
      <c r="I1015" s="591"/>
    </row>
    <row r="1016" spans="1:9" ht="15" customHeight="1" x14ac:dyDescent="0.35">
      <c r="A1016" s="2979"/>
      <c r="B1016" s="1398"/>
      <c r="C1016" s="1399" t="s">
        <v>12</v>
      </c>
      <c r="D1016" s="1400">
        <f>SUM(D947,D975)</f>
        <v>176481283.77513003</v>
      </c>
      <c r="E1016" s="1401">
        <f>E947+E975</f>
        <v>0</v>
      </c>
      <c r="F1016" s="1401">
        <f>F947+F975</f>
        <v>0</v>
      </c>
      <c r="G1016" s="1400">
        <f>SUM(G947,G975)</f>
        <v>0</v>
      </c>
      <c r="H1016" s="1402">
        <f>SUM(H947,H975)</f>
        <v>176481283.77513003</v>
      </c>
      <c r="I1016" s="626"/>
    </row>
    <row r="1017" spans="1:9" ht="15" customHeight="1" x14ac:dyDescent="0.35">
      <c r="A1017" s="3056" t="s">
        <v>21</v>
      </c>
      <c r="B1017" s="3057" t="s">
        <v>97</v>
      </c>
      <c r="C1017" s="3058" t="s">
        <v>98</v>
      </c>
      <c r="D1017" s="3059" t="s">
        <v>99</v>
      </c>
      <c r="E1017" s="3060" t="s">
        <v>100</v>
      </c>
      <c r="F1017" s="3060"/>
      <c r="G1017" s="3060"/>
      <c r="H1017" s="3061" t="str">
        <f>+H945</f>
        <v>COSTO DIRECTO ESTIMADO 2026</v>
      </c>
      <c r="I1017" s="2987" t="s">
        <v>101</v>
      </c>
    </row>
    <row r="1018" spans="1:9" ht="38.25" customHeight="1" x14ac:dyDescent="0.35">
      <c r="A1018" s="2967"/>
      <c r="B1018" s="2981"/>
      <c r="C1018" s="2999"/>
      <c r="D1018" s="3001"/>
      <c r="E1018" s="1121" t="s">
        <v>102</v>
      </c>
      <c r="F1018" s="117" t="s">
        <v>103</v>
      </c>
      <c r="G1018" s="1122" t="s">
        <v>104</v>
      </c>
      <c r="H1018" s="2993"/>
      <c r="I1018" s="2987"/>
    </row>
    <row r="1019" spans="1:9" ht="15" customHeight="1" x14ac:dyDescent="0.35">
      <c r="A1019" s="3062" t="str">
        <f>'A) Resumen Ingresos y Egresos'!A304</f>
        <v>Cabaña Isla de Pascua</v>
      </c>
      <c r="B1019" s="1375"/>
      <c r="C1019" s="1376" t="s">
        <v>105</v>
      </c>
      <c r="D1019" s="1377">
        <f>SUM(D1020,D1025,D1027)</f>
        <v>5283199.25</v>
      </c>
      <c r="E1019" s="1378">
        <f>E1020+E1025+E1027</f>
        <v>0</v>
      </c>
      <c r="F1019" s="1404">
        <f>F1020+F10907+F1027</f>
        <v>0</v>
      </c>
      <c r="G1019" s="1377">
        <f>SUM(G1020,G1025,G1027)</f>
        <v>0</v>
      </c>
      <c r="H1019" s="1379">
        <f>SUM(H1020,H1025,H1027)</f>
        <v>5283199.25</v>
      </c>
      <c r="I1019" s="626"/>
    </row>
    <row r="1020" spans="1:9" ht="15" customHeight="1" x14ac:dyDescent="0.35">
      <c r="A1020" s="2978"/>
      <c r="B1020" s="1043"/>
      <c r="C1020" s="1380" t="s">
        <v>106</v>
      </c>
      <c r="D1020" s="1381">
        <f>SUM(D1021:D1024)</f>
        <v>0</v>
      </c>
      <c r="E1020" s="1382">
        <f>SUM(E1021:E1024)</f>
        <v>0</v>
      </c>
      <c r="F1020" s="1405">
        <f>SUM(F1021:F1024)</f>
        <v>0</v>
      </c>
      <c r="G1020" s="1383">
        <f>SUM(G1021:G1024)</f>
        <v>0</v>
      </c>
      <c r="H1020" s="1384">
        <f>SUM(H1021:H1024)</f>
        <v>0</v>
      </c>
      <c r="I1020" s="626"/>
    </row>
    <row r="1021" spans="1:9" ht="15" customHeight="1" x14ac:dyDescent="0.35">
      <c r="A1021" s="2978"/>
      <c r="B1021" s="105">
        <v>53103040100000</v>
      </c>
      <c r="C1021" s="1385" t="s">
        <v>107</v>
      </c>
      <c r="D1021" s="1403">
        <f>'F) Remuneraciones'!M372</f>
        <v>0</v>
      </c>
      <c r="E1021" s="1387"/>
      <c r="F1021" s="1406"/>
      <c r="G1021" s="1387">
        <f>E1021*F1021</f>
        <v>0</v>
      </c>
      <c r="H1021" s="1076">
        <f>D1021+G1021</f>
        <v>0</v>
      </c>
      <c r="I1021" s="626"/>
    </row>
    <row r="1022" spans="1:9" ht="15" customHeight="1" x14ac:dyDescent="0.35">
      <c r="A1022" s="2978"/>
      <c r="B1022" s="105">
        <v>53103050000000</v>
      </c>
      <c r="C1022" s="1385" t="s">
        <v>108</v>
      </c>
      <c r="D1022" s="932"/>
      <c r="E1022" s="144"/>
      <c r="F1022" s="145"/>
      <c r="G1022" s="1389">
        <f>E1022*F1022</f>
        <v>0</v>
      </c>
      <c r="H1022" s="1076">
        <f>D1022+G1022</f>
        <v>0</v>
      </c>
      <c r="I1022" s="626"/>
    </row>
    <row r="1023" spans="1:9" ht="15" customHeight="1" x14ac:dyDescent="0.35">
      <c r="A1023" s="2978"/>
      <c r="B1023" s="105">
        <v>53103060000000</v>
      </c>
      <c r="C1023" s="1385" t="s">
        <v>109</v>
      </c>
      <c r="D1023" s="932"/>
      <c r="E1023" s="144"/>
      <c r="F1023" s="145"/>
      <c r="G1023" s="1389">
        <f t="shared" ref="G1023:G1024" si="193">E1023*F1023</f>
        <v>0</v>
      </c>
      <c r="H1023" s="1390">
        <f>D1023+G1023</f>
        <v>0</v>
      </c>
      <c r="I1023" s="591"/>
    </row>
    <row r="1024" spans="1:9" ht="15" customHeight="1" x14ac:dyDescent="0.35">
      <c r="A1024" s="2978"/>
      <c r="B1024" s="105">
        <v>53103080010000</v>
      </c>
      <c r="C1024" s="1385" t="s">
        <v>110</v>
      </c>
      <c r="D1024" s="932"/>
      <c r="E1024" s="144"/>
      <c r="F1024" s="145"/>
      <c r="G1024" s="1389">
        <f t="shared" si="193"/>
        <v>0</v>
      </c>
      <c r="H1024" s="1390">
        <f>D1024+G1024</f>
        <v>0</v>
      </c>
      <c r="I1024" s="591"/>
    </row>
    <row r="1025" spans="1:9" ht="15" customHeight="1" x14ac:dyDescent="0.35">
      <c r="A1025" s="2978"/>
      <c r="B1025" s="1043"/>
      <c r="C1025" s="1380" t="s">
        <v>111</v>
      </c>
      <c r="D1025" s="1381">
        <f>SUM(D1026)</f>
        <v>0</v>
      </c>
      <c r="E1025" s="1382">
        <f>SUM(E1026:E1029)</f>
        <v>0</v>
      </c>
      <c r="F1025" s="1405">
        <f>SUM(F1026:F1029)</f>
        <v>0</v>
      </c>
      <c r="G1025" s="1392">
        <f>SUM(G1026:G1026)</f>
        <v>0</v>
      </c>
      <c r="H1025" s="1026">
        <f>SUM(H1026:H1026)</f>
        <v>0</v>
      </c>
      <c r="I1025" s="626"/>
    </row>
    <row r="1026" spans="1:9" ht="15" customHeight="1" x14ac:dyDescent="0.35">
      <c r="A1026" s="2978"/>
      <c r="B1026" s="105">
        <v>55201010100001</v>
      </c>
      <c r="C1026" s="1385" t="s">
        <v>112</v>
      </c>
      <c r="D1026" s="932"/>
      <c r="E1026" s="144"/>
      <c r="F1026" s="145"/>
      <c r="G1026" s="1389">
        <f t="shared" ref="G1026" si="194">E1026*F1026</f>
        <v>0</v>
      </c>
      <c r="H1026" s="1390">
        <f>D1026+G1026</f>
        <v>0</v>
      </c>
      <c r="I1026" s="591"/>
    </row>
    <row r="1027" spans="1:9" ht="15" customHeight="1" x14ac:dyDescent="0.35">
      <c r="A1027" s="2978"/>
      <c r="B1027" s="1043"/>
      <c r="C1027" s="1380" t="s">
        <v>113</v>
      </c>
      <c r="D1027" s="1381">
        <f>SUM(D1028:D1046)</f>
        <v>5283199.25</v>
      </c>
      <c r="E1027" s="1382">
        <f>SUM(E1028:E1031)</f>
        <v>0</v>
      </c>
      <c r="F1027" s="1405">
        <f>SUM(F1028:F1031)</f>
        <v>0</v>
      </c>
      <c r="G1027" s="1383">
        <f>SUM(G1028:G1046)</f>
        <v>0</v>
      </c>
      <c r="H1027" s="1026">
        <f>SUM(H1028:H1046)</f>
        <v>5283199.25</v>
      </c>
      <c r="I1027" s="626"/>
    </row>
    <row r="1028" spans="1:9" ht="15" customHeight="1" x14ac:dyDescent="0.35">
      <c r="A1028" s="2978"/>
      <c r="B1028" s="105">
        <v>53201010100000</v>
      </c>
      <c r="C1028" s="1385" t="s">
        <v>114</v>
      </c>
      <c r="D1028" s="932">
        <v>341250</v>
      </c>
      <c r="E1028" s="144"/>
      <c r="F1028" s="145"/>
      <c r="G1028" s="1389">
        <f t="shared" ref="G1028:G1046" si="195">E1028*F1028</f>
        <v>0</v>
      </c>
      <c r="H1028" s="1390">
        <f t="shared" ref="H1028" si="196">D1028+G1028</f>
        <v>341250</v>
      </c>
      <c r="I1028" s="591" t="s">
        <v>1127</v>
      </c>
    </row>
    <row r="1029" spans="1:9" ht="15" customHeight="1" x14ac:dyDescent="0.35">
      <c r="A1029" s="2978"/>
      <c r="B1029" s="105">
        <v>53202010100000</v>
      </c>
      <c r="C1029" s="1385" t="s">
        <v>115</v>
      </c>
      <c r="D1029" s="932">
        <v>1084744.5</v>
      </c>
      <c r="E1029" s="144"/>
      <c r="F1029" s="145"/>
      <c r="G1029" s="1389">
        <f t="shared" si="195"/>
        <v>0</v>
      </c>
      <c r="H1029" s="1390">
        <f>D1029+G1029</f>
        <v>1084744.5</v>
      </c>
      <c r="I1029" s="591"/>
    </row>
    <row r="1030" spans="1:9" ht="15" customHeight="1" x14ac:dyDescent="0.35">
      <c r="A1030" s="2978"/>
      <c r="B1030" s="105">
        <v>53203010100000</v>
      </c>
      <c r="C1030" s="1385" t="s">
        <v>116</v>
      </c>
      <c r="D1030" s="932"/>
      <c r="E1030" s="144"/>
      <c r="F1030" s="145"/>
      <c r="G1030" s="1389">
        <f t="shared" si="195"/>
        <v>0</v>
      </c>
      <c r="H1030" s="1390">
        <f t="shared" ref="H1030:H1046" si="197">D1030+G1030</f>
        <v>0</v>
      </c>
      <c r="I1030" s="591"/>
    </row>
    <row r="1031" spans="1:9" ht="15" customHeight="1" x14ac:dyDescent="0.35">
      <c r="A1031" s="2978"/>
      <c r="B1031" s="105">
        <v>53203030000000</v>
      </c>
      <c r="C1031" s="1385" t="s">
        <v>117</v>
      </c>
      <c r="D1031" s="932"/>
      <c r="E1031" s="144"/>
      <c r="F1031" s="145"/>
      <c r="G1031" s="1389">
        <f t="shared" si="195"/>
        <v>0</v>
      </c>
      <c r="H1031" s="1390">
        <f t="shared" si="197"/>
        <v>0</v>
      </c>
      <c r="I1031" s="591"/>
    </row>
    <row r="1032" spans="1:9" ht="15" customHeight="1" x14ac:dyDescent="0.35">
      <c r="A1032" s="2978"/>
      <c r="B1032" s="105">
        <v>53204030000000</v>
      </c>
      <c r="C1032" s="1385" t="s">
        <v>118</v>
      </c>
      <c r="D1032" s="932">
        <v>780480.75</v>
      </c>
      <c r="E1032" s="144"/>
      <c r="F1032" s="145"/>
      <c r="G1032" s="1389">
        <f t="shared" si="195"/>
        <v>0</v>
      </c>
      <c r="H1032" s="1390">
        <f t="shared" si="197"/>
        <v>780480.75</v>
      </c>
      <c r="I1032" s="591"/>
    </row>
    <row r="1033" spans="1:9" ht="15" customHeight="1" x14ac:dyDescent="0.35">
      <c r="A1033" s="2978"/>
      <c r="B1033" s="105">
        <v>53204100100001</v>
      </c>
      <c r="C1033" s="1385" t="s">
        <v>119</v>
      </c>
      <c r="D1033" s="932">
        <v>472500</v>
      </c>
      <c r="E1033" s="144"/>
      <c r="F1033" s="145"/>
      <c r="G1033" s="1389">
        <f t="shared" si="195"/>
        <v>0</v>
      </c>
      <c r="H1033" s="1390">
        <f t="shared" si="197"/>
        <v>472500</v>
      </c>
      <c r="I1033" s="591"/>
    </row>
    <row r="1034" spans="1:9" ht="15" customHeight="1" x14ac:dyDescent="0.35">
      <c r="A1034" s="2978"/>
      <c r="B1034" s="105">
        <v>53204130100000</v>
      </c>
      <c r="C1034" s="1385" t="s">
        <v>120</v>
      </c>
      <c r="D1034" s="932">
        <v>189000</v>
      </c>
      <c r="E1034" s="144"/>
      <c r="F1034" s="145"/>
      <c r="G1034" s="1389">
        <f t="shared" si="195"/>
        <v>0</v>
      </c>
      <c r="H1034" s="1390">
        <f t="shared" si="197"/>
        <v>189000</v>
      </c>
      <c r="I1034" s="591"/>
    </row>
    <row r="1035" spans="1:9" x14ac:dyDescent="0.35">
      <c r="A1035" s="2978"/>
      <c r="B1035" s="105">
        <v>53205010100000</v>
      </c>
      <c r="C1035" s="1385" t="s">
        <v>121</v>
      </c>
      <c r="D1035" s="939">
        <v>213343</v>
      </c>
      <c r="E1035" s="144"/>
      <c r="F1035" s="145"/>
      <c r="G1035" s="1389">
        <f t="shared" si="195"/>
        <v>0</v>
      </c>
      <c r="H1035" s="1390">
        <f t="shared" si="197"/>
        <v>213343</v>
      </c>
      <c r="I1035" s="591"/>
    </row>
    <row r="1036" spans="1:9" ht="15" customHeight="1" x14ac:dyDescent="0.35">
      <c r="A1036" s="2978"/>
      <c r="B1036" s="105">
        <v>53205020100000</v>
      </c>
      <c r="C1036" s="1385" t="s">
        <v>122</v>
      </c>
      <c r="D1036" s="939">
        <v>440000</v>
      </c>
      <c r="E1036" s="144"/>
      <c r="F1036" s="145"/>
      <c r="G1036" s="1389">
        <f t="shared" si="195"/>
        <v>0</v>
      </c>
      <c r="H1036" s="1390">
        <f t="shared" si="197"/>
        <v>440000</v>
      </c>
      <c r="I1036" s="591"/>
    </row>
    <row r="1037" spans="1:9" ht="15" customHeight="1" x14ac:dyDescent="0.35">
      <c r="A1037" s="2978"/>
      <c r="B1037" s="105">
        <v>53205030100000</v>
      </c>
      <c r="C1037" s="1385" t="s">
        <v>123</v>
      </c>
      <c r="D1037" s="939">
        <v>506471</v>
      </c>
      <c r="E1037" s="144"/>
      <c r="F1037" s="145"/>
      <c r="G1037" s="1389">
        <f t="shared" si="195"/>
        <v>0</v>
      </c>
      <c r="H1037" s="1390">
        <f t="shared" si="197"/>
        <v>506471</v>
      </c>
      <c r="I1037" s="591" t="s">
        <v>1128</v>
      </c>
    </row>
    <row r="1038" spans="1:9" ht="15" customHeight="1" x14ac:dyDescent="0.35">
      <c r="A1038" s="2978"/>
      <c r="B1038" s="105">
        <v>53205050100000</v>
      </c>
      <c r="C1038" s="1385" t="s">
        <v>124</v>
      </c>
      <c r="D1038" s="932"/>
      <c r="E1038" s="144"/>
      <c r="F1038" s="145"/>
      <c r="G1038" s="1389">
        <f t="shared" si="195"/>
        <v>0</v>
      </c>
      <c r="H1038" s="1390">
        <f t="shared" si="197"/>
        <v>0</v>
      </c>
      <c r="I1038" s="591"/>
    </row>
    <row r="1039" spans="1:9" ht="15" customHeight="1" x14ac:dyDescent="0.35">
      <c r="A1039" s="2978"/>
      <c r="B1039" s="105">
        <v>53205060100000</v>
      </c>
      <c r="C1039" s="1385" t="s">
        <v>125</v>
      </c>
      <c r="D1039" s="932"/>
      <c r="E1039" s="144"/>
      <c r="F1039" s="145"/>
      <c r="G1039" s="1389">
        <f t="shared" si="195"/>
        <v>0</v>
      </c>
      <c r="H1039" s="1390">
        <f t="shared" si="197"/>
        <v>0</v>
      </c>
      <c r="I1039" s="591"/>
    </row>
    <row r="1040" spans="1:9" ht="15" customHeight="1" x14ac:dyDescent="0.35">
      <c r="A1040" s="2978"/>
      <c r="B1040" s="105">
        <v>53205070100000</v>
      </c>
      <c r="C1040" s="1385" t="s">
        <v>126</v>
      </c>
      <c r="D1040" s="932"/>
      <c r="E1040" s="144"/>
      <c r="F1040" s="145"/>
      <c r="G1040" s="1389">
        <f t="shared" si="195"/>
        <v>0</v>
      </c>
      <c r="H1040" s="1390">
        <f t="shared" si="197"/>
        <v>0</v>
      </c>
      <c r="I1040" s="591"/>
    </row>
    <row r="1041" spans="1:9" ht="15" customHeight="1" x14ac:dyDescent="0.35">
      <c r="A1041" s="2978"/>
      <c r="B1041" s="105">
        <v>53208010100000</v>
      </c>
      <c r="C1041" s="1385" t="s">
        <v>127</v>
      </c>
      <c r="D1041" s="932"/>
      <c r="E1041" s="144"/>
      <c r="F1041" s="145"/>
      <c r="G1041" s="1389">
        <f t="shared" si="195"/>
        <v>0</v>
      </c>
      <c r="H1041" s="1390">
        <f t="shared" si="197"/>
        <v>0</v>
      </c>
      <c r="I1041" s="591"/>
    </row>
    <row r="1042" spans="1:9" ht="15" customHeight="1" x14ac:dyDescent="0.35">
      <c r="A1042" s="2978"/>
      <c r="B1042" s="105">
        <v>53208070100001</v>
      </c>
      <c r="C1042" s="1385" t="s">
        <v>128</v>
      </c>
      <c r="D1042" s="932"/>
      <c r="E1042" s="144"/>
      <c r="F1042" s="145"/>
      <c r="G1042" s="1389">
        <f t="shared" si="195"/>
        <v>0</v>
      </c>
      <c r="H1042" s="1390">
        <f t="shared" si="197"/>
        <v>0</v>
      </c>
      <c r="I1042" s="591"/>
    </row>
    <row r="1043" spans="1:9" ht="15" customHeight="1" x14ac:dyDescent="0.35">
      <c r="A1043" s="2978"/>
      <c r="B1043" s="105">
        <v>53208100100001</v>
      </c>
      <c r="C1043" s="1385" t="s">
        <v>129</v>
      </c>
      <c r="D1043" s="932"/>
      <c r="E1043" s="144"/>
      <c r="F1043" s="145"/>
      <c r="G1043" s="1389">
        <f t="shared" si="195"/>
        <v>0</v>
      </c>
      <c r="H1043" s="1390">
        <f t="shared" si="197"/>
        <v>0</v>
      </c>
      <c r="I1043" s="591"/>
    </row>
    <row r="1044" spans="1:9" ht="15" customHeight="1" x14ac:dyDescent="0.35">
      <c r="A1044" s="2978"/>
      <c r="B1044" s="105">
        <v>53211030000000</v>
      </c>
      <c r="C1044" s="1385" t="s">
        <v>130</v>
      </c>
      <c r="D1044" s="932"/>
      <c r="E1044" s="144"/>
      <c r="F1044" s="145"/>
      <c r="G1044" s="1389">
        <f t="shared" si="195"/>
        <v>0</v>
      </c>
      <c r="H1044" s="1390">
        <f t="shared" si="197"/>
        <v>0</v>
      </c>
      <c r="I1044" s="591"/>
    </row>
    <row r="1045" spans="1:9" ht="15" customHeight="1" x14ac:dyDescent="0.35">
      <c r="A1045" s="2978"/>
      <c r="B1045" s="105">
        <v>53212020100000</v>
      </c>
      <c r="C1045" s="1385" t="s">
        <v>131</v>
      </c>
      <c r="D1045" s="932">
        <v>1255410</v>
      </c>
      <c r="E1045" s="144"/>
      <c r="F1045" s="145"/>
      <c r="G1045" s="1389">
        <f t="shared" si="195"/>
        <v>0</v>
      </c>
      <c r="H1045" s="1390">
        <f t="shared" si="197"/>
        <v>1255410</v>
      </c>
      <c r="I1045" s="591"/>
    </row>
    <row r="1046" spans="1:9" ht="15" customHeight="1" x14ac:dyDescent="0.35">
      <c r="A1046" s="2978"/>
      <c r="B1046" s="105">
        <v>53214020000000</v>
      </c>
      <c r="C1046" s="1385" t="s">
        <v>132</v>
      </c>
      <c r="D1046" s="932"/>
      <c r="E1046" s="144"/>
      <c r="F1046" s="145"/>
      <c r="G1046" s="1389">
        <f t="shared" si="195"/>
        <v>0</v>
      </c>
      <c r="H1046" s="1390">
        <f t="shared" si="197"/>
        <v>0</v>
      </c>
      <c r="I1046" s="591"/>
    </row>
    <row r="1047" spans="1:9" ht="15" customHeight="1" x14ac:dyDescent="0.35">
      <c r="A1047" s="2978"/>
      <c r="B1047" s="1375"/>
      <c r="C1047" s="1376" t="s">
        <v>133</v>
      </c>
      <c r="D1047" s="1393">
        <f>SUM(D1048,D1053,D1056,D1067,D1077,D1085)</f>
        <v>4291245</v>
      </c>
      <c r="E1047" s="1378">
        <f>E1048+E1053+E1056+E1067+E1077+E1085</f>
        <v>0</v>
      </c>
      <c r="F1047" s="1404">
        <f>F1048+F1053+F1056+F1067+F1077+F1085</f>
        <v>0</v>
      </c>
      <c r="G1047" s="1394">
        <f>SUM(G1048,G1053,G1056,G1067,G1077,G1085)</f>
        <v>0</v>
      </c>
      <c r="H1047" s="1042">
        <f>SUM(H1048,H1053,H1056,H1067,H1077,H1085)</f>
        <v>4291245</v>
      </c>
      <c r="I1047" s="626"/>
    </row>
    <row r="1048" spans="1:9" ht="15" customHeight="1" x14ac:dyDescent="0.35">
      <c r="A1048" s="2978"/>
      <c r="B1048" s="1043"/>
      <c r="C1048" s="1380" t="s">
        <v>134</v>
      </c>
      <c r="D1048" s="1381">
        <f>SUM(D1049:D1052)</f>
        <v>0</v>
      </c>
      <c r="E1048" s="1382">
        <f>SUM(E1049:E1052)</f>
        <v>0</v>
      </c>
      <c r="F1048" s="1405">
        <f>SUM(F1049:F1052)</f>
        <v>0</v>
      </c>
      <c r="G1048" s="1392">
        <f>SUM(G1049:G1052)</f>
        <v>0</v>
      </c>
      <c r="H1048" s="1395">
        <f>SUM(H1049:H1052)</f>
        <v>0</v>
      </c>
      <c r="I1048" s="591"/>
    </row>
    <row r="1049" spans="1:9" ht="15" customHeight="1" x14ac:dyDescent="0.35">
      <c r="A1049" s="2978"/>
      <c r="B1049" s="105">
        <v>53202020100000</v>
      </c>
      <c r="C1049" s="1385" t="s">
        <v>135</v>
      </c>
      <c r="D1049" s="932"/>
      <c r="E1049" s="144"/>
      <c r="F1049" s="145"/>
      <c r="G1049" s="1389">
        <f>E1049*F1049</f>
        <v>0</v>
      </c>
      <c r="H1049" s="1390">
        <f>D1049+G1049</f>
        <v>0</v>
      </c>
      <c r="I1049" s="591"/>
    </row>
    <row r="1050" spans="1:9" ht="15" customHeight="1" x14ac:dyDescent="0.35">
      <c r="A1050" s="2978"/>
      <c r="B1050" s="105">
        <v>53202030000000</v>
      </c>
      <c r="C1050" s="1385" t="s">
        <v>136</v>
      </c>
      <c r="D1050" s="932"/>
      <c r="E1050" s="144"/>
      <c r="F1050" s="145"/>
      <c r="G1050" s="1389">
        <f t="shared" ref="G1050:G1052" si="198">E1050*F1050</f>
        <v>0</v>
      </c>
      <c r="H1050" s="1390">
        <f>D1050+G1050</f>
        <v>0</v>
      </c>
      <c r="I1050" s="591"/>
    </row>
    <row r="1051" spans="1:9" ht="15" customHeight="1" x14ac:dyDescent="0.35">
      <c r="A1051" s="2978"/>
      <c r="B1051" s="105">
        <v>53211020000000</v>
      </c>
      <c r="C1051" s="1385" t="s">
        <v>137</v>
      </c>
      <c r="D1051" s="932"/>
      <c r="E1051" s="144"/>
      <c r="F1051" s="145"/>
      <c r="G1051" s="1389">
        <f t="shared" si="198"/>
        <v>0</v>
      </c>
      <c r="H1051" s="1390">
        <f>D1051+G1051</f>
        <v>0</v>
      </c>
      <c r="I1051" s="591"/>
    </row>
    <row r="1052" spans="1:9" ht="15" customHeight="1" x14ac:dyDescent="0.35">
      <c r="A1052" s="2978"/>
      <c r="B1052" s="105">
        <v>53101004030000</v>
      </c>
      <c r="C1052" s="1385" t="s">
        <v>138</v>
      </c>
      <c r="D1052" s="932"/>
      <c r="E1052" s="144"/>
      <c r="F1052" s="145"/>
      <c r="G1052" s="1389">
        <f t="shared" si="198"/>
        <v>0</v>
      </c>
      <c r="H1052" s="1390">
        <f>D1052+G1052</f>
        <v>0</v>
      </c>
      <c r="I1052" s="591"/>
    </row>
    <row r="1053" spans="1:9" ht="15" customHeight="1" x14ac:dyDescent="0.35">
      <c r="A1053" s="2978"/>
      <c r="B1053" s="1043"/>
      <c r="C1053" s="1380" t="s">
        <v>139</v>
      </c>
      <c r="D1053" s="1381">
        <f>SUM(D1054:D1055)</f>
        <v>0</v>
      </c>
      <c r="E1053" s="1382">
        <f>SUM(E1054:E1055)</f>
        <v>0</v>
      </c>
      <c r="F1053" s="1405">
        <f>SUM(F1054:F1055)</f>
        <v>0</v>
      </c>
      <c r="G1053" s="1392">
        <f>SUM(G1054:G1055)</f>
        <v>0</v>
      </c>
      <c r="H1053" s="1395">
        <f>SUM(H1054:H1055)</f>
        <v>0</v>
      </c>
      <c r="I1053" s="591"/>
    </row>
    <row r="1054" spans="1:9" ht="15" customHeight="1" x14ac:dyDescent="0.35">
      <c r="A1054" s="2978"/>
      <c r="B1054" s="105">
        <v>53205080000000</v>
      </c>
      <c r="C1054" s="1385" t="s">
        <v>140</v>
      </c>
      <c r="D1054" s="939"/>
      <c r="E1054" s="144"/>
      <c r="F1054" s="145"/>
      <c r="G1054" s="1389">
        <f t="shared" ref="G1054:G1055" si="199">E1054*F1054</f>
        <v>0</v>
      </c>
      <c r="H1054" s="1390">
        <f>D1054+G1054</f>
        <v>0</v>
      </c>
      <c r="I1054" s="591"/>
    </row>
    <row r="1055" spans="1:9" ht="15" customHeight="1" x14ac:dyDescent="0.35">
      <c r="A1055" s="2978"/>
      <c r="B1055" s="105">
        <v>53205990000000</v>
      </c>
      <c r="C1055" s="1385" t="s">
        <v>141</v>
      </c>
      <c r="D1055" s="932"/>
      <c r="E1055" s="144"/>
      <c r="F1055" s="145"/>
      <c r="G1055" s="1389">
        <f t="shared" si="199"/>
        <v>0</v>
      </c>
      <c r="H1055" s="1390">
        <f>D1055+G1055</f>
        <v>0</v>
      </c>
      <c r="I1055" s="591"/>
    </row>
    <row r="1056" spans="1:9" ht="15" customHeight="1" x14ac:dyDescent="0.35">
      <c r="A1056" s="2978"/>
      <c r="B1056" s="1043"/>
      <c r="C1056" s="1380" t="s">
        <v>142</v>
      </c>
      <c r="D1056" s="1381">
        <f>SUM(D1057:D1066)</f>
        <v>2763495</v>
      </c>
      <c r="E1056" s="1382">
        <f>SUM(E1057:E1066)</f>
        <v>0</v>
      </c>
      <c r="F1056" s="1405">
        <f>SUM(F1057:F1066)</f>
        <v>0</v>
      </c>
      <c r="G1056" s="1383">
        <f>SUM(G1057:G1066)</f>
        <v>0</v>
      </c>
      <c r="H1056" s="1026">
        <f>SUM(H1057:H1066)</f>
        <v>2763495</v>
      </c>
      <c r="I1056" s="626"/>
    </row>
    <row r="1057" spans="1:9" ht="15" customHeight="1" x14ac:dyDescent="0.35">
      <c r="A1057" s="2978"/>
      <c r="B1057" s="105">
        <v>53203010200000</v>
      </c>
      <c r="C1057" s="1385" t="s">
        <v>143</v>
      </c>
      <c r="D1057" s="932"/>
      <c r="E1057" s="143"/>
      <c r="F1057" s="145"/>
      <c r="G1057" s="1389">
        <f t="shared" ref="G1057:G1066" si="200">E1057*F1057</f>
        <v>0</v>
      </c>
      <c r="H1057" s="1390">
        <f t="shared" ref="H1057:H1064" si="201">D1057+G1057</f>
        <v>0</v>
      </c>
      <c r="I1057" s="591"/>
    </row>
    <row r="1058" spans="1:9" ht="15" customHeight="1" x14ac:dyDescent="0.35">
      <c r="A1058" s="2978"/>
      <c r="B1058" s="105">
        <v>53204010000000</v>
      </c>
      <c r="C1058" s="1385" t="s">
        <v>144</v>
      </c>
      <c r="D1058" s="932"/>
      <c r="E1058" s="144"/>
      <c r="F1058" s="145"/>
      <c r="G1058" s="1389">
        <f t="shared" si="200"/>
        <v>0</v>
      </c>
      <c r="H1058" s="1390">
        <f t="shared" si="201"/>
        <v>0</v>
      </c>
      <c r="I1058" s="591"/>
    </row>
    <row r="1059" spans="1:9" ht="15" customHeight="1" x14ac:dyDescent="0.35">
      <c r="A1059" s="2978"/>
      <c r="B1059" s="105">
        <v>53204040200000</v>
      </c>
      <c r="C1059" s="1396" t="s">
        <v>145</v>
      </c>
      <c r="D1059" s="932"/>
      <c r="E1059" s="144"/>
      <c r="F1059" s="145"/>
      <c r="G1059" s="1389">
        <f t="shared" si="200"/>
        <v>0</v>
      </c>
      <c r="H1059" s="1390">
        <f t="shared" si="201"/>
        <v>0</v>
      </c>
      <c r="I1059" s="591"/>
    </row>
    <row r="1060" spans="1:9" ht="15" customHeight="1" x14ac:dyDescent="0.35">
      <c r="A1060" s="2978"/>
      <c r="B1060" s="105">
        <v>53204060000000</v>
      </c>
      <c r="C1060" s="1396" t="s">
        <v>146</v>
      </c>
      <c r="D1060" s="932"/>
      <c r="E1060" s="144"/>
      <c r="F1060" s="145"/>
      <c r="G1060" s="1389">
        <f t="shared" si="200"/>
        <v>0</v>
      </c>
      <c r="H1060" s="1390">
        <f t="shared" si="201"/>
        <v>0</v>
      </c>
      <c r="I1060" s="591"/>
    </row>
    <row r="1061" spans="1:9" ht="15" customHeight="1" x14ac:dyDescent="0.35">
      <c r="A1061" s="2978"/>
      <c r="B1061" s="105">
        <v>53204070000000</v>
      </c>
      <c r="C1061" s="1385" t="s">
        <v>147</v>
      </c>
      <c r="D1061" s="932">
        <v>420000</v>
      </c>
      <c r="E1061" s="144"/>
      <c r="F1061" s="145"/>
      <c r="G1061" s="1389">
        <f t="shared" si="200"/>
        <v>0</v>
      </c>
      <c r="H1061" s="1390">
        <f t="shared" si="201"/>
        <v>420000</v>
      </c>
      <c r="I1061" s="591"/>
    </row>
    <row r="1062" spans="1:9" ht="15" customHeight="1" x14ac:dyDescent="0.35">
      <c r="A1062" s="2978"/>
      <c r="B1062" s="105">
        <v>53204080000000</v>
      </c>
      <c r="C1062" s="1396" t="s">
        <v>148</v>
      </c>
      <c r="D1062" s="932">
        <v>281295</v>
      </c>
      <c r="E1062" s="144"/>
      <c r="F1062" s="145"/>
      <c r="G1062" s="1389">
        <f t="shared" si="200"/>
        <v>0</v>
      </c>
      <c r="H1062" s="1390">
        <f t="shared" si="201"/>
        <v>281295</v>
      </c>
      <c r="I1062" s="591"/>
    </row>
    <row r="1063" spans="1:9" ht="15" customHeight="1" x14ac:dyDescent="0.35">
      <c r="A1063" s="2978"/>
      <c r="B1063" s="105">
        <v>53214010000000</v>
      </c>
      <c r="C1063" s="1396" t="s">
        <v>149</v>
      </c>
      <c r="D1063" s="932">
        <v>2062200</v>
      </c>
      <c r="E1063" s="144"/>
      <c r="F1063" s="145"/>
      <c r="G1063" s="1389">
        <f t="shared" si="200"/>
        <v>0</v>
      </c>
      <c r="H1063" s="1390">
        <f t="shared" si="201"/>
        <v>2062200</v>
      </c>
      <c r="I1063" s="591"/>
    </row>
    <row r="1064" spans="1:9" ht="15" customHeight="1" x14ac:dyDescent="0.35">
      <c r="A1064" s="2978"/>
      <c r="B1064" s="105">
        <v>53214040000000</v>
      </c>
      <c r="C1064" s="1385" t="s">
        <v>150</v>
      </c>
      <c r="D1064" s="932"/>
      <c r="E1064" s="143"/>
      <c r="F1064" s="145"/>
      <c r="G1064" s="1389">
        <f t="shared" si="200"/>
        <v>0</v>
      </c>
      <c r="H1064" s="1390">
        <f t="shared" si="201"/>
        <v>0</v>
      </c>
      <c r="I1064" s="591"/>
    </row>
    <row r="1065" spans="1:9" ht="15" customHeight="1" x14ac:dyDescent="0.35">
      <c r="A1065" s="2978"/>
      <c r="B1065" s="105">
        <v>55201010100004</v>
      </c>
      <c r="C1065" s="1385" t="s">
        <v>151</v>
      </c>
      <c r="D1065" s="961">
        <f>'I) Costo Desayuno'!F109</f>
        <v>0</v>
      </c>
      <c r="E1065" s="143"/>
      <c r="F1065" s="145"/>
      <c r="G1065" s="1389">
        <f t="shared" si="200"/>
        <v>0</v>
      </c>
      <c r="H1065" s="1390">
        <f>D1065+G1065</f>
        <v>0</v>
      </c>
      <c r="I1065" s="591"/>
    </row>
    <row r="1066" spans="1:9" ht="15" customHeight="1" x14ac:dyDescent="0.35">
      <c r="A1066" s="2978"/>
      <c r="B1066" s="105">
        <v>55201010100005</v>
      </c>
      <c r="C1066" s="1385" t="s">
        <v>152</v>
      </c>
      <c r="D1066" s="932"/>
      <c r="E1066" s="143"/>
      <c r="F1066" s="145"/>
      <c r="G1066" s="1389">
        <f t="shared" si="200"/>
        <v>0</v>
      </c>
      <c r="H1066" s="1390">
        <f t="shared" ref="H1066" si="202">D1066+G1066</f>
        <v>0</v>
      </c>
      <c r="I1066" s="591"/>
    </row>
    <row r="1067" spans="1:9" ht="15" customHeight="1" x14ac:dyDescent="0.35">
      <c r="A1067" s="2978"/>
      <c r="B1067" s="1043"/>
      <c r="C1067" s="1380" t="s">
        <v>153</v>
      </c>
      <c r="D1067" s="1381">
        <f>SUM(D1068:D1076)</f>
        <v>0</v>
      </c>
      <c r="E1067" s="1382">
        <f>SUM(E1068:E1076)</f>
        <v>0</v>
      </c>
      <c r="F1067" s="1405">
        <f>SUM(F1068:F1076)</f>
        <v>0</v>
      </c>
      <c r="G1067" s="1383">
        <f>SUM(G1068:G1076)</f>
        <v>0</v>
      </c>
      <c r="H1067" s="1026">
        <f>SUM(H1068:H1076)</f>
        <v>0</v>
      </c>
      <c r="I1067" s="626"/>
    </row>
    <row r="1068" spans="1:9" ht="15" customHeight="1" x14ac:dyDescent="0.35">
      <c r="A1068" s="2978"/>
      <c r="B1068" s="105">
        <v>53207010000000</v>
      </c>
      <c r="C1068" s="1385" t="s">
        <v>154</v>
      </c>
      <c r="D1068" s="932"/>
      <c r="E1068" s="144"/>
      <c r="F1068" s="145"/>
      <c r="G1068" s="1389">
        <f t="shared" ref="G1068:G1076" si="203">E1068*F1068</f>
        <v>0</v>
      </c>
      <c r="H1068" s="1390">
        <f t="shared" ref="H1068:H1076" si="204">D1068+G1068</f>
        <v>0</v>
      </c>
      <c r="I1068" s="591"/>
    </row>
    <row r="1069" spans="1:9" ht="15" customHeight="1" x14ac:dyDescent="0.35">
      <c r="A1069" s="2978"/>
      <c r="B1069" s="105">
        <v>53207020000000</v>
      </c>
      <c r="C1069" s="1385" t="s">
        <v>155</v>
      </c>
      <c r="D1069" s="932"/>
      <c r="E1069" s="144"/>
      <c r="F1069" s="145"/>
      <c r="G1069" s="1389">
        <f t="shared" si="203"/>
        <v>0</v>
      </c>
      <c r="H1069" s="1390">
        <f t="shared" si="204"/>
        <v>0</v>
      </c>
      <c r="I1069" s="591"/>
    </row>
    <row r="1070" spans="1:9" ht="15" customHeight="1" x14ac:dyDescent="0.35">
      <c r="A1070" s="2978"/>
      <c r="B1070" s="105">
        <v>53208020000000</v>
      </c>
      <c r="C1070" s="1385" t="s">
        <v>156</v>
      </c>
      <c r="D1070" s="932"/>
      <c r="E1070" s="144"/>
      <c r="F1070" s="145"/>
      <c r="G1070" s="1389">
        <f t="shared" si="203"/>
        <v>0</v>
      </c>
      <c r="H1070" s="1390">
        <f t="shared" si="204"/>
        <v>0</v>
      </c>
      <c r="I1070" s="591"/>
    </row>
    <row r="1071" spans="1:9" ht="15" customHeight="1" x14ac:dyDescent="0.35">
      <c r="A1071" s="2978"/>
      <c r="B1071" s="105">
        <v>53208990000000</v>
      </c>
      <c r="C1071" s="1385" t="s">
        <v>157</v>
      </c>
      <c r="D1071" s="932"/>
      <c r="E1071" s="144"/>
      <c r="F1071" s="145"/>
      <c r="G1071" s="1389">
        <f t="shared" si="203"/>
        <v>0</v>
      </c>
      <c r="H1071" s="1390">
        <f t="shared" si="204"/>
        <v>0</v>
      </c>
      <c r="I1071" s="591"/>
    </row>
    <row r="1072" spans="1:9" ht="15" customHeight="1" x14ac:dyDescent="0.35">
      <c r="A1072" s="2978"/>
      <c r="B1072" s="105">
        <v>53209010000000</v>
      </c>
      <c r="C1072" s="1385" t="s">
        <v>158</v>
      </c>
      <c r="D1072" s="932"/>
      <c r="E1072" s="144"/>
      <c r="F1072" s="145"/>
      <c r="G1072" s="1389">
        <f t="shared" si="203"/>
        <v>0</v>
      </c>
      <c r="H1072" s="1390">
        <f t="shared" si="204"/>
        <v>0</v>
      </c>
      <c r="I1072" s="591"/>
    </row>
    <row r="1073" spans="1:9" ht="15" customHeight="1" x14ac:dyDescent="0.35">
      <c r="A1073" s="2978"/>
      <c r="B1073" s="105">
        <v>53209040000000</v>
      </c>
      <c r="C1073" s="1385" t="s">
        <v>159</v>
      </c>
      <c r="D1073" s="932"/>
      <c r="E1073" s="144"/>
      <c r="F1073" s="145"/>
      <c r="G1073" s="1389">
        <f t="shared" si="203"/>
        <v>0</v>
      </c>
      <c r="H1073" s="1390">
        <f t="shared" si="204"/>
        <v>0</v>
      </c>
      <c r="I1073" s="591"/>
    </row>
    <row r="1074" spans="1:9" ht="15" customHeight="1" x14ac:dyDescent="0.35">
      <c r="A1074" s="2978"/>
      <c r="B1074" s="105">
        <v>53209050000000</v>
      </c>
      <c r="C1074" s="1385" t="s">
        <v>160</v>
      </c>
      <c r="D1074" s="932"/>
      <c r="E1074" s="144"/>
      <c r="F1074" s="145"/>
      <c r="G1074" s="1389">
        <f t="shared" si="203"/>
        <v>0</v>
      </c>
      <c r="H1074" s="1390">
        <f t="shared" si="204"/>
        <v>0</v>
      </c>
      <c r="I1074" s="591"/>
    </row>
    <row r="1075" spans="1:9" ht="15" customHeight="1" x14ac:dyDescent="0.35">
      <c r="A1075" s="2978"/>
      <c r="B1075" s="105">
        <v>53209990000000</v>
      </c>
      <c r="C1075" s="1385" t="s">
        <v>161</v>
      </c>
      <c r="D1075" s="932"/>
      <c r="E1075" s="144"/>
      <c r="F1075" s="145"/>
      <c r="G1075" s="1389">
        <f t="shared" si="203"/>
        <v>0</v>
      </c>
      <c r="H1075" s="1390">
        <f t="shared" si="204"/>
        <v>0</v>
      </c>
      <c r="I1075" s="591"/>
    </row>
    <row r="1076" spans="1:9" ht="15" customHeight="1" x14ac:dyDescent="0.35">
      <c r="A1076" s="2978"/>
      <c r="B1076" s="105">
        <v>53210020100000</v>
      </c>
      <c r="C1076" s="1385" t="s">
        <v>162</v>
      </c>
      <c r="D1076" s="962"/>
      <c r="E1076" s="144"/>
      <c r="F1076" s="145"/>
      <c r="G1076" s="1389">
        <f t="shared" si="203"/>
        <v>0</v>
      </c>
      <c r="H1076" s="1390">
        <f t="shared" si="204"/>
        <v>0</v>
      </c>
      <c r="I1076" s="591"/>
    </row>
    <row r="1077" spans="1:9" ht="15" customHeight="1" x14ac:dyDescent="0.35">
      <c r="A1077" s="2978"/>
      <c r="B1077" s="1043"/>
      <c r="C1077" s="1380" t="s">
        <v>163</v>
      </c>
      <c r="D1077" s="1381">
        <f>SUM(D1078:D1084)</f>
        <v>1527750</v>
      </c>
      <c r="E1077" s="1382">
        <f>SUM(E1078:E1084)</f>
        <v>0</v>
      </c>
      <c r="F1077" s="1405">
        <f>SUM(F1078:F1084)</f>
        <v>0</v>
      </c>
      <c r="G1077" s="1383">
        <f>SUM(G1078:G1084)</f>
        <v>0</v>
      </c>
      <c r="H1077" s="1026">
        <f>SUM(H1078:H1084)</f>
        <v>1527750</v>
      </c>
      <c r="I1077" s="626"/>
    </row>
    <row r="1078" spans="1:9" ht="15" customHeight="1" x14ac:dyDescent="0.35">
      <c r="A1078" s="2978"/>
      <c r="B1078" s="105">
        <v>53206030000000</v>
      </c>
      <c r="C1078" s="1385" t="s">
        <v>164</v>
      </c>
      <c r="D1078" s="932"/>
      <c r="E1078" s="144"/>
      <c r="F1078" s="145"/>
      <c r="G1078" s="1389">
        <f t="shared" ref="G1078:G1084" si="205">E1078*F1078</f>
        <v>0</v>
      </c>
      <c r="H1078" s="1390">
        <f t="shared" ref="H1078:H1084" si="206">D1078+G1078</f>
        <v>0</v>
      </c>
      <c r="I1078" s="591"/>
    </row>
    <row r="1079" spans="1:9" ht="15" customHeight="1" x14ac:dyDescent="0.35">
      <c r="A1079" s="2978"/>
      <c r="B1079" s="105">
        <v>53206040000000</v>
      </c>
      <c r="C1079" s="1385" t="s">
        <v>165</v>
      </c>
      <c r="D1079" s="932"/>
      <c r="E1079" s="144"/>
      <c r="F1079" s="145"/>
      <c r="G1079" s="1389">
        <f t="shared" si="205"/>
        <v>0</v>
      </c>
      <c r="H1079" s="1390">
        <f t="shared" si="206"/>
        <v>0</v>
      </c>
      <c r="I1079" s="591"/>
    </row>
    <row r="1080" spans="1:9" ht="15" customHeight="1" x14ac:dyDescent="0.35">
      <c r="A1080" s="2978"/>
      <c r="B1080" s="105">
        <v>53206060000000</v>
      </c>
      <c r="C1080" s="1385" t="s">
        <v>166</v>
      </c>
      <c r="D1080" s="939">
        <v>267750</v>
      </c>
      <c r="E1080" s="144"/>
      <c r="F1080" s="145"/>
      <c r="G1080" s="1389">
        <f t="shared" si="205"/>
        <v>0</v>
      </c>
      <c r="H1080" s="1390">
        <f t="shared" si="206"/>
        <v>267750</v>
      </c>
      <c r="I1080" s="591"/>
    </row>
    <row r="1081" spans="1:9" ht="15" customHeight="1" x14ac:dyDescent="0.35">
      <c r="A1081" s="2978"/>
      <c r="B1081" s="105">
        <v>53206070000000</v>
      </c>
      <c r="C1081" s="1385" t="s">
        <v>167</v>
      </c>
      <c r="D1081" s="932"/>
      <c r="E1081" s="144"/>
      <c r="F1081" s="145"/>
      <c r="G1081" s="1389">
        <f t="shared" si="205"/>
        <v>0</v>
      </c>
      <c r="H1081" s="1390">
        <f t="shared" si="206"/>
        <v>0</v>
      </c>
      <c r="I1081" s="591"/>
    </row>
    <row r="1082" spans="1:9" ht="15" customHeight="1" x14ac:dyDescent="0.35">
      <c r="A1082" s="2978"/>
      <c r="B1082" s="105">
        <v>53206990000000</v>
      </c>
      <c r="C1082" s="1385" t="s">
        <v>168</v>
      </c>
      <c r="D1082" s="932">
        <v>1260000</v>
      </c>
      <c r="E1082" s="144"/>
      <c r="F1082" s="145"/>
      <c r="G1082" s="1389">
        <f t="shared" si="205"/>
        <v>0</v>
      </c>
      <c r="H1082" s="1390">
        <f t="shared" si="206"/>
        <v>1260000</v>
      </c>
      <c r="I1082" s="591"/>
    </row>
    <row r="1083" spans="1:9" ht="15" customHeight="1" x14ac:dyDescent="0.35">
      <c r="A1083" s="2978"/>
      <c r="B1083" s="105">
        <v>53208030000000</v>
      </c>
      <c r="C1083" s="1385" t="s">
        <v>169</v>
      </c>
      <c r="D1083" s="932"/>
      <c r="E1083" s="144"/>
      <c r="F1083" s="145"/>
      <c r="G1083" s="1389">
        <f t="shared" si="205"/>
        <v>0</v>
      </c>
      <c r="H1083" s="1390">
        <f t="shared" si="206"/>
        <v>0</v>
      </c>
      <c r="I1083" s="591"/>
    </row>
    <row r="1084" spans="1:9" ht="15" customHeight="1" x14ac:dyDescent="0.35">
      <c r="A1084" s="2978"/>
      <c r="B1084" s="105">
        <v>53212060000000</v>
      </c>
      <c r="C1084" s="1385" t="s">
        <v>170</v>
      </c>
      <c r="D1084" s="932"/>
      <c r="E1084" s="143"/>
      <c r="F1084" s="145"/>
      <c r="G1084" s="1389">
        <f t="shared" si="205"/>
        <v>0</v>
      </c>
      <c r="H1084" s="1390">
        <f t="shared" si="206"/>
        <v>0</v>
      </c>
      <c r="I1084" s="591"/>
    </row>
    <row r="1085" spans="1:9" ht="15" customHeight="1" x14ac:dyDescent="0.35">
      <c r="A1085" s="2978"/>
      <c r="B1085" s="1043"/>
      <c r="C1085" s="1380" t="s">
        <v>171</v>
      </c>
      <c r="D1085" s="1381">
        <f>SUM(D1086:D1087)</f>
        <v>0</v>
      </c>
      <c r="E1085" s="1382">
        <f>SUM(E1086:E1087)</f>
        <v>0</v>
      </c>
      <c r="F1085" s="1405">
        <f>SUM(F1086:F1087)</f>
        <v>0</v>
      </c>
      <c r="G1085" s="1383">
        <f>SUM(G1086:G1087)</f>
        <v>0</v>
      </c>
      <c r="H1085" s="1026">
        <f>SUM(H1086:H1087)</f>
        <v>0</v>
      </c>
      <c r="I1085" s="626"/>
    </row>
    <row r="1086" spans="1:9" ht="15" customHeight="1" x14ac:dyDescent="0.35">
      <c r="A1086" s="2978"/>
      <c r="B1086" s="105">
        <v>53210020500000</v>
      </c>
      <c r="C1086" s="1385" t="s">
        <v>172</v>
      </c>
      <c r="D1086" s="932"/>
      <c r="E1086" s="143"/>
      <c r="F1086" s="145"/>
      <c r="G1086" s="1389">
        <f t="shared" ref="G1086:G1087" si="207">E1086*F1086</f>
        <v>0</v>
      </c>
      <c r="H1086" s="1397">
        <f>D1086+G1086</f>
        <v>0</v>
      </c>
      <c r="I1086" s="591"/>
    </row>
    <row r="1087" spans="1:9" ht="15" customHeight="1" x14ac:dyDescent="0.35">
      <c r="A1087" s="2978"/>
      <c r="B1087" s="1053">
        <v>53204999000000</v>
      </c>
      <c r="C1087" s="1035" t="s">
        <v>173</v>
      </c>
      <c r="D1087" s="932"/>
      <c r="E1087" s="144"/>
      <c r="F1087" s="145"/>
      <c r="G1087" s="1036">
        <f t="shared" si="207"/>
        <v>0</v>
      </c>
      <c r="H1087" s="1397">
        <f>D1087+G1087</f>
        <v>0</v>
      </c>
      <c r="I1087" s="591"/>
    </row>
    <row r="1088" spans="1:9" ht="15" customHeight="1" x14ac:dyDescent="0.35">
      <c r="A1088" s="2979"/>
      <c r="B1088" s="1398"/>
      <c r="C1088" s="1399" t="s">
        <v>12</v>
      </c>
      <c r="D1088" s="1400">
        <f>SUM(D1019,D1047)</f>
        <v>9574444.25</v>
      </c>
      <c r="E1088" s="1401">
        <f>E1019+E1047</f>
        <v>0</v>
      </c>
      <c r="F1088" s="1401">
        <f>F1019+F1047</f>
        <v>0</v>
      </c>
      <c r="G1088" s="1400">
        <f>SUM(G1019,G1047)</f>
        <v>0</v>
      </c>
      <c r="H1088" s="1402">
        <f>SUM(H1019,H1047)</f>
        <v>9574444.25</v>
      </c>
      <c r="I1088" s="626"/>
    </row>
  </sheetData>
  <autoFilter ref="A9:I1088" xr:uid="{00000000-0009-0000-0000-000006000000}">
    <filterColumn colId="4" showButton="0"/>
    <filterColumn colId="5" showButton="0"/>
  </autoFilter>
  <mergeCells count="122">
    <mergeCell ref="A1019:A1088"/>
    <mergeCell ref="A945:A946"/>
    <mergeCell ref="B945:B946"/>
    <mergeCell ref="C945:C946"/>
    <mergeCell ref="D945:D946"/>
    <mergeCell ref="E945:G945"/>
    <mergeCell ref="H945:H946"/>
    <mergeCell ref="I945:I946"/>
    <mergeCell ref="A947:A1016"/>
    <mergeCell ref="A873:A874"/>
    <mergeCell ref="B873:B874"/>
    <mergeCell ref="C873:C874"/>
    <mergeCell ref="D873:D874"/>
    <mergeCell ref="E873:G873"/>
    <mergeCell ref="H873:H874"/>
    <mergeCell ref="I873:I874"/>
    <mergeCell ref="A875:A944"/>
    <mergeCell ref="A1017:A1018"/>
    <mergeCell ref="B1017:B1018"/>
    <mergeCell ref="C1017:C1018"/>
    <mergeCell ref="D1017:D1018"/>
    <mergeCell ref="E1017:G1017"/>
    <mergeCell ref="H1017:H1018"/>
    <mergeCell ref="I1017:I1018"/>
    <mergeCell ref="A731:A800"/>
    <mergeCell ref="A801:A802"/>
    <mergeCell ref="B801:B802"/>
    <mergeCell ref="C801:C802"/>
    <mergeCell ref="D801:D802"/>
    <mergeCell ref="E801:G801"/>
    <mergeCell ref="H801:H802"/>
    <mergeCell ref="I801:I802"/>
    <mergeCell ref="A803:A872"/>
    <mergeCell ref="A659:A728"/>
    <mergeCell ref="A729:A730"/>
    <mergeCell ref="B729:B730"/>
    <mergeCell ref="C729:C730"/>
    <mergeCell ref="D729:D730"/>
    <mergeCell ref="E729:G729"/>
    <mergeCell ref="H585:H586"/>
    <mergeCell ref="I585:I586"/>
    <mergeCell ref="A587:A656"/>
    <mergeCell ref="A657:A658"/>
    <mergeCell ref="B657:B658"/>
    <mergeCell ref="C657:C658"/>
    <mergeCell ref="D657:D658"/>
    <mergeCell ref="E657:G657"/>
    <mergeCell ref="H657:H658"/>
    <mergeCell ref="I657:I658"/>
    <mergeCell ref="H729:H730"/>
    <mergeCell ref="I729:I730"/>
    <mergeCell ref="A515:A584"/>
    <mergeCell ref="A585:A586"/>
    <mergeCell ref="B585:B586"/>
    <mergeCell ref="C585:C586"/>
    <mergeCell ref="D585:D586"/>
    <mergeCell ref="E585:G585"/>
    <mergeCell ref="H441:H442"/>
    <mergeCell ref="I441:I442"/>
    <mergeCell ref="A443:A512"/>
    <mergeCell ref="A513:A514"/>
    <mergeCell ref="B513:B514"/>
    <mergeCell ref="C513:C514"/>
    <mergeCell ref="D513:D514"/>
    <mergeCell ref="E513:G513"/>
    <mergeCell ref="H513:H514"/>
    <mergeCell ref="I513:I514"/>
    <mergeCell ref="A371:A440"/>
    <mergeCell ref="A441:A442"/>
    <mergeCell ref="B441:B442"/>
    <mergeCell ref="C441:C442"/>
    <mergeCell ref="D441:D442"/>
    <mergeCell ref="E441:G441"/>
    <mergeCell ref="H297:H298"/>
    <mergeCell ref="I297:I298"/>
    <mergeCell ref="A299:A368"/>
    <mergeCell ref="A369:A370"/>
    <mergeCell ref="B369:B370"/>
    <mergeCell ref="C369:C370"/>
    <mergeCell ref="D369:D370"/>
    <mergeCell ref="E369:G369"/>
    <mergeCell ref="H369:H370"/>
    <mergeCell ref="I369:I370"/>
    <mergeCell ref="A227:A296"/>
    <mergeCell ref="A297:A298"/>
    <mergeCell ref="B297:B298"/>
    <mergeCell ref="C297:C298"/>
    <mergeCell ref="D297:D298"/>
    <mergeCell ref="E297:G297"/>
    <mergeCell ref="H153:H154"/>
    <mergeCell ref="I153:I154"/>
    <mergeCell ref="A155:A224"/>
    <mergeCell ref="A225:A226"/>
    <mergeCell ref="B225:B226"/>
    <mergeCell ref="C225:C226"/>
    <mergeCell ref="D225:D226"/>
    <mergeCell ref="E225:G225"/>
    <mergeCell ref="H225:H226"/>
    <mergeCell ref="I225:I226"/>
    <mergeCell ref="H9:H10"/>
    <mergeCell ref="I9:I10"/>
    <mergeCell ref="A11:A80"/>
    <mergeCell ref="A81:A82"/>
    <mergeCell ref="B81:B82"/>
    <mergeCell ref="C81:C82"/>
    <mergeCell ref="D81:D82"/>
    <mergeCell ref="E81:G81"/>
    <mergeCell ref="H81:H82"/>
    <mergeCell ref="I81:I82"/>
    <mergeCell ref="D4:E4"/>
    <mergeCell ref="A7:C7"/>
    <mergeCell ref="A9:A10"/>
    <mergeCell ref="B9:B10"/>
    <mergeCell ref="C9:C10"/>
    <mergeCell ref="D9:D10"/>
    <mergeCell ref="E9:G9"/>
    <mergeCell ref="A83:A152"/>
    <mergeCell ref="A153:A154"/>
    <mergeCell ref="B153:B154"/>
    <mergeCell ref="C153:C154"/>
    <mergeCell ref="D153:D154"/>
    <mergeCell ref="E153:G153"/>
  </mergeCells>
  <hyperlinks>
    <hyperlink ref="A7:C7" location="'C) Estimación Costos Directos'!A7" display="TABLA 5: COSTOS DIRECTOS DE CENTROS DE BENEFICIOS" xr:uid="{00000000-0004-0000-0600-000000000000}"/>
  </hyperlinks>
  <pageMargins left="0.7" right="0.7" top="0.75" bottom="0.75" header="0.3" footer="0.3"/>
  <pageSetup paperSize="9" orientation="portrait" r:id="rId1"/>
  <ignoredErrors>
    <ignoredError sqref="G17:G20 E45:G56 G149 G120 G117 G161:G163 G189:G192 G203 G213 G221:H221 G233:G235 G261:G264 G275:G285 G293 G305:G308 G333:G357 E365:G379 G405:G419 G429:G437 G449:H452 H429:H439 G477:H507 E509:H525 G549:H565 E573:H597 G621:H646 E653:H665 G693:H725 G737:H770 E779:H802 G809:H840 G851:H871 G881:H890 G909:H943 G953:H970 G981:H984 G995:H1013 E58:G59 G57 H89:H91 H117:H120 G131 G132:H143 H131 H161:H163 H189:H192 H203:H214 H233:H235 H261:H265 H275 H285:H293 H305:H367 H405:H408 G668:H670 E69:G104 G60:G68 E667:H667 G666:H666" formula="1"/>
    <ignoredError sqref="E57 D993"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AQ100"/>
  <sheetViews>
    <sheetView showGridLines="0" topLeftCell="D1" zoomScale="80" zoomScaleNormal="80" workbookViewId="0">
      <selection activeCell="K6" sqref="K6"/>
    </sheetView>
  </sheetViews>
  <sheetFormatPr baseColWidth="10" defaultRowHeight="14.5" x14ac:dyDescent="0.35"/>
  <cols>
    <col min="1" max="1" width="12.54296875" style="1410" customWidth="1"/>
    <col min="2" max="2" width="28" style="1410" customWidth="1"/>
    <col min="3" max="3" width="28.7265625" style="1410" customWidth="1"/>
    <col min="4" max="4" width="24.1796875" style="1410" customWidth="1"/>
    <col min="5" max="5" width="41.26953125" style="1410" customWidth="1"/>
    <col min="6" max="6" width="24.54296875" style="1410" bestFit="1" customWidth="1"/>
    <col min="7" max="7" width="15.7265625" style="1410" bestFit="1" customWidth="1"/>
    <col min="8" max="8" width="15" style="1410" customWidth="1"/>
    <col min="9" max="9" width="15.1796875" style="1410" customWidth="1"/>
    <col min="10" max="10" width="17.453125" style="1410" customWidth="1"/>
    <col min="11" max="11" width="20.1796875" style="1410" customWidth="1"/>
    <col min="12" max="12" width="4.81640625" style="1410" customWidth="1"/>
    <col min="13" max="13" width="19.1796875" style="1410" customWidth="1"/>
    <col min="14" max="14" width="19.1796875" style="1410" bestFit="1" customWidth="1"/>
    <col min="15" max="15" width="17.1796875" style="1410" customWidth="1"/>
    <col min="16" max="16" width="19.81640625" style="1410" bestFit="1" customWidth="1"/>
    <col min="17" max="17" width="17.7265625" style="1410" customWidth="1"/>
    <col min="18" max="18" width="21.1796875" style="1410" bestFit="1" customWidth="1"/>
    <col min="19" max="19" width="17.453125" style="1410" customWidth="1"/>
    <col min="20" max="20" width="5" style="1410" customWidth="1"/>
    <col min="21" max="21" width="19.81640625" style="1410" bestFit="1" customWidth="1"/>
    <col min="22" max="22" width="52.1796875" style="1410" bestFit="1" customWidth="1"/>
    <col min="23" max="23" width="45.26953125" style="1410" bestFit="1" customWidth="1"/>
    <col min="24" max="24" width="5.7265625" style="1410" customWidth="1"/>
    <col min="25" max="25" width="11.453125" style="1410"/>
    <col min="26" max="26" width="15.54296875" style="1410" customWidth="1"/>
    <col min="27" max="29" width="17.1796875" style="1410" customWidth="1"/>
    <col min="30" max="30" width="15.7265625" style="1410" customWidth="1"/>
    <col min="31" max="31" width="15.81640625" style="1410" customWidth="1"/>
    <col min="32" max="32" width="11.26953125" style="1410" customWidth="1"/>
    <col min="33" max="33" width="15.81640625" style="1410" customWidth="1"/>
    <col min="34" max="34" width="17" style="1410" customWidth="1"/>
    <col min="35" max="36" width="17.1796875" style="1410" customWidth="1"/>
    <col min="37" max="37" width="15.7265625" style="1410" customWidth="1"/>
    <col min="38" max="38" width="16" style="1410" customWidth="1"/>
    <col min="39" max="39" width="11.453125" style="1410"/>
    <col min="40" max="40" width="33.81640625" style="1410" bestFit="1" customWidth="1"/>
    <col min="41" max="41" width="36.1796875" style="1410" bestFit="1" customWidth="1"/>
    <col min="42" max="42" width="33" style="1410" bestFit="1" customWidth="1"/>
    <col min="43" max="43" width="11.453125" style="1410"/>
  </cols>
  <sheetData>
    <row r="1" spans="1:43" x14ac:dyDescent="0.35">
      <c r="A1" s="2"/>
      <c r="B1" s="2"/>
      <c r="C1" s="2"/>
      <c r="D1" s="2"/>
      <c r="E1" s="3"/>
      <c r="F1" s="3"/>
      <c r="G1" s="3"/>
      <c r="H1" s="3"/>
      <c r="I1" s="3"/>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x14ac:dyDescent="0.35">
      <c r="A2" s="2"/>
      <c r="B2" s="2"/>
      <c r="C2" s="2"/>
      <c r="D2" s="2"/>
      <c r="E2" s="3" t="s">
        <v>174</v>
      </c>
      <c r="F2" s="3"/>
      <c r="G2" s="3"/>
      <c r="H2" s="3"/>
      <c r="I2" s="3"/>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43" x14ac:dyDescent="0.35">
      <c r="A3" s="2"/>
      <c r="B3" s="6"/>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1:43" ht="15.5" x14ac:dyDescent="0.35">
      <c r="A4" s="2"/>
      <c r="B4" s="6"/>
      <c r="C4" s="2"/>
      <c r="D4" s="964" t="s">
        <v>1</v>
      </c>
      <c r="E4" s="1407" t="str">
        <f>+'[3]B) Reajuste Tarifas y Ocupación'!F5</f>
        <v>(DEPTO./DELEG.)</v>
      </c>
      <c r="F4" s="1408"/>
      <c r="G4" s="1409"/>
      <c r="H4" s="1409"/>
      <c r="I4" s="1409"/>
      <c r="J4" s="1409"/>
      <c r="K4" s="2"/>
      <c r="L4" s="2"/>
      <c r="M4" s="2"/>
      <c r="N4" s="2"/>
      <c r="O4" s="7"/>
      <c r="P4" s="2"/>
      <c r="Q4" s="2"/>
      <c r="R4" s="2"/>
      <c r="S4" s="2"/>
      <c r="T4" s="2"/>
      <c r="U4" s="2"/>
      <c r="V4" s="2"/>
      <c r="W4" s="2"/>
      <c r="X4" s="2"/>
      <c r="Y4" s="2"/>
      <c r="Z4" s="2"/>
      <c r="AA4" s="2"/>
      <c r="AB4" s="2"/>
      <c r="AC4" s="2"/>
      <c r="AD4" s="2"/>
      <c r="AE4" s="2"/>
      <c r="AF4" s="2"/>
      <c r="AG4" s="2"/>
      <c r="AH4" s="2"/>
      <c r="AI4" s="2"/>
      <c r="AJ4" s="2"/>
      <c r="AK4" s="2"/>
      <c r="AL4" s="2"/>
      <c r="AM4" s="2"/>
      <c r="AN4" s="2"/>
      <c r="AO4" s="2"/>
      <c r="AP4" s="2"/>
      <c r="AQ4" s="2"/>
    </row>
    <row r="5" spans="1:43" x14ac:dyDescent="0.35">
      <c r="A5" s="2"/>
      <c r="B5" s="6"/>
      <c r="C5" s="2"/>
      <c r="D5" s="8"/>
      <c r="E5" s="3"/>
      <c r="F5" s="3"/>
      <c r="G5" s="3"/>
      <c r="H5" s="3"/>
      <c r="I5" s="3"/>
      <c r="J5" s="3"/>
      <c r="K5" s="2"/>
      <c r="L5" s="2"/>
      <c r="M5" s="2"/>
      <c r="N5" s="2"/>
      <c r="O5" s="7"/>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ht="15" thickBot="1" x14ac:dyDescent="0.4">
      <c r="A6" s="2"/>
      <c r="B6" s="6"/>
      <c r="C6" s="2"/>
      <c r="D6" s="8"/>
      <c r="E6" s="3"/>
      <c r="F6" s="3"/>
      <c r="G6" s="3"/>
      <c r="H6" s="3"/>
      <c r="I6" s="3"/>
      <c r="J6" s="3"/>
      <c r="K6" s="2"/>
      <c r="L6" s="2"/>
      <c r="M6" s="2"/>
      <c r="N6" s="2"/>
      <c r="O6" s="7"/>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x14ac:dyDescent="0.35">
      <c r="B7" s="1411"/>
      <c r="C7" s="1411"/>
      <c r="D7" s="1411"/>
      <c r="E7" s="1411"/>
      <c r="F7" s="1411"/>
      <c r="G7" s="1411"/>
      <c r="H7" s="1411"/>
      <c r="I7" s="1411"/>
      <c r="J7" s="1412"/>
      <c r="K7" s="1412"/>
      <c r="L7" s="1412"/>
      <c r="M7" s="1412"/>
      <c r="N7" s="1412"/>
      <c r="O7" s="1412"/>
      <c r="P7" s="1412"/>
      <c r="Q7" s="1412"/>
      <c r="R7" s="1412"/>
      <c r="Y7" s="1413"/>
      <c r="Z7" s="1414"/>
      <c r="AA7" s="1414"/>
      <c r="AB7" s="1414"/>
      <c r="AC7" s="1414"/>
      <c r="AD7" s="1414"/>
      <c r="AE7" s="1414"/>
      <c r="AF7" s="1414"/>
      <c r="AG7" s="1414"/>
      <c r="AH7" s="1414"/>
      <c r="AI7" s="1414"/>
      <c r="AJ7" s="1414"/>
      <c r="AK7" s="1414"/>
      <c r="AL7" s="1414"/>
      <c r="AM7" s="1414"/>
      <c r="AN7" s="1414"/>
      <c r="AO7" s="1414"/>
      <c r="AP7" s="1414"/>
      <c r="AQ7" s="1415"/>
    </row>
    <row r="8" spans="1:43" x14ac:dyDescent="0.35">
      <c r="B8" s="1411"/>
      <c r="C8" s="1411"/>
      <c r="D8" s="1411"/>
      <c r="E8" s="1411"/>
      <c r="F8" s="1411"/>
      <c r="G8" s="1411"/>
      <c r="H8" s="1411"/>
      <c r="I8" s="1411"/>
      <c r="J8" s="1412"/>
      <c r="K8" s="1412"/>
      <c r="L8" s="1412"/>
      <c r="M8" s="1412"/>
      <c r="N8" s="1412"/>
      <c r="O8" s="1412"/>
      <c r="P8" s="1412"/>
      <c r="Q8" s="1412"/>
      <c r="R8" s="1412"/>
      <c r="Y8" s="1416"/>
      <c r="AQ8" s="1417"/>
    </row>
    <row r="9" spans="1:43" ht="15.5" x14ac:dyDescent="0.35">
      <c r="A9" s="3064" t="s">
        <v>175</v>
      </c>
      <c r="B9" s="3064"/>
      <c r="C9" s="3064"/>
      <c r="D9" s="3064"/>
      <c r="E9" s="3064"/>
      <c r="F9" s="3064"/>
      <c r="G9" s="3064"/>
      <c r="H9" s="3064"/>
      <c r="I9" s="1418"/>
      <c r="J9" s="1418"/>
      <c r="K9" s="1418"/>
      <c r="L9" s="1418"/>
      <c r="M9" s="3063" t="s">
        <v>176</v>
      </c>
      <c r="N9" s="3063"/>
      <c r="O9" s="3063"/>
      <c r="P9" s="3063"/>
      <c r="Q9" s="3063"/>
      <c r="R9" s="3063"/>
      <c r="S9" s="3063"/>
      <c r="U9" s="3063" t="s">
        <v>177</v>
      </c>
      <c r="V9" s="3063"/>
      <c r="W9" s="3063"/>
      <c r="X9" s="1419"/>
      <c r="Y9" s="1420"/>
      <c r="Z9" s="3063" t="s">
        <v>178</v>
      </c>
      <c r="AA9" s="3063"/>
      <c r="AB9" s="3063"/>
      <c r="AC9" s="3063"/>
      <c r="AD9" s="3063"/>
      <c r="AE9" s="3063"/>
      <c r="AF9" s="1419"/>
      <c r="AG9" s="3063" t="s">
        <v>179</v>
      </c>
      <c r="AH9" s="3063"/>
      <c r="AI9" s="3063"/>
      <c r="AJ9" s="3063"/>
      <c r="AK9" s="3063"/>
      <c r="AL9" s="3063"/>
      <c r="AN9" s="3063" t="s">
        <v>180</v>
      </c>
      <c r="AO9" s="3063"/>
      <c r="AP9" s="3063"/>
      <c r="AQ9" s="1417"/>
    </row>
    <row r="10" spans="1:43" x14ac:dyDescent="0.35">
      <c r="B10" s="6"/>
      <c r="C10" s="8"/>
      <c r="D10" s="8"/>
      <c r="E10" s="3"/>
      <c r="F10" s="3"/>
      <c r="G10" s="3"/>
      <c r="H10" s="3"/>
      <c r="I10" s="3"/>
      <c r="J10" s="3"/>
      <c r="M10" s="3063"/>
      <c r="N10" s="3063"/>
      <c r="O10" s="3063"/>
      <c r="P10" s="3063"/>
      <c r="Q10" s="3063"/>
      <c r="R10" s="3063"/>
      <c r="S10" s="3063"/>
      <c r="U10" s="3063"/>
      <c r="V10" s="3063"/>
      <c r="W10" s="3063"/>
      <c r="Y10" s="1416"/>
      <c r="Z10" s="3063"/>
      <c r="AA10" s="3063"/>
      <c r="AB10" s="3063"/>
      <c r="AC10" s="3063"/>
      <c r="AD10" s="3063"/>
      <c r="AE10" s="3063"/>
      <c r="AG10" s="3063"/>
      <c r="AH10" s="3063"/>
      <c r="AI10" s="3063"/>
      <c r="AJ10" s="3063"/>
      <c r="AK10" s="3063"/>
      <c r="AL10" s="3063"/>
      <c r="AN10" s="3063"/>
      <c r="AO10" s="3063"/>
      <c r="AP10" s="3063"/>
      <c r="AQ10" s="1417"/>
    </row>
    <row r="11" spans="1:43" x14ac:dyDescent="0.35">
      <c r="J11" s="1421" t="s">
        <v>38</v>
      </c>
      <c r="K11" s="146">
        <v>4.4999999999999998E-2</v>
      </c>
      <c r="Y11" s="1416"/>
      <c r="AQ11" s="1417"/>
    </row>
    <row r="12" spans="1:43" ht="15" thickBot="1" x14ac:dyDescent="0.4">
      <c r="M12" s="3067"/>
      <c r="N12" s="3067"/>
      <c r="O12" s="3067"/>
      <c r="P12" s="3067"/>
      <c r="Q12" s="3067"/>
      <c r="R12" s="3067"/>
      <c r="Y12" s="1416"/>
      <c r="AQ12" s="1417"/>
    </row>
    <row r="13" spans="1:43" ht="15" thickBot="1" x14ac:dyDescent="0.4">
      <c r="A13" s="3068" t="s">
        <v>181</v>
      </c>
      <c r="B13" s="3069"/>
      <c r="C13" s="3072" t="s">
        <v>182</v>
      </c>
      <c r="D13" s="3072" t="s">
        <v>183</v>
      </c>
      <c r="E13" s="3074" t="s">
        <v>184</v>
      </c>
      <c r="F13" s="3074" t="s">
        <v>21</v>
      </c>
      <c r="G13" s="3076" t="s">
        <v>386</v>
      </c>
      <c r="H13" s="3077"/>
      <c r="I13" s="3077"/>
      <c r="J13" s="3078"/>
      <c r="K13" s="3079" t="s">
        <v>524</v>
      </c>
      <c r="L13" s="1412"/>
      <c r="M13" s="3081" t="s">
        <v>185</v>
      </c>
      <c r="N13" s="3082"/>
      <c r="O13" s="3083" t="s">
        <v>186</v>
      </c>
      <c r="P13" s="3084"/>
      <c r="Q13" s="3085" t="s">
        <v>187</v>
      </c>
      <c r="R13" s="3086"/>
      <c r="S13" s="3087" t="s">
        <v>188</v>
      </c>
      <c r="U13" s="3089" t="s">
        <v>97</v>
      </c>
      <c r="V13" s="3091" t="s">
        <v>98</v>
      </c>
      <c r="W13" s="3093" t="s">
        <v>530</v>
      </c>
      <c r="Y13" s="1416"/>
      <c r="Z13" s="3065" t="s">
        <v>185</v>
      </c>
      <c r="AA13" s="3066"/>
      <c r="AB13" s="3095" t="s">
        <v>186</v>
      </c>
      <c r="AC13" s="3096"/>
      <c r="AD13" s="3097" t="s">
        <v>187</v>
      </c>
      <c r="AE13" s="3098"/>
      <c r="AG13" s="3099" t="s">
        <v>185</v>
      </c>
      <c r="AH13" s="3100"/>
      <c r="AI13" s="3101" t="s">
        <v>186</v>
      </c>
      <c r="AJ13" s="3102"/>
      <c r="AK13" s="3103" t="s">
        <v>187</v>
      </c>
      <c r="AL13" s="3104"/>
      <c r="AN13" s="1422" t="s">
        <v>185</v>
      </c>
      <c r="AO13" s="1423" t="s">
        <v>186</v>
      </c>
      <c r="AP13" s="1424" t="s">
        <v>187</v>
      </c>
      <c r="AQ13" s="1417"/>
    </row>
    <row r="14" spans="1:43" ht="39.5" thickBot="1" x14ac:dyDescent="0.4">
      <c r="A14" s="3070"/>
      <c r="B14" s="3071"/>
      <c r="C14" s="3073"/>
      <c r="D14" s="3073"/>
      <c r="E14" s="3075"/>
      <c r="F14" s="3075"/>
      <c r="G14" s="965" t="s">
        <v>345</v>
      </c>
      <c r="H14" s="965" t="s">
        <v>189</v>
      </c>
      <c r="I14" s="1425" t="s">
        <v>190</v>
      </c>
      <c r="J14" s="1426" t="s">
        <v>525</v>
      </c>
      <c r="K14" s="3080"/>
      <c r="L14" s="1412"/>
      <c r="M14" s="1427" t="s">
        <v>191</v>
      </c>
      <c r="N14" s="1428" t="s">
        <v>192</v>
      </c>
      <c r="O14" s="1429" t="s">
        <v>191</v>
      </c>
      <c r="P14" s="1430" t="s">
        <v>192</v>
      </c>
      <c r="Q14" s="1431" t="s">
        <v>191</v>
      </c>
      <c r="R14" s="1432" t="s">
        <v>192</v>
      </c>
      <c r="S14" s="3088"/>
      <c r="U14" s="3090"/>
      <c r="V14" s="3092"/>
      <c r="W14" s="3094"/>
      <c r="Y14" s="1416"/>
      <c r="Z14" s="1433" t="s">
        <v>191</v>
      </c>
      <c r="AA14" s="1434" t="s">
        <v>192</v>
      </c>
      <c r="AB14" s="1435" t="s">
        <v>191</v>
      </c>
      <c r="AC14" s="1436" t="s">
        <v>192</v>
      </c>
      <c r="AD14" s="1437" t="s">
        <v>191</v>
      </c>
      <c r="AE14" s="1438" t="s">
        <v>192</v>
      </c>
      <c r="AG14" s="1439" t="s">
        <v>191</v>
      </c>
      <c r="AH14" s="1440" t="s">
        <v>192</v>
      </c>
      <c r="AI14" s="1441" t="s">
        <v>191</v>
      </c>
      <c r="AJ14" s="1442" t="s">
        <v>192</v>
      </c>
      <c r="AK14" s="1443" t="s">
        <v>191</v>
      </c>
      <c r="AL14" s="1444" t="s">
        <v>192</v>
      </c>
      <c r="AN14" s="1445" t="s">
        <v>193</v>
      </c>
      <c r="AO14" s="1446" t="s">
        <v>193</v>
      </c>
      <c r="AP14" s="1447" t="s">
        <v>194</v>
      </c>
      <c r="AQ14" s="1417"/>
    </row>
    <row r="15" spans="1:43" ht="15.75" customHeight="1" thickBot="1" x14ac:dyDescent="0.4">
      <c r="A15" s="3126" t="s">
        <v>195</v>
      </c>
      <c r="B15" s="3114" t="s">
        <v>196</v>
      </c>
      <c r="C15" s="2492" t="s">
        <v>463</v>
      </c>
      <c r="D15" s="2458" t="s">
        <v>464</v>
      </c>
      <c r="E15" s="2478" t="s">
        <v>471</v>
      </c>
      <c r="F15" s="2454" t="s">
        <v>470</v>
      </c>
      <c r="G15" s="2493">
        <v>14067672</v>
      </c>
      <c r="H15" s="2493">
        <v>358358</v>
      </c>
      <c r="I15" s="2481">
        <v>164968</v>
      </c>
      <c r="J15" s="1448">
        <f>SUM(G15:I15)</f>
        <v>14590998</v>
      </c>
      <c r="K15" s="1449">
        <f>+((G15*(1+$K$11))+H15+I15)</f>
        <v>15224043.239999998</v>
      </c>
      <c r="L15" s="1412"/>
      <c r="M15" s="601">
        <v>0.25</v>
      </c>
      <c r="N15" s="1450">
        <f t="shared" ref="N15:N61" si="0">+$K15*M15</f>
        <v>3806010.8099999996</v>
      </c>
      <c r="O15" s="601">
        <v>0.25</v>
      </c>
      <c r="P15" s="1451">
        <f t="shared" ref="P15:P61" si="1">+$K15*O15</f>
        <v>3806010.8099999996</v>
      </c>
      <c r="Q15" s="2512">
        <v>0.5</v>
      </c>
      <c r="R15" s="1450">
        <f t="shared" ref="R15:R61" si="2">+$K15*Q15</f>
        <v>7612021.6199999992</v>
      </c>
      <c r="S15" s="1452">
        <f>+M15+O15+Q15</f>
        <v>1</v>
      </c>
      <c r="U15" s="1453"/>
      <c r="V15" s="1454" t="s">
        <v>105</v>
      </c>
      <c r="W15" s="1455">
        <f>SUM(W16,W20)</f>
        <v>102908212</v>
      </c>
      <c r="Y15" s="1416"/>
      <c r="Z15" s="148">
        <f>+M62</f>
        <v>0.25</v>
      </c>
      <c r="AA15" s="1456">
        <f>+N62</f>
        <v>81189258.055000007</v>
      </c>
      <c r="AB15" s="148">
        <f t="shared" ref="AB15:AE15" si="3">+O62</f>
        <v>0.25</v>
      </c>
      <c r="AC15" s="1457">
        <f t="shared" si="3"/>
        <v>81189258.055000007</v>
      </c>
      <c r="AD15" s="149">
        <f t="shared" si="3"/>
        <v>0.5</v>
      </c>
      <c r="AE15" s="1457">
        <f t="shared" si="3"/>
        <v>162378516.11000001</v>
      </c>
      <c r="AG15" s="1458">
        <f>+Z15</f>
        <v>0.25</v>
      </c>
      <c r="AH15" s="1459">
        <f>+AG15*W83</f>
        <v>44004498</v>
      </c>
      <c r="AI15" s="1458">
        <f>+AB15</f>
        <v>0.25</v>
      </c>
      <c r="AJ15" s="1460">
        <f>+AI15*W83</f>
        <v>44004498</v>
      </c>
      <c r="AK15" s="350">
        <f>+AD15</f>
        <v>0.5</v>
      </c>
      <c r="AL15" s="1460">
        <f>+AK15*W83</f>
        <v>88008996</v>
      </c>
      <c r="AN15" s="1461">
        <f>+K73+AA15+AH15</f>
        <v>190978078.34775001</v>
      </c>
      <c r="AO15" s="1461">
        <f>+AJ15+AC15</f>
        <v>125193756.05500001</v>
      </c>
      <c r="AP15" s="1462">
        <f>+AL15+AE15+K91</f>
        <v>341616101.85000002</v>
      </c>
      <c r="AQ15" s="1417"/>
    </row>
    <row r="16" spans="1:43" ht="15" customHeight="1" x14ac:dyDescent="0.35">
      <c r="A16" s="3126"/>
      <c r="B16" s="3128"/>
      <c r="C16" s="2492" t="s">
        <v>459</v>
      </c>
      <c r="D16" s="2458" t="s">
        <v>460</v>
      </c>
      <c r="E16" s="2478" t="s">
        <v>1129</v>
      </c>
      <c r="F16" s="2454" t="s">
        <v>470</v>
      </c>
      <c r="G16" s="2481">
        <v>10052844</v>
      </c>
      <c r="H16" s="2481">
        <v>358358</v>
      </c>
      <c r="I16" s="2481">
        <v>162000</v>
      </c>
      <c r="J16" s="1463">
        <f t="shared" ref="J16:J39" si="4">SUM(G16:I16)</f>
        <v>10573202</v>
      </c>
      <c r="K16" s="1464">
        <f t="shared" ref="K16:K61" si="5">+((G16*(1+$K$11))+H16+I16)</f>
        <v>11025579.979999999</v>
      </c>
      <c r="L16" s="1412"/>
      <c r="M16" s="2511">
        <v>0.25</v>
      </c>
      <c r="N16" s="1465">
        <f t="shared" si="0"/>
        <v>2756394.9949999996</v>
      </c>
      <c r="O16" s="2511">
        <v>0.25</v>
      </c>
      <c r="P16" s="1466">
        <f t="shared" si="1"/>
        <v>2756394.9949999996</v>
      </c>
      <c r="Q16" s="2513">
        <v>0.5</v>
      </c>
      <c r="R16" s="1465">
        <f t="shared" si="2"/>
        <v>5512789.9899999993</v>
      </c>
      <c r="S16" s="1467">
        <f t="shared" ref="S16:S61" si="6">+M16+O16+Q16</f>
        <v>1</v>
      </c>
      <c r="U16" s="1468"/>
      <c r="V16" s="1469" t="s">
        <v>106</v>
      </c>
      <c r="W16" s="1470">
        <f>SUM(W17:W19)</f>
        <v>800000</v>
      </c>
      <c r="Y16" s="1416"/>
      <c r="AQ16" s="1417"/>
    </row>
    <row r="17" spans="1:43" ht="15" customHeight="1" x14ac:dyDescent="0.35">
      <c r="A17" s="3126"/>
      <c r="B17" s="3128"/>
      <c r="C17" s="2492" t="s">
        <v>465</v>
      </c>
      <c r="D17" s="2458" t="s">
        <v>466</v>
      </c>
      <c r="E17" s="2478" t="s">
        <v>472</v>
      </c>
      <c r="F17" s="2454" t="s">
        <v>470</v>
      </c>
      <c r="G17" s="2493">
        <v>35328468</v>
      </c>
      <c r="H17" s="2493">
        <v>199557</v>
      </c>
      <c r="I17" s="2481">
        <v>161214</v>
      </c>
      <c r="J17" s="1463">
        <f t="shared" si="4"/>
        <v>35689239</v>
      </c>
      <c r="K17" s="1464">
        <f t="shared" si="5"/>
        <v>37279020.059999995</v>
      </c>
      <c r="L17" s="1412"/>
      <c r="M17" s="2511">
        <v>0.25</v>
      </c>
      <c r="N17" s="1465">
        <f>+$K17*M17</f>
        <v>9319755.0149999987</v>
      </c>
      <c r="O17" s="2511">
        <v>0.25</v>
      </c>
      <c r="P17" s="1466">
        <f t="shared" si="1"/>
        <v>9319755.0149999987</v>
      </c>
      <c r="Q17" s="2513">
        <v>0.5</v>
      </c>
      <c r="R17" s="1465">
        <f t="shared" si="2"/>
        <v>18639510.029999997</v>
      </c>
      <c r="S17" s="1467">
        <f t="shared" si="6"/>
        <v>1</v>
      </c>
      <c r="U17" s="1471">
        <v>53103050000000</v>
      </c>
      <c r="V17" s="1472" t="s">
        <v>108</v>
      </c>
      <c r="W17" s="347"/>
      <c r="Y17" s="1416"/>
      <c r="AQ17" s="1417"/>
    </row>
    <row r="18" spans="1:43" ht="15.75" customHeight="1" thickBot="1" x14ac:dyDescent="0.4">
      <c r="A18" s="3126"/>
      <c r="B18" s="3128"/>
      <c r="C18" s="2492" t="s">
        <v>197</v>
      </c>
      <c r="D18" s="2458" t="s">
        <v>467</v>
      </c>
      <c r="E18" s="2478" t="s">
        <v>473</v>
      </c>
      <c r="F18" s="2454" t="s">
        <v>470</v>
      </c>
      <c r="G18" s="2481">
        <v>16595616</v>
      </c>
      <c r="H18" s="2481">
        <v>199557</v>
      </c>
      <c r="I18" s="2481">
        <v>164968</v>
      </c>
      <c r="J18" s="1463">
        <f t="shared" si="4"/>
        <v>16960141</v>
      </c>
      <c r="K18" s="1464">
        <f t="shared" si="5"/>
        <v>17706943.719999999</v>
      </c>
      <c r="L18" s="1412"/>
      <c r="M18" s="2511">
        <v>0.25</v>
      </c>
      <c r="N18" s="1465">
        <f t="shared" si="0"/>
        <v>4426735.93</v>
      </c>
      <c r="O18" s="2511">
        <v>0.25</v>
      </c>
      <c r="P18" s="1466">
        <f t="shared" si="1"/>
        <v>4426735.93</v>
      </c>
      <c r="Q18" s="2513">
        <v>0.5</v>
      </c>
      <c r="R18" s="1465">
        <f t="shared" si="2"/>
        <v>8853471.8599999994</v>
      </c>
      <c r="S18" s="1467">
        <f t="shared" si="6"/>
        <v>1</v>
      </c>
      <c r="U18" s="1471">
        <v>53103060000000</v>
      </c>
      <c r="V18" s="1472" t="s">
        <v>109</v>
      </c>
      <c r="W18" s="348"/>
      <c r="Y18" s="1473"/>
      <c r="Z18" s="1474"/>
      <c r="AA18" s="1474"/>
      <c r="AB18" s="1474"/>
      <c r="AC18" s="1474"/>
      <c r="AD18" s="1474"/>
      <c r="AE18" s="1474"/>
      <c r="AF18" s="1474"/>
      <c r="AG18" s="1474"/>
      <c r="AH18" s="1474"/>
      <c r="AI18" s="1474"/>
      <c r="AJ18" s="1474"/>
      <c r="AK18" s="1474"/>
      <c r="AL18" s="1474"/>
      <c r="AM18" s="1474"/>
      <c r="AN18" s="1474"/>
      <c r="AO18" s="1474"/>
      <c r="AP18" s="1474"/>
      <c r="AQ18" s="1475"/>
    </row>
    <row r="19" spans="1:43" ht="15" customHeight="1" x14ac:dyDescent="0.35">
      <c r="A19" s="3126"/>
      <c r="B19" s="3128"/>
      <c r="C19" s="2492" t="s">
        <v>468</v>
      </c>
      <c r="D19" s="2458" t="s">
        <v>469</v>
      </c>
      <c r="E19" s="2478" t="s">
        <v>474</v>
      </c>
      <c r="F19" s="2454" t="s">
        <v>470</v>
      </c>
      <c r="G19" s="2493">
        <v>13245840</v>
      </c>
      <c r="H19" s="2493">
        <v>358358</v>
      </c>
      <c r="I19" s="2481">
        <v>164968</v>
      </c>
      <c r="J19" s="1463">
        <f t="shared" si="4"/>
        <v>13769166</v>
      </c>
      <c r="K19" s="1464">
        <f t="shared" si="5"/>
        <v>14365228.799999999</v>
      </c>
      <c r="L19" s="1412"/>
      <c r="M19" s="2511">
        <v>0.25</v>
      </c>
      <c r="N19" s="1465">
        <f t="shared" si="0"/>
        <v>3591307.1999999997</v>
      </c>
      <c r="O19" s="2511">
        <v>0.25</v>
      </c>
      <c r="P19" s="1466">
        <f>+$K19*O19</f>
        <v>3591307.1999999997</v>
      </c>
      <c r="Q19" s="2513">
        <v>0.5</v>
      </c>
      <c r="R19" s="1465">
        <f t="shared" si="2"/>
        <v>7182614.3999999994</v>
      </c>
      <c r="S19" s="1467">
        <f t="shared" si="6"/>
        <v>1</v>
      </c>
      <c r="U19" s="1471">
        <v>53103080010000</v>
      </c>
      <c r="V19" s="1472" t="s">
        <v>110</v>
      </c>
      <c r="W19" s="2516">
        <v>800000</v>
      </c>
    </row>
    <row r="20" spans="1:43" ht="15" customHeight="1" x14ac:dyDescent="0.35">
      <c r="A20" s="3126"/>
      <c r="B20" s="3128"/>
      <c r="C20" s="2492" t="s">
        <v>1130</v>
      </c>
      <c r="D20" s="2458" t="s">
        <v>1131</v>
      </c>
      <c r="E20" s="2478" t="s">
        <v>1132</v>
      </c>
      <c r="F20" s="2454" t="s">
        <v>470</v>
      </c>
      <c r="G20" s="2481">
        <v>14321460</v>
      </c>
      <c r="H20" s="2481">
        <v>358358</v>
      </c>
      <c r="I20" s="2481">
        <v>164968</v>
      </c>
      <c r="J20" s="1463">
        <f t="shared" si="4"/>
        <v>14844786</v>
      </c>
      <c r="K20" s="1464">
        <f t="shared" si="5"/>
        <v>15489251.699999999</v>
      </c>
      <c r="L20" s="1412"/>
      <c r="M20" s="2511">
        <v>0.25</v>
      </c>
      <c r="N20" s="1465">
        <f t="shared" si="0"/>
        <v>3872312.9249999998</v>
      </c>
      <c r="O20" s="2511">
        <v>0.25</v>
      </c>
      <c r="P20" s="1466">
        <f t="shared" si="1"/>
        <v>3872312.9249999998</v>
      </c>
      <c r="Q20" s="2513">
        <v>0.5</v>
      </c>
      <c r="R20" s="1465">
        <f t="shared" si="2"/>
        <v>7744625.8499999996</v>
      </c>
      <c r="S20" s="1467">
        <f t="shared" si="6"/>
        <v>1</v>
      </c>
      <c r="U20" s="1468"/>
      <c r="V20" s="1469" t="s">
        <v>113</v>
      </c>
      <c r="W20" s="1470">
        <f>SUM(W21:W39)</f>
        <v>102108212</v>
      </c>
      <c r="AN20" s="1476"/>
    </row>
    <row r="21" spans="1:43" ht="15" customHeight="1" x14ac:dyDescent="0.35">
      <c r="A21" s="3126"/>
      <c r="B21" s="3128"/>
      <c r="C21" s="2494" t="s">
        <v>1240</v>
      </c>
      <c r="D21" s="2494"/>
      <c r="E21" s="2495" t="s">
        <v>1241</v>
      </c>
      <c r="F21" s="2454" t="s">
        <v>470</v>
      </c>
      <c r="G21" s="2608">
        <v>8292192</v>
      </c>
      <c r="H21" s="2609">
        <v>358358</v>
      </c>
      <c r="I21" s="2610">
        <v>162000</v>
      </c>
      <c r="J21" s="1463">
        <f t="shared" si="4"/>
        <v>8812550</v>
      </c>
      <c r="K21" s="1464">
        <f t="shared" si="5"/>
        <v>9185698.6399999987</v>
      </c>
      <c r="L21" s="1412"/>
      <c r="M21" s="2511">
        <v>0.25</v>
      </c>
      <c r="N21" s="1465">
        <f t="shared" si="0"/>
        <v>2296424.6599999997</v>
      </c>
      <c r="O21" s="2511">
        <v>0.25</v>
      </c>
      <c r="P21" s="1466">
        <f t="shared" si="1"/>
        <v>2296424.6599999997</v>
      </c>
      <c r="Q21" s="604">
        <v>0.5</v>
      </c>
      <c r="R21" s="1465">
        <f t="shared" si="2"/>
        <v>4592849.3199999994</v>
      </c>
      <c r="S21" s="1467">
        <f t="shared" si="6"/>
        <v>1</v>
      </c>
      <c r="U21" s="1471">
        <v>53201010100000</v>
      </c>
      <c r="V21" s="1472" t="s">
        <v>114</v>
      </c>
      <c r="W21" s="606">
        <v>20000000</v>
      </c>
    </row>
    <row r="22" spans="1:43" ht="15" customHeight="1" x14ac:dyDescent="0.35">
      <c r="A22" s="3126"/>
      <c r="B22" s="3128"/>
      <c r="C22" s="2494"/>
      <c r="D22" s="2494"/>
      <c r="E22" s="2494"/>
      <c r="F22" s="2454"/>
      <c r="G22" s="2470"/>
      <c r="H22" s="2470"/>
      <c r="I22" s="2496"/>
      <c r="J22" s="1463">
        <f t="shared" si="4"/>
        <v>0</v>
      </c>
      <c r="K22" s="1464">
        <f t="shared" si="5"/>
        <v>0</v>
      </c>
      <c r="L22" s="1412"/>
      <c r="M22" s="602"/>
      <c r="N22" s="1465">
        <f t="shared" si="0"/>
        <v>0</v>
      </c>
      <c r="O22" s="602"/>
      <c r="P22" s="1466">
        <f t="shared" si="1"/>
        <v>0</v>
      </c>
      <c r="Q22" s="604"/>
      <c r="R22" s="1465">
        <f t="shared" si="2"/>
        <v>0</v>
      </c>
      <c r="S22" s="1467">
        <f t="shared" si="6"/>
        <v>0</v>
      </c>
      <c r="U22" s="1471">
        <v>53202010100000</v>
      </c>
      <c r="V22" s="1472" t="s">
        <v>115</v>
      </c>
      <c r="W22" s="606">
        <v>1000000</v>
      </c>
    </row>
    <row r="23" spans="1:43" ht="15" customHeight="1" x14ac:dyDescent="0.35">
      <c r="A23" s="3126"/>
      <c r="B23" s="3128"/>
      <c r="C23" s="2494"/>
      <c r="D23" s="2494"/>
      <c r="E23" s="2495"/>
      <c r="F23" s="2454"/>
      <c r="G23" s="2470"/>
      <c r="H23" s="2470"/>
      <c r="I23" s="2496"/>
      <c r="J23" s="1463">
        <f t="shared" si="4"/>
        <v>0</v>
      </c>
      <c r="K23" s="1464">
        <f t="shared" si="5"/>
        <v>0</v>
      </c>
      <c r="L23" s="1412"/>
      <c r="M23" s="602"/>
      <c r="N23" s="1465">
        <f t="shared" si="0"/>
        <v>0</v>
      </c>
      <c r="O23" s="602"/>
      <c r="P23" s="1466">
        <f t="shared" si="1"/>
        <v>0</v>
      </c>
      <c r="Q23" s="604"/>
      <c r="R23" s="1465">
        <f t="shared" si="2"/>
        <v>0</v>
      </c>
      <c r="S23" s="1467">
        <f t="shared" si="6"/>
        <v>0</v>
      </c>
      <c r="U23" s="1471">
        <v>53203010100000</v>
      </c>
      <c r="V23" s="1472" t="s">
        <v>116</v>
      </c>
      <c r="W23" s="606">
        <v>8800000</v>
      </c>
    </row>
    <row r="24" spans="1:43" ht="15.75" customHeight="1" thickBot="1" x14ac:dyDescent="0.4">
      <c r="A24" s="3126"/>
      <c r="B24" s="3129"/>
      <c r="C24" s="2497"/>
      <c r="D24" s="2464"/>
      <c r="E24" s="2498"/>
      <c r="F24" s="2499"/>
      <c r="G24" s="2500"/>
      <c r="H24" s="2500"/>
      <c r="I24" s="2501"/>
      <c r="J24" s="1477">
        <f t="shared" si="4"/>
        <v>0</v>
      </c>
      <c r="K24" s="1478">
        <f t="shared" si="5"/>
        <v>0</v>
      </c>
      <c r="L24" s="1412"/>
      <c r="M24" s="603"/>
      <c r="N24" s="1479">
        <f t="shared" si="0"/>
        <v>0</v>
      </c>
      <c r="O24" s="603"/>
      <c r="P24" s="1480">
        <f t="shared" si="1"/>
        <v>0</v>
      </c>
      <c r="Q24" s="605"/>
      <c r="R24" s="1479">
        <f t="shared" si="2"/>
        <v>0</v>
      </c>
      <c r="S24" s="1481">
        <f t="shared" si="6"/>
        <v>0</v>
      </c>
      <c r="U24" s="1471">
        <v>53203030000000</v>
      </c>
      <c r="V24" s="1472" t="s">
        <v>117</v>
      </c>
      <c r="W24" s="606">
        <v>0</v>
      </c>
    </row>
    <row r="25" spans="1:43" ht="15" customHeight="1" x14ac:dyDescent="0.35">
      <c r="A25" s="3126"/>
      <c r="B25" s="3114" t="s">
        <v>198</v>
      </c>
      <c r="C25" s="872" t="s">
        <v>475</v>
      </c>
      <c r="D25" s="872" t="s">
        <v>476</v>
      </c>
      <c r="E25" s="873" t="s">
        <v>477</v>
      </c>
      <c r="F25" s="2502" t="s">
        <v>470</v>
      </c>
      <c r="G25" s="2481">
        <v>16632756</v>
      </c>
      <c r="H25" s="2481">
        <v>199557</v>
      </c>
      <c r="I25" s="2481">
        <v>164968</v>
      </c>
      <c r="J25" s="1448">
        <f t="shared" si="4"/>
        <v>16997281</v>
      </c>
      <c r="K25" s="1449">
        <f t="shared" si="5"/>
        <v>17745755.02</v>
      </c>
      <c r="L25" s="1412"/>
      <c r="M25" s="601">
        <v>0.25</v>
      </c>
      <c r="N25" s="1450">
        <f t="shared" si="0"/>
        <v>4436438.7549999999</v>
      </c>
      <c r="O25" s="601">
        <v>0.25</v>
      </c>
      <c r="P25" s="1451">
        <f t="shared" si="1"/>
        <v>4436438.7549999999</v>
      </c>
      <c r="Q25" s="2512">
        <v>0.5</v>
      </c>
      <c r="R25" s="1450">
        <f t="shared" si="2"/>
        <v>8872877.5099999998</v>
      </c>
      <c r="S25" s="1452">
        <f t="shared" si="6"/>
        <v>1</v>
      </c>
      <c r="U25" s="1471">
        <v>53204030000000</v>
      </c>
      <c r="V25" s="1472" t="s">
        <v>118</v>
      </c>
      <c r="W25" s="606">
        <v>600000</v>
      </c>
    </row>
    <row r="26" spans="1:43" ht="15" customHeight="1" x14ac:dyDescent="0.35">
      <c r="A26" s="3126"/>
      <c r="B26" s="3115"/>
      <c r="C26" s="2494" t="s">
        <v>1133</v>
      </c>
      <c r="D26" s="2494" t="s">
        <v>1134</v>
      </c>
      <c r="E26" s="873" t="s">
        <v>477</v>
      </c>
      <c r="F26" s="2502" t="s">
        <v>470</v>
      </c>
      <c r="G26" s="2481">
        <v>10419720</v>
      </c>
      <c r="H26" s="2481">
        <v>358358</v>
      </c>
      <c r="I26" s="2481">
        <v>162000</v>
      </c>
      <c r="J26" s="1482">
        <f t="shared" si="4"/>
        <v>10940078</v>
      </c>
      <c r="K26" s="1483">
        <f t="shared" si="5"/>
        <v>11408965.399999999</v>
      </c>
      <c r="L26" s="1412"/>
      <c r="M26" s="2511">
        <v>0.25</v>
      </c>
      <c r="N26" s="1465">
        <f t="shared" si="0"/>
        <v>2852241.3499999996</v>
      </c>
      <c r="O26" s="2511">
        <v>0.25</v>
      </c>
      <c r="P26" s="1466">
        <f t="shared" si="1"/>
        <v>2852241.3499999996</v>
      </c>
      <c r="Q26" s="2513">
        <v>0.5</v>
      </c>
      <c r="R26" s="1465">
        <f t="shared" si="2"/>
        <v>5704482.6999999993</v>
      </c>
      <c r="S26" s="1467">
        <f t="shared" si="6"/>
        <v>1</v>
      </c>
      <c r="U26" s="1471">
        <v>53204100100001</v>
      </c>
      <c r="V26" s="1472" t="s">
        <v>119</v>
      </c>
      <c r="W26" s="606">
        <v>4500000</v>
      </c>
    </row>
    <row r="27" spans="1:43" ht="15" customHeight="1" x14ac:dyDescent="0.35">
      <c r="A27" s="3126"/>
      <c r="B27" s="3115"/>
      <c r="C27" s="2494" t="s">
        <v>1135</v>
      </c>
      <c r="D27" s="2494" t="s">
        <v>1136</v>
      </c>
      <c r="E27" s="873" t="s">
        <v>1137</v>
      </c>
      <c r="F27" s="2502" t="s">
        <v>470</v>
      </c>
      <c r="G27" s="2481">
        <v>10419720</v>
      </c>
      <c r="H27" s="2481">
        <v>358358</v>
      </c>
      <c r="I27" s="2481">
        <v>162000</v>
      </c>
      <c r="J27" s="1482">
        <f t="shared" si="4"/>
        <v>10940078</v>
      </c>
      <c r="K27" s="1483">
        <f t="shared" si="5"/>
        <v>11408965.399999999</v>
      </c>
      <c r="L27" s="1412"/>
      <c r="M27" s="2511">
        <v>0.25</v>
      </c>
      <c r="N27" s="1465">
        <f t="shared" si="0"/>
        <v>2852241.3499999996</v>
      </c>
      <c r="O27" s="2511">
        <v>0.25</v>
      </c>
      <c r="P27" s="1466">
        <f t="shared" si="1"/>
        <v>2852241.3499999996</v>
      </c>
      <c r="Q27" s="2513">
        <v>0.5</v>
      </c>
      <c r="R27" s="1465">
        <f t="shared" si="2"/>
        <v>5704482.6999999993</v>
      </c>
      <c r="S27" s="1467">
        <f t="shared" si="6"/>
        <v>1</v>
      </c>
      <c r="U27" s="1471">
        <v>53204130100000</v>
      </c>
      <c r="V27" s="1472" t="s">
        <v>120</v>
      </c>
      <c r="W27" s="606">
        <v>0</v>
      </c>
    </row>
    <row r="28" spans="1:43" ht="15" customHeight="1" x14ac:dyDescent="0.35">
      <c r="A28" s="3126"/>
      <c r="B28" s="3115"/>
      <c r="C28" s="2494" t="s">
        <v>1151</v>
      </c>
      <c r="D28" s="2494" t="s">
        <v>488</v>
      </c>
      <c r="E28" s="873" t="s">
        <v>1138</v>
      </c>
      <c r="F28" s="2502" t="s">
        <v>470</v>
      </c>
      <c r="G28" s="2481">
        <v>14640000</v>
      </c>
      <c r="H28" s="2481">
        <v>199557</v>
      </c>
      <c r="I28" s="2481">
        <v>164968</v>
      </c>
      <c r="J28" s="1482">
        <f t="shared" si="4"/>
        <v>15004525</v>
      </c>
      <c r="K28" s="1483">
        <f t="shared" si="5"/>
        <v>15663324.999999998</v>
      </c>
      <c r="L28" s="1412"/>
      <c r="M28" s="2511">
        <v>0.25</v>
      </c>
      <c r="N28" s="1465">
        <f t="shared" si="0"/>
        <v>3915831.2499999995</v>
      </c>
      <c r="O28" s="2511">
        <v>0.25</v>
      </c>
      <c r="P28" s="1466">
        <f t="shared" si="1"/>
        <v>3915831.2499999995</v>
      </c>
      <c r="Q28" s="2513">
        <v>0.5</v>
      </c>
      <c r="R28" s="1465">
        <f t="shared" si="2"/>
        <v>7831662.4999999991</v>
      </c>
      <c r="S28" s="1467">
        <f t="shared" si="6"/>
        <v>1</v>
      </c>
      <c r="U28" s="1471">
        <v>53205010100000</v>
      </c>
      <c r="V28" s="1472" t="s">
        <v>121</v>
      </c>
      <c r="W28" s="606">
        <v>18500000</v>
      </c>
    </row>
    <row r="29" spans="1:43" ht="15" customHeight="1" x14ac:dyDescent="0.35">
      <c r="A29" s="3126"/>
      <c r="B29" s="3115"/>
      <c r="C29" s="2503"/>
      <c r="D29" s="2458"/>
      <c r="E29" s="2478"/>
      <c r="F29" s="2454"/>
      <c r="G29" s="2470"/>
      <c r="H29" s="2470"/>
      <c r="I29" s="2496"/>
      <c r="J29" s="1482">
        <f t="shared" si="4"/>
        <v>0</v>
      </c>
      <c r="K29" s="1483">
        <f t="shared" si="5"/>
        <v>0</v>
      </c>
      <c r="L29" s="1412"/>
      <c r="M29" s="602"/>
      <c r="N29" s="1465">
        <f t="shared" si="0"/>
        <v>0</v>
      </c>
      <c r="O29" s="602"/>
      <c r="P29" s="1466">
        <f t="shared" si="1"/>
        <v>0</v>
      </c>
      <c r="Q29" s="2513"/>
      <c r="R29" s="1465">
        <f t="shared" si="2"/>
        <v>0</v>
      </c>
      <c r="S29" s="1467">
        <f t="shared" si="6"/>
        <v>0</v>
      </c>
      <c r="U29" s="1471">
        <v>53205020100000</v>
      </c>
      <c r="V29" s="1472" t="s">
        <v>122</v>
      </c>
      <c r="W29" s="606">
        <v>600000</v>
      </c>
    </row>
    <row r="30" spans="1:43" ht="15" customHeight="1" x14ac:dyDescent="0.35">
      <c r="A30" s="3126"/>
      <c r="B30" s="3115"/>
      <c r="C30" s="2503"/>
      <c r="D30" s="2458"/>
      <c r="E30" s="2478"/>
      <c r="F30" s="2454"/>
      <c r="G30" s="2470"/>
      <c r="H30" s="2470"/>
      <c r="I30" s="2496"/>
      <c r="J30" s="1482">
        <f t="shared" si="4"/>
        <v>0</v>
      </c>
      <c r="K30" s="1483">
        <f t="shared" si="5"/>
        <v>0</v>
      </c>
      <c r="L30" s="1412"/>
      <c r="M30" s="602"/>
      <c r="N30" s="1465">
        <f t="shared" si="0"/>
        <v>0</v>
      </c>
      <c r="O30" s="602"/>
      <c r="P30" s="1466">
        <f t="shared" si="1"/>
        <v>0</v>
      </c>
      <c r="Q30" s="604"/>
      <c r="R30" s="1465">
        <f t="shared" si="2"/>
        <v>0</v>
      </c>
      <c r="S30" s="1467">
        <f t="shared" si="6"/>
        <v>0</v>
      </c>
      <c r="U30" s="1471">
        <v>53205030100000</v>
      </c>
      <c r="V30" s="1472" t="s">
        <v>123</v>
      </c>
      <c r="W30" s="606">
        <v>3200000</v>
      </c>
    </row>
    <row r="31" spans="1:43" ht="15" customHeight="1" x14ac:dyDescent="0.35">
      <c r="A31" s="3126"/>
      <c r="B31" s="3115"/>
      <c r="C31" s="2503"/>
      <c r="D31" s="2458"/>
      <c r="E31" s="2478"/>
      <c r="F31" s="2454"/>
      <c r="G31" s="2470"/>
      <c r="H31" s="2470"/>
      <c r="I31" s="2496"/>
      <c r="J31" s="1482">
        <f t="shared" si="4"/>
        <v>0</v>
      </c>
      <c r="K31" s="1483">
        <f t="shared" si="5"/>
        <v>0</v>
      </c>
      <c r="L31" s="1412"/>
      <c r="M31" s="602"/>
      <c r="N31" s="1465">
        <f t="shared" si="0"/>
        <v>0</v>
      </c>
      <c r="O31" s="602"/>
      <c r="P31" s="1466">
        <f t="shared" si="1"/>
        <v>0</v>
      </c>
      <c r="Q31" s="604"/>
      <c r="R31" s="1465">
        <f t="shared" si="2"/>
        <v>0</v>
      </c>
      <c r="S31" s="1467">
        <f t="shared" si="6"/>
        <v>0</v>
      </c>
      <c r="U31" s="1471">
        <v>53205050100000</v>
      </c>
      <c r="V31" s="1472" t="s">
        <v>124</v>
      </c>
      <c r="W31" s="606">
        <v>6000000</v>
      </c>
    </row>
    <row r="32" spans="1:43" ht="15" customHeight="1" x14ac:dyDescent="0.35">
      <c r="A32" s="3126"/>
      <c r="B32" s="3115"/>
      <c r="C32" s="2503"/>
      <c r="D32" s="2458"/>
      <c r="E32" s="2478"/>
      <c r="F32" s="2454"/>
      <c r="G32" s="2470"/>
      <c r="H32" s="2470"/>
      <c r="I32" s="2496"/>
      <c r="J32" s="1482">
        <f t="shared" si="4"/>
        <v>0</v>
      </c>
      <c r="K32" s="1483">
        <f t="shared" si="5"/>
        <v>0</v>
      </c>
      <c r="L32" s="1412"/>
      <c r="M32" s="602"/>
      <c r="N32" s="1465">
        <f t="shared" si="0"/>
        <v>0</v>
      </c>
      <c r="O32" s="602"/>
      <c r="P32" s="1466">
        <f t="shared" si="1"/>
        <v>0</v>
      </c>
      <c r="Q32" s="604"/>
      <c r="R32" s="1465">
        <f t="shared" si="2"/>
        <v>0</v>
      </c>
      <c r="S32" s="1467">
        <f t="shared" si="6"/>
        <v>0</v>
      </c>
      <c r="U32" s="1471">
        <v>53205060100000</v>
      </c>
      <c r="V32" s="1472" t="s">
        <v>125</v>
      </c>
      <c r="W32" s="606">
        <v>3500000</v>
      </c>
    </row>
    <row r="33" spans="1:23" ht="15" customHeight="1" x14ac:dyDescent="0.35">
      <c r="A33" s="3126"/>
      <c r="B33" s="3115"/>
      <c r="C33" s="2503"/>
      <c r="D33" s="2458"/>
      <c r="E33" s="2478"/>
      <c r="F33" s="2454"/>
      <c r="G33" s="2470"/>
      <c r="H33" s="2470"/>
      <c r="I33" s="2496"/>
      <c r="J33" s="1482">
        <f t="shared" si="4"/>
        <v>0</v>
      </c>
      <c r="K33" s="1483">
        <f t="shared" si="5"/>
        <v>0</v>
      </c>
      <c r="L33" s="1412"/>
      <c r="M33" s="602"/>
      <c r="N33" s="1465">
        <f t="shared" si="0"/>
        <v>0</v>
      </c>
      <c r="O33" s="602"/>
      <c r="P33" s="1466">
        <f t="shared" si="1"/>
        <v>0</v>
      </c>
      <c r="Q33" s="604"/>
      <c r="R33" s="1465">
        <f t="shared" si="2"/>
        <v>0</v>
      </c>
      <c r="S33" s="1467">
        <f t="shared" si="6"/>
        <v>0</v>
      </c>
      <c r="U33" s="1471">
        <v>53205070100000</v>
      </c>
      <c r="V33" s="1472" t="s">
        <v>126</v>
      </c>
      <c r="W33" s="606">
        <v>16098432</v>
      </c>
    </row>
    <row r="34" spans="1:23" ht="15.75" customHeight="1" thickBot="1" x14ac:dyDescent="0.4">
      <c r="A34" s="3126"/>
      <c r="B34" s="3116"/>
      <c r="C34" s="2497"/>
      <c r="D34" s="2464"/>
      <c r="E34" s="2498"/>
      <c r="F34" s="2499"/>
      <c r="G34" s="2500"/>
      <c r="H34" s="2500"/>
      <c r="I34" s="2501"/>
      <c r="J34" s="1484">
        <f t="shared" si="4"/>
        <v>0</v>
      </c>
      <c r="K34" s="1478">
        <f t="shared" si="5"/>
        <v>0</v>
      </c>
      <c r="L34" s="1412"/>
      <c r="M34" s="603"/>
      <c r="N34" s="1479">
        <f t="shared" si="0"/>
        <v>0</v>
      </c>
      <c r="O34" s="603"/>
      <c r="P34" s="1480">
        <f t="shared" si="1"/>
        <v>0</v>
      </c>
      <c r="Q34" s="605"/>
      <c r="R34" s="1479">
        <f t="shared" si="2"/>
        <v>0</v>
      </c>
      <c r="S34" s="1481">
        <f t="shared" si="6"/>
        <v>0</v>
      </c>
      <c r="U34" s="1471">
        <v>53208010100000</v>
      </c>
      <c r="V34" s="1472" t="s">
        <v>127</v>
      </c>
      <c r="W34" s="606">
        <v>2500000</v>
      </c>
    </row>
    <row r="35" spans="1:23" ht="15" customHeight="1" x14ac:dyDescent="0.35">
      <c r="A35" s="3126"/>
      <c r="B35" s="3114" t="s">
        <v>199</v>
      </c>
      <c r="C35" s="630" t="s">
        <v>478</v>
      </c>
      <c r="D35" s="2504" t="s">
        <v>479</v>
      </c>
      <c r="E35" s="2505" t="s">
        <v>480</v>
      </c>
      <c r="F35" s="871" t="s">
        <v>470</v>
      </c>
      <c r="G35" s="2481">
        <v>14510436</v>
      </c>
      <c r="H35" s="2481">
        <v>358358</v>
      </c>
      <c r="I35" s="2481">
        <v>164968</v>
      </c>
      <c r="J35" s="1448">
        <f t="shared" si="4"/>
        <v>15033762</v>
      </c>
      <c r="K35" s="1449">
        <f t="shared" si="5"/>
        <v>15686731.619999999</v>
      </c>
      <c r="L35" s="1412"/>
      <c r="M35" s="601">
        <v>0.25</v>
      </c>
      <c r="N35" s="1450">
        <f t="shared" si="0"/>
        <v>3921682.9049999998</v>
      </c>
      <c r="O35" s="601">
        <v>0.25</v>
      </c>
      <c r="P35" s="1451">
        <f t="shared" si="1"/>
        <v>3921682.9049999998</v>
      </c>
      <c r="Q35" s="2512">
        <v>0.5</v>
      </c>
      <c r="R35" s="1450">
        <f t="shared" si="2"/>
        <v>7843365.8099999996</v>
      </c>
      <c r="S35" s="1452">
        <f t="shared" si="6"/>
        <v>1</v>
      </c>
      <c r="U35" s="1471">
        <v>53208070100001</v>
      </c>
      <c r="V35" s="1472" t="s">
        <v>128</v>
      </c>
      <c r="W35" s="606">
        <v>190000</v>
      </c>
    </row>
    <row r="36" spans="1:23" ht="15" customHeight="1" x14ac:dyDescent="0.35">
      <c r="A36" s="3126"/>
      <c r="B36" s="3115"/>
      <c r="C36" s="2492"/>
      <c r="D36" s="2458"/>
      <c r="E36" s="2478"/>
      <c r="F36" s="2454"/>
      <c r="G36" s="2470"/>
      <c r="H36" s="2470"/>
      <c r="I36" s="2496"/>
      <c r="J36" s="1485">
        <f t="shared" si="4"/>
        <v>0</v>
      </c>
      <c r="K36" s="1486">
        <f t="shared" si="5"/>
        <v>0</v>
      </c>
      <c r="L36" s="1412"/>
      <c r="M36" s="602"/>
      <c r="N36" s="1465">
        <f t="shared" si="0"/>
        <v>0</v>
      </c>
      <c r="O36" s="602"/>
      <c r="P36" s="1466">
        <f t="shared" si="1"/>
        <v>0</v>
      </c>
      <c r="Q36" s="604"/>
      <c r="R36" s="1465">
        <f t="shared" si="2"/>
        <v>0</v>
      </c>
      <c r="S36" s="1467">
        <f t="shared" si="6"/>
        <v>0</v>
      </c>
      <c r="U36" s="1471">
        <v>53208100100001</v>
      </c>
      <c r="V36" s="1472" t="s">
        <v>129</v>
      </c>
      <c r="W36" s="606">
        <v>200000</v>
      </c>
    </row>
    <row r="37" spans="1:23" ht="15" customHeight="1" x14ac:dyDescent="0.35">
      <c r="A37" s="3126"/>
      <c r="B37" s="3115"/>
      <c r="C37" s="2492"/>
      <c r="D37" s="2458"/>
      <c r="E37" s="2478"/>
      <c r="F37" s="2454"/>
      <c r="G37" s="2470"/>
      <c r="H37" s="2470"/>
      <c r="I37" s="2496"/>
      <c r="J37" s="1485">
        <f t="shared" si="4"/>
        <v>0</v>
      </c>
      <c r="K37" s="1486">
        <f t="shared" si="5"/>
        <v>0</v>
      </c>
      <c r="L37" s="1412"/>
      <c r="M37" s="602"/>
      <c r="N37" s="1465">
        <f>+$K37*M37</f>
        <v>0</v>
      </c>
      <c r="O37" s="602"/>
      <c r="P37" s="1466">
        <f t="shared" si="1"/>
        <v>0</v>
      </c>
      <c r="Q37" s="604"/>
      <c r="R37" s="1465">
        <f t="shared" si="2"/>
        <v>0</v>
      </c>
      <c r="S37" s="1467">
        <f t="shared" si="6"/>
        <v>0</v>
      </c>
      <c r="U37" s="1471">
        <v>53211030000000</v>
      </c>
      <c r="V37" s="1472" t="s">
        <v>130</v>
      </c>
      <c r="W37" s="606">
        <v>3300000</v>
      </c>
    </row>
    <row r="38" spans="1:23" ht="15" customHeight="1" x14ac:dyDescent="0.35">
      <c r="A38" s="3126"/>
      <c r="B38" s="3115"/>
      <c r="C38" s="2492"/>
      <c r="D38" s="2458"/>
      <c r="E38" s="2478"/>
      <c r="F38" s="2454"/>
      <c r="G38" s="2470"/>
      <c r="H38" s="2470"/>
      <c r="I38" s="2496"/>
      <c r="J38" s="1485">
        <f t="shared" si="4"/>
        <v>0</v>
      </c>
      <c r="K38" s="1486">
        <f t="shared" si="5"/>
        <v>0</v>
      </c>
      <c r="L38" s="1412"/>
      <c r="M38" s="602"/>
      <c r="N38" s="1465">
        <f t="shared" si="0"/>
        <v>0</v>
      </c>
      <c r="O38" s="602"/>
      <c r="P38" s="1466">
        <f t="shared" si="1"/>
        <v>0</v>
      </c>
      <c r="Q38" s="604"/>
      <c r="R38" s="1465">
        <f t="shared" si="2"/>
        <v>0</v>
      </c>
      <c r="S38" s="1467">
        <f t="shared" si="6"/>
        <v>0</v>
      </c>
      <c r="U38" s="1471">
        <v>53212020100000</v>
      </c>
      <c r="V38" s="1472" t="s">
        <v>131</v>
      </c>
      <c r="W38" s="606">
        <v>12000000</v>
      </c>
    </row>
    <row r="39" spans="1:23" ht="15.75" customHeight="1" thickBot="1" x14ac:dyDescent="0.4">
      <c r="A39" s="3126"/>
      <c r="B39" s="3116"/>
      <c r="C39" s="2506"/>
      <c r="D39" s="2464"/>
      <c r="E39" s="2498"/>
      <c r="F39" s="2499"/>
      <c r="G39" s="2500"/>
      <c r="H39" s="2500"/>
      <c r="I39" s="2501"/>
      <c r="J39" s="1477">
        <f t="shared" si="4"/>
        <v>0</v>
      </c>
      <c r="K39" s="1487">
        <f t="shared" si="5"/>
        <v>0</v>
      </c>
      <c r="L39" s="1412"/>
      <c r="M39" s="603"/>
      <c r="N39" s="1479">
        <f t="shared" si="0"/>
        <v>0</v>
      </c>
      <c r="O39" s="603"/>
      <c r="P39" s="1480">
        <f t="shared" si="1"/>
        <v>0</v>
      </c>
      <c r="Q39" s="605"/>
      <c r="R39" s="1479">
        <f t="shared" si="2"/>
        <v>0</v>
      </c>
      <c r="S39" s="1481">
        <f t="shared" si="6"/>
        <v>0</v>
      </c>
      <c r="U39" s="1471">
        <v>53214020000000</v>
      </c>
      <c r="V39" s="1472" t="s">
        <v>132</v>
      </c>
      <c r="W39" s="606">
        <v>1119780</v>
      </c>
    </row>
    <row r="40" spans="1:23" ht="15" customHeight="1" x14ac:dyDescent="0.35">
      <c r="A40" s="3126"/>
      <c r="B40" s="3117" t="s">
        <v>352</v>
      </c>
      <c r="C40" s="2507" t="s">
        <v>481</v>
      </c>
      <c r="D40" s="2494" t="s">
        <v>482</v>
      </c>
      <c r="E40" s="2495" t="s">
        <v>483</v>
      </c>
      <c r="F40" s="2454" t="s">
        <v>484</v>
      </c>
      <c r="G40" s="2508">
        <v>18222612</v>
      </c>
      <c r="H40" s="2508">
        <v>199557</v>
      </c>
      <c r="I40" s="2508">
        <v>161214</v>
      </c>
      <c r="J40" s="1488">
        <f t="shared" ref="J40:J61" si="7">SUM(G40:I40)</f>
        <v>18583383</v>
      </c>
      <c r="K40" s="1489">
        <f>+((G40*(1+$K$11))+H40+I40)</f>
        <v>19403400.539999999</v>
      </c>
      <c r="L40" s="1412"/>
      <c r="M40" s="601">
        <v>0.25</v>
      </c>
      <c r="N40" s="1450">
        <f>+$K40*M40</f>
        <v>4850850.1349999998</v>
      </c>
      <c r="O40" s="601">
        <v>0.25</v>
      </c>
      <c r="P40" s="1451">
        <f t="shared" si="1"/>
        <v>4850850.1349999998</v>
      </c>
      <c r="Q40" s="2512">
        <v>0.5</v>
      </c>
      <c r="R40" s="1450">
        <f t="shared" si="2"/>
        <v>9701700.2699999996</v>
      </c>
      <c r="S40" s="1452">
        <f t="shared" si="6"/>
        <v>1</v>
      </c>
      <c r="U40" s="1490"/>
      <c r="V40" s="1491" t="s">
        <v>133</v>
      </c>
      <c r="W40" s="1492">
        <f>SUM(W41,W46,W49,W60,W73,W81)</f>
        <v>73109780</v>
      </c>
    </row>
    <row r="41" spans="1:23" ht="15" customHeight="1" x14ac:dyDescent="0.35">
      <c r="A41" s="3126"/>
      <c r="B41" s="3118"/>
      <c r="C41" s="2507" t="s">
        <v>486</v>
      </c>
      <c r="D41" s="2494" t="s">
        <v>485</v>
      </c>
      <c r="E41" s="2495" t="s">
        <v>487</v>
      </c>
      <c r="F41" s="2454" t="s">
        <v>484</v>
      </c>
      <c r="G41" s="2508">
        <v>7779432</v>
      </c>
      <c r="H41" s="2508">
        <v>358358</v>
      </c>
      <c r="I41" s="2508">
        <v>162000</v>
      </c>
      <c r="J41" s="1493">
        <f t="shared" si="7"/>
        <v>8299790</v>
      </c>
      <c r="K41" s="1483">
        <f t="shared" si="5"/>
        <v>8649864.4399999995</v>
      </c>
      <c r="L41" s="1412"/>
      <c r="M41" s="2511">
        <v>0.25</v>
      </c>
      <c r="N41" s="1465">
        <f t="shared" si="0"/>
        <v>2162466.11</v>
      </c>
      <c r="O41" s="2511">
        <v>0.25</v>
      </c>
      <c r="P41" s="1466">
        <f t="shared" si="1"/>
        <v>2162466.11</v>
      </c>
      <c r="Q41" s="2513">
        <v>0.5</v>
      </c>
      <c r="R41" s="1465">
        <f t="shared" si="2"/>
        <v>4324932.22</v>
      </c>
      <c r="S41" s="1467">
        <f t="shared" si="6"/>
        <v>1</v>
      </c>
      <c r="U41" s="1468"/>
      <c r="V41" s="1469" t="s">
        <v>134</v>
      </c>
      <c r="W41" s="1470">
        <f>SUM(W42:W45)</f>
        <v>10140000</v>
      </c>
    </row>
    <row r="42" spans="1:23" ht="15" customHeight="1" x14ac:dyDescent="0.35">
      <c r="A42" s="3126"/>
      <c r="B42" s="3118"/>
      <c r="C42" s="2507" t="s">
        <v>1139</v>
      </c>
      <c r="D42" s="2494" t="s">
        <v>1140</v>
      </c>
      <c r="E42" s="2495" t="s">
        <v>1141</v>
      </c>
      <c r="F42" s="2454" t="s">
        <v>470</v>
      </c>
      <c r="G42" s="2509">
        <v>25068120</v>
      </c>
      <c r="H42" s="2509">
        <v>199557</v>
      </c>
      <c r="I42" s="2510">
        <v>161214</v>
      </c>
      <c r="J42" s="1493">
        <f t="shared" si="7"/>
        <v>25428891</v>
      </c>
      <c r="K42" s="1483">
        <f t="shared" si="5"/>
        <v>26556956.399999999</v>
      </c>
      <c r="L42" s="1412"/>
      <c r="M42" s="2511">
        <v>0.25</v>
      </c>
      <c r="N42" s="1465">
        <f t="shared" si="0"/>
        <v>6639239.0999999996</v>
      </c>
      <c r="O42" s="2511">
        <v>0.25</v>
      </c>
      <c r="P42" s="1466">
        <f t="shared" si="1"/>
        <v>6639239.0999999996</v>
      </c>
      <c r="Q42" s="2513">
        <v>0.5</v>
      </c>
      <c r="R42" s="1465">
        <f t="shared" si="2"/>
        <v>13278478.199999999</v>
      </c>
      <c r="S42" s="1467">
        <f t="shared" si="6"/>
        <v>1</v>
      </c>
      <c r="U42" s="1471">
        <v>53202020100000</v>
      </c>
      <c r="V42" s="1472" t="s">
        <v>135</v>
      </c>
      <c r="W42" s="606">
        <v>3000000</v>
      </c>
    </row>
    <row r="43" spans="1:23" ht="15" customHeight="1" x14ac:dyDescent="0.35">
      <c r="A43" s="3126"/>
      <c r="B43" s="3118"/>
      <c r="C43" s="2507" t="s">
        <v>1142</v>
      </c>
      <c r="D43" s="2494" t="s">
        <v>1143</v>
      </c>
      <c r="E43" s="2495" t="s">
        <v>1144</v>
      </c>
      <c r="F43" s="2454" t="s">
        <v>470</v>
      </c>
      <c r="G43" s="2508">
        <v>15505020</v>
      </c>
      <c r="H43" s="2508">
        <v>358358</v>
      </c>
      <c r="I43" s="2508">
        <v>164968</v>
      </c>
      <c r="J43" s="1493">
        <f t="shared" si="7"/>
        <v>16028346</v>
      </c>
      <c r="K43" s="1483">
        <f t="shared" si="5"/>
        <v>16726071.899999999</v>
      </c>
      <c r="L43" s="1412"/>
      <c r="M43" s="2511">
        <v>0.25</v>
      </c>
      <c r="N43" s="1465">
        <f t="shared" si="0"/>
        <v>4181517.9749999996</v>
      </c>
      <c r="O43" s="2511">
        <v>0.25</v>
      </c>
      <c r="P43" s="1466">
        <f t="shared" si="1"/>
        <v>4181517.9749999996</v>
      </c>
      <c r="Q43" s="2513">
        <v>0.5</v>
      </c>
      <c r="R43" s="1465">
        <f t="shared" si="2"/>
        <v>8363035.9499999993</v>
      </c>
      <c r="S43" s="1467">
        <f t="shared" si="6"/>
        <v>1</v>
      </c>
      <c r="U43" s="1471">
        <v>53202030000000</v>
      </c>
      <c r="V43" s="1472" t="s">
        <v>136</v>
      </c>
      <c r="W43" s="606">
        <v>140000</v>
      </c>
    </row>
    <row r="44" spans="1:23" ht="15" customHeight="1" x14ac:dyDescent="0.35">
      <c r="A44" s="3126"/>
      <c r="B44" s="3118"/>
      <c r="C44" s="2507" t="s">
        <v>1145</v>
      </c>
      <c r="D44" s="2494" t="s">
        <v>1146</v>
      </c>
      <c r="E44" s="2495" t="s">
        <v>1147</v>
      </c>
      <c r="F44" s="2454" t="s">
        <v>470</v>
      </c>
      <c r="G44" s="2508">
        <v>34286964</v>
      </c>
      <c r="H44" s="2508">
        <v>199557</v>
      </c>
      <c r="I44" s="2508">
        <v>161214</v>
      </c>
      <c r="J44" s="1493">
        <f t="shared" si="7"/>
        <v>34647735</v>
      </c>
      <c r="K44" s="1483">
        <f t="shared" si="5"/>
        <v>36190648.379999995</v>
      </c>
      <c r="L44" s="1412"/>
      <c r="M44" s="2511">
        <v>0.25</v>
      </c>
      <c r="N44" s="1465">
        <f t="shared" si="0"/>
        <v>9047662.0949999988</v>
      </c>
      <c r="O44" s="2511">
        <v>0.25</v>
      </c>
      <c r="P44" s="1466">
        <f t="shared" si="1"/>
        <v>9047662.0949999988</v>
      </c>
      <c r="Q44" s="2513">
        <v>0.5</v>
      </c>
      <c r="R44" s="1465">
        <f t="shared" si="2"/>
        <v>18095324.189999998</v>
      </c>
      <c r="S44" s="1467">
        <f t="shared" si="6"/>
        <v>1</v>
      </c>
      <c r="U44" s="1471">
        <v>53211020000000</v>
      </c>
      <c r="V44" s="1472" t="s">
        <v>137</v>
      </c>
      <c r="W44" s="606">
        <v>4500000</v>
      </c>
    </row>
    <row r="45" spans="1:23" ht="15" customHeight="1" x14ac:dyDescent="0.35">
      <c r="A45" s="3126"/>
      <c r="B45" s="3118"/>
      <c r="C45" s="2507" t="s">
        <v>1148</v>
      </c>
      <c r="D45" s="2494" t="s">
        <v>1149</v>
      </c>
      <c r="E45" s="2494" t="s">
        <v>1150</v>
      </c>
      <c r="F45" s="2454" t="s">
        <v>470</v>
      </c>
      <c r="G45" s="2508">
        <v>23617044</v>
      </c>
      <c r="H45" s="2508">
        <v>199557</v>
      </c>
      <c r="I45" s="2508">
        <v>161214</v>
      </c>
      <c r="J45" s="1493">
        <f t="shared" si="7"/>
        <v>23977815</v>
      </c>
      <c r="K45" s="1483">
        <f t="shared" si="5"/>
        <v>25040581.979999997</v>
      </c>
      <c r="L45" s="1412"/>
      <c r="M45" s="2511">
        <v>0.25</v>
      </c>
      <c r="N45" s="1465">
        <f t="shared" si="0"/>
        <v>6260145.4949999992</v>
      </c>
      <c r="O45" s="2511">
        <v>0.25</v>
      </c>
      <c r="P45" s="1466">
        <f t="shared" si="1"/>
        <v>6260145.4949999992</v>
      </c>
      <c r="Q45" s="2513">
        <v>0.5</v>
      </c>
      <c r="R45" s="1465">
        <f t="shared" si="2"/>
        <v>12520290.989999998</v>
      </c>
      <c r="S45" s="1467">
        <f t="shared" si="6"/>
        <v>1</v>
      </c>
      <c r="U45" s="1471">
        <v>53101004030000</v>
      </c>
      <c r="V45" s="1472" t="s">
        <v>138</v>
      </c>
      <c r="W45" s="606">
        <v>2500000</v>
      </c>
    </row>
    <row r="46" spans="1:23" ht="15" customHeight="1" x14ac:dyDescent="0.35">
      <c r="A46" s="3126"/>
      <c r="B46" s="3118"/>
      <c r="C46" s="2507"/>
      <c r="D46" s="2494"/>
      <c r="E46" s="2495"/>
      <c r="F46" s="2478"/>
      <c r="G46" s="2470"/>
      <c r="H46" s="2470"/>
      <c r="I46" s="2496"/>
      <c r="J46" s="1493">
        <f t="shared" si="7"/>
        <v>0</v>
      </c>
      <c r="K46" s="1483">
        <f t="shared" si="5"/>
        <v>0</v>
      </c>
      <c r="L46" s="1412"/>
      <c r="M46" s="602"/>
      <c r="N46" s="1465">
        <f t="shared" si="0"/>
        <v>0</v>
      </c>
      <c r="O46" s="602"/>
      <c r="P46" s="1466">
        <f t="shared" si="1"/>
        <v>0</v>
      </c>
      <c r="Q46" s="604"/>
      <c r="R46" s="1465">
        <f t="shared" si="2"/>
        <v>0</v>
      </c>
      <c r="S46" s="1467">
        <f t="shared" si="6"/>
        <v>0</v>
      </c>
      <c r="U46" s="1468"/>
      <c r="V46" s="1469" t="s">
        <v>139</v>
      </c>
      <c r="W46" s="1470">
        <f>SUM(W47:W48)</f>
        <v>18000000</v>
      </c>
    </row>
    <row r="47" spans="1:23" ht="15" customHeight="1" x14ac:dyDescent="0.35">
      <c r="A47" s="3126"/>
      <c r="B47" s="3118"/>
      <c r="C47" s="631"/>
      <c r="D47" s="597"/>
      <c r="E47" s="598"/>
      <c r="F47" s="627"/>
      <c r="G47" s="595"/>
      <c r="H47" s="595"/>
      <c r="I47" s="596"/>
      <c r="J47" s="1493">
        <f t="shared" si="7"/>
        <v>0</v>
      </c>
      <c r="K47" s="1483">
        <f t="shared" si="5"/>
        <v>0</v>
      </c>
      <c r="L47" s="1412"/>
      <c r="M47" s="602"/>
      <c r="N47" s="1465">
        <f t="shared" si="0"/>
        <v>0</v>
      </c>
      <c r="O47" s="602"/>
      <c r="P47" s="1466">
        <f t="shared" si="1"/>
        <v>0</v>
      </c>
      <c r="Q47" s="604"/>
      <c r="R47" s="1465">
        <f t="shared" si="2"/>
        <v>0</v>
      </c>
      <c r="S47" s="1467">
        <f t="shared" si="6"/>
        <v>0</v>
      </c>
      <c r="U47" s="1471">
        <v>53205080000000</v>
      </c>
      <c r="V47" s="1472" t="s">
        <v>140</v>
      </c>
      <c r="W47" s="2517">
        <v>18000000</v>
      </c>
    </row>
    <row r="48" spans="1:23" ht="15" customHeight="1" x14ac:dyDescent="0.35">
      <c r="A48" s="3126"/>
      <c r="B48" s="3118"/>
      <c r="C48" s="632"/>
      <c r="D48" s="616"/>
      <c r="E48" s="627"/>
      <c r="F48" s="627"/>
      <c r="G48" s="595"/>
      <c r="H48" s="595"/>
      <c r="I48" s="596"/>
      <c r="J48" s="1493">
        <f t="shared" si="7"/>
        <v>0</v>
      </c>
      <c r="K48" s="1483">
        <f t="shared" si="5"/>
        <v>0</v>
      </c>
      <c r="L48" s="1412"/>
      <c r="M48" s="602"/>
      <c r="N48" s="1465">
        <f t="shared" si="0"/>
        <v>0</v>
      </c>
      <c r="O48" s="602"/>
      <c r="P48" s="1466">
        <f t="shared" si="1"/>
        <v>0</v>
      </c>
      <c r="Q48" s="604"/>
      <c r="R48" s="1465">
        <f t="shared" si="2"/>
        <v>0</v>
      </c>
      <c r="S48" s="1467">
        <f t="shared" si="6"/>
        <v>0</v>
      </c>
      <c r="U48" s="1471">
        <v>53205990000000</v>
      </c>
      <c r="V48" s="1472" t="s">
        <v>141</v>
      </c>
      <c r="W48" s="349"/>
    </row>
    <row r="49" spans="1:23" ht="15" customHeight="1" x14ac:dyDescent="0.35">
      <c r="A49" s="3126"/>
      <c r="B49" s="3118"/>
      <c r="C49" s="632"/>
      <c r="D49" s="616"/>
      <c r="E49" s="627"/>
      <c r="F49" s="627"/>
      <c r="G49" s="595"/>
      <c r="H49" s="595"/>
      <c r="I49" s="596"/>
      <c r="J49" s="1493">
        <f t="shared" si="7"/>
        <v>0</v>
      </c>
      <c r="K49" s="1483">
        <f t="shared" si="5"/>
        <v>0</v>
      </c>
      <c r="L49" s="1412"/>
      <c r="M49" s="602"/>
      <c r="N49" s="1465">
        <f t="shared" si="0"/>
        <v>0</v>
      </c>
      <c r="O49" s="602"/>
      <c r="P49" s="1466">
        <f t="shared" si="1"/>
        <v>0</v>
      </c>
      <c r="Q49" s="604"/>
      <c r="R49" s="1465">
        <f t="shared" si="2"/>
        <v>0</v>
      </c>
      <c r="S49" s="1467">
        <f t="shared" si="6"/>
        <v>0</v>
      </c>
      <c r="U49" s="1468"/>
      <c r="V49" s="1469" t="s">
        <v>142</v>
      </c>
      <c r="W49" s="1470">
        <f>SUM(W50:W59)</f>
        <v>21100000</v>
      </c>
    </row>
    <row r="50" spans="1:23" ht="15" customHeight="1" x14ac:dyDescent="0.35">
      <c r="A50" s="3126"/>
      <c r="B50" s="3118"/>
      <c r="C50" s="632"/>
      <c r="D50" s="616"/>
      <c r="E50" s="627"/>
      <c r="F50" s="627"/>
      <c r="G50" s="595"/>
      <c r="H50" s="595"/>
      <c r="I50" s="596"/>
      <c r="J50" s="1493">
        <f t="shared" ref="J50:J53" si="8">SUM(G50:I50)</f>
        <v>0</v>
      </c>
      <c r="K50" s="1483">
        <f t="shared" si="5"/>
        <v>0</v>
      </c>
      <c r="L50" s="1412"/>
      <c r="M50" s="602"/>
      <c r="N50" s="1465">
        <f t="shared" si="0"/>
        <v>0</v>
      </c>
      <c r="O50" s="602"/>
      <c r="P50" s="1466">
        <f t="shared" si="1"/>
        <v>0</v>
      </c>
      <c r="Q50" s="604"/>
      <c r="R50" s="1465">
        <f t="shared" si="2"/>
        <v>0</v>
      </c>
      <c r="S50" s="1467">
        <f t="shared" si="6"/>
        <v>0</v>
      </c>
      <c r="U50" s="1471">
        <v>53203010200000</v>
      </c>
      <c r="V50" s="1472" t="s">
        <v>143</v>
      </c>
      <c r="W50" s="606">
        <v>0</v>
      </c>
    </row>
    <row r="51" spans="1:23" ht="15" customHeight="1" x14ac:dyDescent="0.35">
      <c r="A51" s="3126"/>
      <c r="B51" s="3118"/>
      <c r="C51" s="632"/>
      <c r="D51" s="616"/>
      <c r="E51" s="627"/>
      <c r="F51" s="627"/>
      <c r="G51" s="595"/>
      <c r="H51" s="595"/>
      <c r="I51" s="596"/>
      <c r="J51" s="1493">
        <f t="shared" si="8"/>
        <v>0</v>
      </c>
      <c r="K51" s="1483">
        <f t="shared" si="5"/>
        <v>0</v>
      </c>
      <c r="L51" s="1412"/>
      <c r="M51" s="602"/>
      <c r="N51" s="1465">
        <f t="shared" si="0"/>
        <v>0</v>
      </c>
      <c r="O51" s="602"/>
      <c r="P51" s="1466">
        <f t="shared" si="1"/>
        <v>0</v>
      </c>
      <c r="Q51" s="604"/>
      <c r="R51" s="1465">
        <f t="shared" si="2"/>
        <v>0</v>
      </c>
      <c r="S51" s="1467">
        <f t="shared" si="6"/>
        <v>0</v>
      </c>
      <c r="U51" s="1471">
        <v>53204010000000</v>
      </c>
      <c r="V51" s="1472" t="s">
        <v>144</v>
      </c>
      <c r="W51" s="606">
        <v>7900000</v>
      </c>
    </row>
    <row r="52" spans="1:23" ht="15" customHeight="1" x14ac:dyDescent="0.35">
      <c r="A52" s="3126"/>
      <c r="B52" s="3118"/>
      <c r="C52" s="632"/>
      <c r="D52" s="616"/>
      <c r="E52" s="627"/>
      <c r="F52" s="627"/>
      <c r="G52" s="595"/>
      <c r="H52" s="595"/>
      <c r="I52" s="596"/>
      <c r="J52" s="1493">
        <f t="shared" si="8"/>
        <v>0</v>
      </c>
      <c r="K52" s="1483">
        <f t="shared" si="5"/>
        <v>0</v>
      </c>
      <c r="L52" s="1412"/>
      <c r="M52" s="602"/>
      <c r="N52" s="1465">
        <f t="shared" si="0"/>
        <v>0</v>
      </c>
      <c r="O52" s="602"/>
      <c r="P52" s="1466">
        <f t="shared" si="1"/>
        <v>0</v>
      </c>
      <c r="Q52" s="604"/>
      <c r="R52" s="1465">
        <f t="shared" si="2"/>
        <v>0</v>
      </c>
      <c r="S52" s="1467">
        <f t="shared" si="6"/>
        <v>0</v>
      </c>
      <c r="U52" s="1471">
        <v>53204040200000</v>
      </c>
      <c r="V52" s="1472" t="s">
        <v>145</v>
      </c>
      <c r="W52" s="606">
        <v>0</v>
      </c>
    </row>
    <row r="53" spans="1:23" ht="15" customHeight="1" x14ac:dyDescent="0.35">
      <c r="A53" s="3126"/>
      <c r="B53" s="3118"/>
      <c r="C53" s="632"/>
      <c r="D53" s="616"/>
      <c r="E53" s="627"/>
      <c r="F53" s="627"/>
      <c r="G53" s="595"/>
      <c r="H53" s="595"/>
      <c r="I53" s="596"/>
      <c r="J53" s="1493">
        <f t="shared" si="8"/>
        <v>0</v>
      </c>
      <c r="K53" s="1483">
        <f t="shared" si="5"/>
        <v>0</v>
      </c>
      <c r="L53" s="1412"/>
      <c r="M53" s="602"/>
      <c r="N53" s="1465">
        <f t="shared" si="0"/>
        <v>0</v>
      </c>
      <c r="O53" s="602"/>
      <c r="P53" s="1466">
        <f t="shared" si="1"/>
        <v>0</v>
      </c>
      <c r="Q53" s="604"/>
      <c r="R53" s="1465">
        <f t="shared" si="2"/>
        <v>0</v>
      </c>
      <c r="S53" s="1467">
        <f t="shared" si="6"/>
        <v>0</v>
      </c>
      <c r="U53" s="1471">
        <v>53204060000000</v>
      </c>
      <c r="V53" s="1472" t="s">
        <v>146</v>
      </c>
      <c r="W53" s="606">
        <v>0</v>
      </c>
    </row>
    <row r="54" spans="1:23" ht="15" customHeight="1" x14ac:dyDescent="0.35">
      <c r="A54" s="3126"/>
      <c r="B54" s="3118"/>
      <c r="C54" s="632"/>
      <c r="D54" s="616"/>
      <c r="E54" s="627"/>
      <c r="F54" s="627"/>
      <c r="G54" s="595"/>
      <c r="H54" s="595"/>
      <c r="I54" s="596"/>
      <c r="J54" s="1493">
        <f t="shared" si="7"/>
        <v>0</v>
      </c>
      <c r="K54" s="1483">
        <f t="shared" si="5"/>
        <v>0</v>
      </c>
      <c r="L54" s="1412"/>
      <c r="M54" s="602"/>
      <c r="N54" s="1465">
        <f t="shared" si="0"/>
        <v>0</v>
      </c>
      <c r="O54" s="602"/>
      <c r="P54" s="1466">
        <f t="shared" si="1"/>
        <v>0</v>
      </c>
      <c r="Q54" s="604"/>
      <c r="R54" s="1465">
        <f t="shared" si="2"/>
        <v>0</v>
      </c>
      <c r="S54" s="1467">
        <f t="shared" si="6"/>
        <v>0</v>
      </c>
      <c r="U54" s="1471">
        <v>53204070000000</v>
      </c>
      <c r="V54" s="1472" t="s">
        <v>200</v>
      </c>
      <c r="W54" s="606">
        <v>6500000</v>
      </c>
    </row>
    <row r="55" spans="1:23" ht="15" customHeight="1" x14ac:dyDescent="0.35">
      <c r="A55" s="3126"/>
      <c r="B55" s="3118"/>
      <c r="C55" s="632"/>
      <c r="D55" s="616"/>
      <c r="E55" s="627"/>
      <c r="F55" s="627"/>
      <c r="G55" s="595"/>
      <c r="H55" s="595"/>
      <c r="I55" s="596"/>
      <c r="J55" s="1493">
        <f t="shared" si="7"/>
        <v>0</v>
      </c>
      <c r="K55" s="1483">
        <f t="shared" si="5"/>
        <v>0</v>
      </c>
      <c r="L55" s="1412"/>
      <c r="M55" s="602"/>
      <c r="N55" s="1465">
        <f t="shared" si="0"/>
        <v>0</v>
      </c>
      <c r="O55" s="602"/>
      <c r="P55" s="1466">
        <f t="shared" si="1"/>
        <v>0</v>
      </c>
      <c r="Q55" s="604"/>
      <c r="R55" s="1465">
        <f t="shared" si="2"/>
        <v>0</v>
      </c>
      <c r="S55" s="1467">
        <f t="shared" si="6"/>
        <v>0</v>
      </c>
      <c r="U55" s="1471">
        <v>53204080000000</v>
      </c>
      <c r="V55" s="1472" t="s">
        <v>148</v>
      </c>
      <c r="W55" s="606">
        <v>2000000</v>
      </c>
    </row>
    <row r="56" spans="1:23" ht="15" customHeight="1" x14ac:dyDescent="0.35">
      <c r="A56" s="3126"/>
      <c r="B56" s="3118"/>
      <c r="C56" s="632"/>
      <c r="D56" s="616"/>
      <c r="E56" s="627"/>
      <c r="F56" s="627"/>
      <c r="G56" s="595"/>
      <c r="H56" s="595"/>
      <c r="I56" s="596"/>
      <c r="J56" s="1493">
        <f t="shared" si="7"/>
        <v>0</v>
      </c>
      <c r="K56" s="1483">
        <f t="shared" si="5"/>
        <v>0</v>
      </c>
      <c r="L56" s="1412"/>
      <c r="M56" s="602"/>
      <c r="N56" s="1465">
        <f t="shared" si="0"/>
        <v>0</v>
      </c>
      <c r="O56" s="602"/>
      <c r="P56" s="1466">
        <f t="shared" si="1"/>
        <v>0</v>
      </c>
      <c r="Q56" s="604"/>
      <c r="R56" s="1465">
        <f t="shared" si="2"/>
        <v>0</v>
      </c>
      <c r="S56" s="1467">
        <f t="shared" si="6"/>
        <v>0</v>
      </c>
      <c r="U56" s="1471">
        <v>53214010000000</v>
      </c>
      <c r="V56" s="1472" t="s">
        <v>149</v>
      </c>
      <c r="W56" s="606">
        <v>2500000</v>
      </c>
    </row>
    <row r="57" spans="1:23" ht="15" customHeight="1" x14ac:dyDescent="0.35">
      <c r="A57" s="3126"/>
      <c r="B57" s="3118"/>
      <c r="C57" s="632"/>
      <c r="D57" s="616"/>
      <c r="E57" s="627"/>
      <c r="F57" s="627"/>
      <c r="G57" s="595"/>
      <c r="H57" s="595"/>
      <c r="I57" s="596"/>
      <c r="J57" s="1493">
        <f t="shared" si="7"/>
        <v>0</v>
      </c>
      <c r="K57" s="1483">
        <f t="shared" si="5"/>
        <v>0</v>
      </c>
      <c r="L57" s="1412"/>
      <c r="M57" s="602"/>
      <c r="N57" s="1465">
        <f t="shared" si="0"/>
        <v>0</v>
      </c>
      <c r="O57" s="602"/>
      <c r="P57" s="1466">
        <f t="shared" si="1"/>
        <v>0</v>
      </c>
      <c r="Q57" s="604"/>
      <c r="R57" s="1465">
        <f t="shared" si="2"/>
        <v>0</v>
      </c>
      <c r="S57" s="1467">
        <f t="shared" si="6"/>
        <v>0</v>
      </c>
      <c r="U57" s="1471">
        <v>53214040000000</v>
      </c>
      <c r="V57" s="1472" t="s">
        <v>150</v>
      </c>
      <c r="W57" s="606">
        <v>2200000</v>
      </c>
    </row>
    <row r="58" spans="1:23" ht="15" customHeight="1" x14ac:dyDescent="0.35">
      <c r="A58" s="3126"/>
      <c r="B58" s="3118"/>
      <c r="C58" s="632"/>
      <c r="D58" s="616"/>
      <c r="E58" s="627"/>
      <c r="F58" s="627"/>
      <c r="G58" s="595"/>
      <c r="H58" s="595"/>
      <c r="I58" s="596"/>
      <c r="J58" s="1493">
        <f t="shared" si="7"/>
        <v>0</v>
      </c>
      <c r="K58" s="1483">
        <f t="shared" si="5"/>
        <v>0</v>
      </c>
      <c r="L58" s="1412"/>
      <c r="M58" s="602"/>
      <c r="N58" s="1465">
        <f t="shared" si="0"/>
        <v>0</v>
      </c>
      <c r="O58" s="602"/>
      <c r="P58" s="1466">
        <f t="shared" si="1"/>
        <v>0</v>
      </c>
      <c r="Q58" s="604"/>
      <c r="R58" s="1465">
        <f t="shared" si="2"/>
        <v>0</v>
      </c>
      <c r="S58" s="1467">
        <f t="shared" si="6"/>
        <v>0</v>
      </c>
      <c r="U58" s="1471">
        <v>55201010100004</v>
      </c>
      <c r="V58" s="1472" t="s">
        <v>151</v>
      </c>
      <c r="W58" s="606"/>
    </row>
    <row r="59" spans="1:23" ht="15" customHeight="1" x14ac:dyDescent="0.35">
      <c r="A59" s="3126"/>
      <c r="B59" s="3118"/>
      <c r="C59" s="632"/>
      <c r="D59" s="616"/>
      <c r="E59" s="627"/>
      <c r="F59" s="627"/>
      <c r="G59" s="595"/>
      <c r="H59" s="595"/>
      <c r="I59" s="596"/>
      <c r="J59" s="1493">
        <f t="shared" si="7"/>
        <v>0</v>
      </c>
      <c r="K59" s="1483">
        <f t="shared" si="5"/>
        <v>0</v>
      </c>
      <c r="L59" s="1412"/>
      <c r="M59" s="602"/>
      <c r="N59" s="1465">
        <f t="shared" si="0"/>
        <v>0</v>
      </c>
      <c r="O59" s="602"/>
      <c r="P59" s="1466">
        <f t="shared" si="1"/>
        <v>0</v>
      </c>
      <c r="Q59" s="604"/>
      <c r="R59" s="1465">
        <f t="shared" si="2"/>
        <v>0</v>
      </c>
      <c r="S59" s="1467">
        <f t="shared" si="6"/>
        <v>0</v>
      </c>
      <c r="U59" s="1471">
        <v>55201010100005</v>
      </c>
      <c r="V59" s="1472" t="s">
        <v>152</v>
      </c>
      <c r="W59" s="606"/>
    </row>
    <row r="60" spans="1:23" ht="15" customHeight="1" x14ac:dyDescent="0.35">
      <c r="A60" s="3126"/>
      <c r="B60" s="3118"/>
      <c r="C60" s="632"/>
      <c r="D60" s="616"/>
      <c r="E60" s="627"/>
      <c r="F60" s="627"/>
      <c r="G60" s="595"/>
      <c r="H60" s="595"/>
      <c r="I60" s="596"/>
      <c r="J60" s="1493">
        <f t="shared" si="7"/>
        <v>0</v>
      </c>
      <c r="K60" s="1483">
        <f t="shared" si="5"/>
        <v>0</v>
      </c>
      <c r="L60" s="1412"/>
      <c r="M60" s="602"/>
      <c r="N60" s="1465">
        <f t="shared" si="0"/>
        <v>0</v>
      </c>
      <c r="O60" s="602"/>
      <c r="P60" s="1466">
        <f t="shared" si="1"/>
        <v>0</v>
      </c>
      <c r="Q60" s="604"/>
      <c r="R60" s="1465">
        <f t="shared" si="2"/>
        <v>0</v>
      </c>
      <c r="S60" s="1467">
        <f t="shared" si="6"/>
        <v>0</v>
      </c>
      <c r="U60" s="1468"/>
      <c r="V60" s="1469" t="s">
        <v>153</v>
      </c>
      <c r="W60" s="1470">
        <f>SUM(W61:W72)</f>
        <v>12219780</v>
      </c>
    </row>
    <row r="61" spans="1:23" ht="15.75" customHeight="1" thickBot="1" x14ac:dyDescent="0.4">
      <c r="A61" s="3127"/>
      <c r="B61" s="3119"/>
      <c r="C61" s="633"/>
      <c r="D61" s="628"/>
      <c r="E61" s="629"/>
      <c r="F61" s="629"/>
      <c r="G61" s="599"/>
      <c r="H61" s="599"/>
      <c r="I61" s="600"/>
      <c r="J61" s="1484">
        <f t="shared" si="7"/>
        <v>0</v>
      </c>
      <c r="K61" s="1494">
        <f t="shared" si="5"/>
        <v>0</v>
      </c>
      <c r="L61" s="1412"/>
      <c r="M61" s="603"/>
      <c r="N61" s="1479">
        <f t="shared" si="0"/>
        <v>0</v>
      </c>
      <c r="O61" s="603"/>
      <c r="P61" s="1480">
        <f t="shared" si="1"/>
        <v>0</v>
      </c>
      <c r="Q61" s="605"/>
      <c r="R61" s="1479">
        <f t="shared" si="2"/>
        <v>0</v>
      </c>
      <c r="S61" s="1481">
        <f t="shared" si="6"/>
        <v>0</v>
      </c>
      <c r="U61" s="1471">
        <v>53207010000000</v>
      </c>
      <c r="V61" s="1472" t="s">
        <v>154</v>
      </c>
      <c r="W61" s="606">
        <v>0</v>
      </c>
    </row>
    <row r="62" spans="1:23" ht="16" thickBot="1" x14ac:dyDescent="0.4">
      <c r="K62" s="1495">
        <f>SUM(K15:K61)</f>
        <v>324757032.22000003</v>
      </c>
      <c r="M62" s="634">
        <f>IFERROR(+N62/$K$62,0)</f>
        <v>0.25</v>
      </c>
      <c r="N62" s="1496">
        <f>SUM(N15:N61)</f>
        <v>81189258.055000007</v>
      </c>
      <c r="O62" s="634">
        <f>IFERROR(+P62/$K$62,0)</f>
        <v>0.25</v>
      </c>
      <c r="P62" s="1496">
        <f>SUM(P15:P61)</f>
        <v>81189258.055000007</v>
      </c>
      <c r="Q62" s="634">
        <f>IFERROR(+R62/$K$62,0)</f>
        <v>0.5</v>
      </c>
      <c r="R62" s="1496">
        <f>SUM(R15:R61)</f>
        <v>162378516.11000001</v>
      </c>
      <c r="U62" s="1471">
        <v>53207020000000</v>
      </c>
      <c r="V62" s="1472" t="s">
        <v>155</v>
      </c>
      <c r="W62" s="606">
        <v>0</v>
      </c>
    </row>
    <row r="63" spans="1:23" x14ac:dyDescent="0.35">
      <c r="K63" s="153">
        <v>1</v>
      </c>
      <c r="U63" s="1471">
        <v>53208020000000</v>
      </c>
      <c r="V63" s="1472" t="s">
        <v>156</v>
      </c>
      <c r="W63" s="606">
        <v>0</v>
      </c>
    </row>
    <row r="64" spans="1:23" x14ac:dyDescent="0.35">
      <c r="U64" s="1471">
        <v>53208990000000</v>
      </c>
      <c r="V64" s="1472" t="s">
        <v>157</v>
      </c>
      <c r="W64" s="606">
        <v>3500000</v>
      </c>
    </row>
    <row r="65" spans="1:23" x14ac:dyDescent="0.35">
      <c r="U65" s="1471">
        <v>53209010000000</v>
      </c>
      <c r="V65" s="1472" t="s">
        <v>158</v>
      </c>
      <c r="W65" s="606"/>
    </row>
    <row r="66" spans="1:23" x14ac:dyDescent="0.35">
      <c r="U66" s="1471">
        <v>53209040000000</v>
      </c>
      <c r="V66" s="1472" t="s">
        <v>159</v>
      </c>
      <c r="W66" s="606"/>
    </row>
    <row r="67" spans="1:23" ht="15" thickBot="1" x14ac:dyDescent="0.4">
      <c r="U67" s="1471">
        <v>53209050000000</v>
      </c>
      <c r="V67" s="1472" t="s">
        <v>160</v>
      </c>
      <c r="W67" s="606">
        <v>8000000</v>
      </c>
    </row>
    <row r="68" spans="1:23" x14ac:dyDescent="0.35">
      <c r="A68" s="3120" t="s">
        <v>201</v>
      </c>
      <c r="B68" s="3123" t="s">
        <v>202</v>
      </c>
      <c r="C68" s="884" t="s">
        <v>452</v>
      </c>
      <c r="D68" s="885" t="s">
        <v>453</v>
      </c>
      <c r="E68" s="885" t="s">
        <v>454</v>
      </c>
      <c r="F68" s="886" t="s">
        <v>185</v>
      </c>
      <c r="G68" s="2481">
        <v>9147300</v>
      </c>
      <c r="H68" s="2481">
        <v>358358</v>
      </c>
      <c r="I68" s="2481">
        <v>162000</v>
      </c>
      <c r="J68" s="1497">
        <f>SUM(G68:I68)</f>
        <v>9667658</v>
      </c>
      <c r="K68" s="1449">
        <f t="shared" ref="K68:K72" si="9">+((G68*(1+$K$11))+H68+I68)</f>
        <v>10079286.5</v>
      </c>
      <c r="L68" s="1412"/>
      <c r="U68" s="1471">
        <v>53209990000000</v>
      </c>
      <c r="V68" s="1472" t="s">
        <v>161</v>
      </c>
      <c r="W68" s="606">
        <v>119780</v>
      </c>
    </row>
    <row r="69" spans="1:23" x14ac:dyDescent="0.35">
      <c r="A69" s="3121"/>
      <c r="B69" s="3124"/>
      <c r="C69" s="2492" t="s">
        <v>1152</v>
      </c>
      <c r="D69" s="2458" t="s">
        <v>1153</v>
      </c>
      <c r="E69" s="2458" t="s">
        <v>455</v>
      </c>
      <c r="F69" s="2458" t="s">
        <v>185</v>
      </c>
      <c r="G69" s="2481">
        <v>26163276</v>
      </c>
      <c r="H69" s="2481">
        <v>199557</v>
      </c>
      <c r="I69" s="2481">
        <v>161214</v>
      </c>
      <c r="J69" s="1498">
        <f>SUM(G69:I69)</f>
        <v>26524047</v>
      </c>
      <c r="K69" s="1483">
        <f t="shared" si="9"/>
        <v>27701394.419999998</v>
      </c>
      <c r="L69" s="1412"/>
      <c r="U69" s="1471">
        <v>53210020100000</v>
      </c>
      <c r="V69" s="1472" t="s">
        <v>162</v>
      </c>
      <c r="W69" s="606">
        <v>600000</v>
      </c>
    </row>
    <row r="70" spans="1:23" x14ac:dyDescent="0.35">
      <c r="A70" s="3121"/>
      <c r="B70" s="3124"/>
      <c r="C70" s="2492" t="s">
        <v>456</v>
      </c>
      <c r="D70" s="2514" t="s">
        <v>457</v>
      </c>
      <c r="E70" s="2458" t="s">
        <v>458</v>
      </c>
      <c r="F70" s="2458" t="s">
        <v>185</v>
      </c>
      <c r="G70" s="2481">
        <v>17089548</v>
      </c>
      <c r="H70" s="2481">
        <v>199557</v>
      </c>
      <c r="I70" s="2481">
        <v>164968</v>
      </c>
      <c r="J70" s="1498">
        <f>SUM(G70:I70)</f>
        <v>17454073</v>
      </c>
      <c r="K70" s="1483">
        <f t="shared" si="9"/>
        <v>18223102.66</v>
      </c>
      <c r="L70" s="1412"/>
      <c r="U70" s="1471"/>
      <c r="V70" s="1472"/>
      <c r="W70" s="349"/>
    </row>
    <row r="71" spans="1:23" x14ac:dyDescent="0.35">
      <c r="A71" s="3121"/>
      <c r="B71" s="3124"/>
      <c r="C71" s="2492" t="s">
        <v>1154</v>
      </c>
      <c r="D71" s="2458" t="s">
        <v>1155</v>
      </c>
      <c r="E71" s="2458" t="s">
        <v>461</v>
      </c>
      <c r="F71" s="2458" t="s">
        <v>462</v>
      </c>
      <c r="G71" s="2481">
        <v>8359284</v>
      </c>
      <c r="H71" s="2481">
        <v>358358</v>
      </c>
      <c r="I71" s="2481">
        <v>162000</v>
      </c>
      <c r="J71" s="1498">
        <f>SUM(G71:I71)</f>
        <v>8879642</v>
      </c>
      <c r="K71" s="1483">
        <f t="shared" si="9"/>
        <v>9255809.7799999993</v>
      </c>
      <c r="L71" s="1412"/>
      <c r="U71" s="1471"/>
      <c r="V71" s="1472"/>
      <c r="W71" s="349"/>
    </row>
    <row r="72" spans="1:23" ht="15" thickBot="1" x14ac:dyDescent="0.4">
      <c r="A72" s="3122"/>
      <c r="B72" s="3125"/>
      <c r="C72" s="877" t="s">
        <v>491</v>
      </c>
      <c r="D72" s="878" t="s">
        <v>1156</v>
      </c>
      <c r="E72" s="879"/>
      <c r="F72" s="2464" t="s">
        <v>185</v>
      </c>
      <c r="G72" s="2515">
        <v>502132.94999999995</v>
      </c>
      <c r="H72" s="880"/>
      <c r="I72" s="881"/>
      <c r="J72" s="1499">
        <f>SUM(G72:I72)</f>
        <v>502132.94999999995</v>
      </c>
      <c r="K72" s="1483">
        <f t="shared" si="9"/>
        <v>524728.93274999992</v>
      </c>
      <c r="L72" s="1412"/>
      <c r="U72" s="1471"/>
      <c r="V72" s="1472"/>
      <c r="W72" s="349"/>
    </row>
    <row r="73" spans="1:23" ht="16" thickBot="1" x14ac:dyDescent="0.4">
      <c r="C73" s="1411"/>
      <c r="D73" s="1411"/>
      <c r="E73" s="1476"/>
      <c r="F73" s="1476"/>
      <c r="G73" s="1476"/>
      <c r="H73" s="1476"/>
      <c r="I73" s="1476"/>
      <c r="K73" s="1495">
        <f>SUM(K68:K72)</f>
        <v>65784322.292750001</v>
      </c>
      <c r="L73" s="1412"/>
      <c r="U73" s="1468"/>
      <c r="V73" s="1469" t="s">
        <v>163</v>
      </c>
      <c r="W73" s="1470">
        <f>SUM(W74:W80)</f>
        <v>9250000</v>
      </c>
    </row>
    <row r="74" spans="1:23" x14ac:dyDescent="0.35">
      <c r="K74" s="153">
        <v>1</v>
      </c>
      <c r="L74" s="1412"/>
      <c r="M74" s="1500"/>
      <c r="O74" s="1500"/>
      <c r="Q74" s="1500"/>
      <c r="U74" s="1471">
        <v>53206030000000</v>
      </c>
      <c r="V74" s="1472" t="s">
        <v>164</v>
      </c>
      <c r="W74" s="606">
        <v>4500000</v>
      </c>
    </row>
    <row r="75" spans="1:23" ht="16" thickBot="1" x14ac:dyDescent="0.4">
      <c r="H75" s="1419"/>
      <c r="U75" s="1471">
        <v>53206040000000</v>
      </c>
      <c r="V75" s="1472" t="s">
        <v>165</v>
      </c>
      <c r="W75" s="606">
        <v>0</v>
      </c>
    </row>
    <row r="76" spans="1:23" ht="15.75" customHeight="1" x14ac:dyDescent="0.35">
      <c r="A76" s="3105" t="s">
        <v>339</v>
      </c>
      <c r="B76" s="3108" t="s">
        <v>340</v>
      </c>
      <c r="C76" s="2454" t="s">
        <v>1157</v>
      </c>
      <c r="D76" s="2454" t="s">
        <v>1158</v>
      </c>
      <c r="E76" s="2454" t="s">
        <v>454</v>
      </c>
      <c r="F76" s="2454" t="s">
        <v>186</v>
      </c>
      <c r="G76" s="2481">
        <v>12521304</v>
      </c>
      <c r="H76" s="2481">
        <v>358358</v>
      </c>
      <c r="I76" s="2481">
        <v>162000</v>
      </c>
      <c r="J76" s="1501">
        <f>SUM(G76:I76)</f>
        <v>13041662</v>
      </c>
      <c r="K76" s="1502">
        <f t="shared" ref="K76:K79" si="10">+G76*(1+$K$11)+H76+I76</f>
        <v>13605120.68</v>
      </c>
      <c r="U76" s="1471">
        <v>53206060000000</v>
      </c>
      <c r="V76" s="1472" t="s">
        <v>166</v>
      </c>
      <c r="W76" s="606">
        <v>250000</v>
      </c>
    </row>
    <row r="77" spans="1:23" ht="15.75" customHeight="1" x14ac:dyDescent="0.35">
      <c r="A77" s="3106"/>
      <c r="B77" s="3109"/>
      <c r="C77" s="2454" t="s">
        <v>1159</v>
      </c>
      <c r="D77" s="2454" t="s">
        <v>1160</v>
      </c>
      <c r="E77" s="2454" t="s">
        <v>461</v>
      </c>
      <c r="F77" s="2454" t="s">
        <v>186</v>
      </c>
      <c r="G77" s="2481">
        <v>17530788</v>
      </c>
      <c r="H77" s="2481">
        <v>199557</v>
      </c>
      <c r="I77" s="2481">
        <v>164968</v>
      </c>
      <c r="J77" s="1503">
        <f t="shared" ref="J77:J80" si="11">SUM(G77:I77)</f>
        <v>17895313</v>
      </c>
      <c r="K77" s="1504">
        <f t="shared" si="10"/>
        <v>18684198.459999997</v>
      </c>
      <c r="U77" s="1471">
        <v>53206070000000</v>
      </c>
      <c r="V77" s="1472" t="s">
        <v>167</v>
      </c>
      <c r="W77" s="606">
        <v>500000</v>
      </c>
    </row>
    <row r="78" spans="1:23" ht="15.75" customHeight="1" x14ac:dyDescent="0.35">
      <c r="A78" s="3106"/>
      <c r="B78" s="3109"/>
      <c r="C78" s="1517"/>
      <c r="D78" s="1517"/>
      <c r="E78" s="1517"/>
      <c r="F78" s="308"/>
      <c r="G78" s="309"/>
      <c r="H78" s="309"/>
      <c r="I78" s="310"/>
      <c r="J78" s="1503">
        <f t="shared" si="11"/>
        <v>0</v>
      </c>
      <c r="K78" s="1504">
        <f t="shared" si="10"/>
        <v>0</v>
      </c>
      <c r="U78" s="1471">
        <v>53206990000000</v>
      </c>
      <c r="V78" s="1472" t="s">
        <v>168</v>
      </c>
      <c r="W78" s="606">
        <v>2500000</v>
      </c>
    </row>
    <row r="79" spans="1:23" ht="15.75" customHeight="1" x14ac:dyDescent="0.35">
      <c r="A79" s="3106"/>
      <c r="B79" s="3109"/>
      <c r="C79" s="307"/>
      <c r="D79" s="307"/>
      <c r="E79" s="308"/>
      <c r="F79" s="308"/>
      <c r="G79" s="309"/>
      <c r="H79" s="309"/>
      <c r="I79" s="310"/>
      <c r="J79" s="1503">
        <f t="shared" si="11"/>
        <v>0</v>
      </c>
      <c r="K79" s="1504">
        <f t="shared" si="10"/>
        <v>0</v>
      </c>
      <c r="U79" s="1471">
        <v>53208030000000</v>
      </c>
      <c r="V79" s="1472" t="s">
        <v>169</v>
      </c>
      <c r="W79" s="606">
        <v>0</v>
      </c>
    </row>
    <row r="80" spans="1:23" ht="15.75" customHeight="1" thickBot="1" x14ac:dyDescent="0.4">
      <c r="A80" s="3107"/>
      <c r="B80" s="3110"/>
      <c r="C80" s="1518"/>
      <c r="D80" s="1518"/>
      <c r="E80" s="311"/>
      <c r="F80" s="311"/>
      <c r="G80" s="1519"/>
      <c r="H80" s="1519"/>
      <c r="I80" s="1520"/>
      <c r="J80" s="1505">
        <f t="shared" si="11"/>
        <v>0</v>
      </c>
      <c r="K80" s="1506">
        <f t="shared" ref="K80" si="12">+G80*(1+$K$11)+H80+I80</f>
        <v>0</v>
      </c>
      <c r="U80" s="1471">
        <v>53212060000000</v>
      </c>
      <c r="V80" s="1472" t="s">
        <v>170</v>
      </c>
      <c r="W80" s="606">
        <v>1500000</v>
      </c>
    </row>
    <row r="81" spans="1:23" ht="16" thickBot="1" x14ac:dyDescent="0.4">
      <c r="A81" s="1507"/>
      <c r="B81" s="1507"/>
      <c r="C81" s="1508"/>
      <c r="D81" s="1508"/>
      <c r="E81" s="1509"/>
      <c r="F81" s="1509"/>
      <c r="G81" s="1509"/>
      <c r="H81" s="1509"/>
      <c r="I81" s="1509"/>
      <c r="J81" s="1509"/>
      <c r="K81" s="1510">
        <f>SUM(K76:K80)</f>
        <v>32289319.139999997</v>
      </c>
      <c r="U81" s="1468"/>
      <c r="V81" s="1469" t="s">
        <v>171</v>
      </c>
      <c r="W81" s="1470">
        <f>SUM(W82:W82)</f>
        <v>2400000</v>
      </c>
    </row>
    <row r="82" spans="1:23" x14ac:dyDescent="0.35">
      <c r="A82" s="1507"/>
      <c r="B82" s="1507"/>
      <c r="C82" s="1507"/>
      <c r="D82" s="1507"/>
      <c r="E82" s="1507"/>
      <c r="F82" s="1507"/>
      <c r="G82" s="1507"/>
      <c r="H82" s="1507"/>
      <c r="I82" s="1507"/>
      <c r="J82" s="1507"/>
      <c r="K82" s="153">
        <v>1</v>
      </c>
      <c r="U82" s="1471">
        <v>53204999000000</v>
      </c>
      <c r="V82" s="1472" t="s">
        <v>173</v>
      </c>
      <c r="W82" s="606">
        <v>2400000</v>
      </c>
    </row>
    <row r="83" spans="1:23" ht="15" thickBot="1" x14ac:dyDescent="0.4">
      <c r="A83" s="1507"/>
      <c r="B83" s="1507"/>
      <c r="C83" s="1507"/>
      <c r="D83" s="1507"/>
      <c r="E83" s="1507"/>
      <c r="F83" s="1507"/>
      <c r="G83" s="1507"/>
      <c r="H83" s="1507"/>
      <c r="I83" s="1507"/>
      <c r="J83" s="1507"/>
      <c r="K83" s="1511"/>
      <c r="U83" s="1512"/>
      <c r="V83" s="1513" t="s">
        <v>203</v>
      </c>
      <c r="W83" s="1514">
        <f>+W40+W15</f>
        <v>176017992</v>
      </c>
    </row>
    <row r="84" spans="1:23" ht="15" customHeight="1" x14ac:dyDescent="0.35">
      <c r="A84" s="3105" t="s">
        <v>341</v>
      </c>
      <c r="B84" s="3111" t="s">
        <v>342</v>
      </c>
      <c r="C84" s="2454" t="s">
        <v>1161</v>
      </c>
      <c r="D84" s="2454" t="s">
        <v>1162</v>
      </c>
      <c r="E84" s="2454" t="s">
        <v>1163</v>
      </c>
      <c r="F84" s="2454" t="s">
        <v>1164</v>
      </c>
      <c r="G84" s="2481">
        <v>35156088</v>
      </c>
      <c r="H84" s="2481">
        <v>199557</v>
      </c>
      <c r="I84" s="2481">
        <v>161214</v>
      </c>
      <c r="J84" s="1501">
        <f>SUM(G84:I84)</f>
        <v>35516859</v>
      </c>
      <c r="K84" s="1502">
        <f t="shared" ref="K84:K89" si="13">+G84*(1+$K$11)+H84+I84</f>
        <v>37098882.960000001</v>
      </c>
    </row>
    <row r="85" spans="1:23" ht="15" customHeight="1" x14ac:dyDescent="0.35">
      <c r="A85" s="3106"/>
      <c r="B85" s="3112"/>
      <c r="C85" s="2454" t="s">
        <v>1165</v>
      </c>
      <c r="D85" s="2454" t="s">
        <v>1166</v>
      </c>
      <c r="E85" s="2454" t="s">
        <v>461</v>
      </c>
      <c r="F85" s="2454" t="s">
        <v>1164</v>
      </c>
      <c r="G85" s="2481">
        <v>10195152</v>
      </c>
      <c r="H85" s="2481">
        <v>358358</v>
      </c>
      <c r="I85" s="2481">
        <v>162000</v>
      </c>
      <c r="J85" s="1503">
        <f t="shared" ref="J85:J89" si="14">SUM(G85:I85)</f>
        <v>10715510</v>
      </c>
      <c r="K85" s="1504">
        <f t="shared" si="13"/>
        <v>11174291.84</v>
      </c>
    </row>
    <row r="86" spans="1:23" ht="15" customHeight="1" x14ac:dyDescent="0.35">
      <c r="A86" s="3106"/>
      <c r="B86" s="3112"/>
      <c r="C86" s="2454" t="s">
        <v>1167</v>
      </c>
      <c r="D86" s="2454" t="s">
        <v>1168</v>
      </c>
      <c r="E86" s="2454" t="s">
        <v>461</v>
      </c>
      <c r="F86" s="2454" t="s">
        <v>1164</v>
      </c>
      <c r="G86" s="2481">
        <v>8292192</v>
      </c>
      <c r="H86" s="2481">
        <v>358358</v>
      </c>
      <c r="I86" s="2481">
        <v>162000</v>
      </c>
      <c r="J86" s="1503">
        <f t="shared" si="14"/>
        <v>8812550</v>
      </c>
      <c r="K86" s="1504">
        <f t="shared" si="13"/>
        <v>9185698.6399999987</v>
      </c>
    </row>
    <row r="87" spans="1:23" ht="15" customHeight="1" x14ac:dyDescent="0.35">
      <c r="A87" s="3106"/>
      <c r="B87" s="3112"/>
      <c r="C87" s="2454" t="s">
        <v>1169</v>
      </c>
      <c r="D87" s="2454" t="s">
        <v>1170</v>
      </c>
      <c r="E87" s="2454" t="s">
        <v>1171</v>
      </c>
      <c r="F87" s="2454" t="s">
        <v>1172</v>
      </c>
      <c r="G87" s="2481">
        <v>13188900</v>
      </c>
      <c r="H87" s="2481">
        <v>358358</v>
      </c>
      <c r="I87" s="2481">
        <v>162000</v>
      </c>
      <c r="J87" s="1503">
        <f t="shared" si="14"/>
        <v>13709258</v>
      </c>
      <c r="K87" s="1504">
        <f t="shared" si="13"/>
        <v>14302758.499999998</v>
      </c>
    </row>
    <row r="88" spans="1:23" ht="15" customHeight="1" x14ac:dyDescent="0.35">
      <c r="A88" s="3106"/>
      <c r="B88" s="3112"/>
      <c r="C88" s="2454" t="s">
        <v>1173</v>
      </c>
      <c r="D88" s="2454" t="s">
        <v>1174</v>
      </c>
      <c r="E88" s="2454" t="s">
        <v>1175</v>
      </c>
      <c r="F88" s="2454" t="s">
        <v>1172</v>
      </c>
      <c r="G88" s="2481">
        <v>18279840</v>
      </c>
      <c r="H88" s="2481">
        <v>199557</v>
      </c>
      <c r="I88" s="2481">
        <v>164968</v>
      </c>
      <c r="J88" s="1503">
        <f t="shared" si="14"/>
        <v>18644365</v>
      </c>
      <c r="K88" s="1504">
        <f t="shared" si="13"/>
        <v>19466957.799999997</v>
      </c>
    </row>
    <row r="89" spans="1:23" ht="15" customHeight="1" x14ac:dyDescent="0.35">
      <c r="A89" s="3106"/>
      <c r="B89" s="3112"/>
      <c r="C89" s="312"/>
      <c r="D89" s="308"/>
      <c r="E89" s="308"/>
      <c r="F89" s="308"/>
      <c r="G89" s="313"/>
      <c r="H89" s="313"/>
      <c r="I89" s="314"/>
      <c r="J89" s="1503">
        <f t="shared" si="14"/>
        <v>0</v>
      </c>
      <c r="K89" s="1504">
        <f t="shared" si="13"/>
        <v>0</v>
      </c>
    </row>
    <row r="90" spans="1:23" ht="15.75" customHeight="1" thickBot="1" x14ac:dyDescent="0.4">
      <c r="A90" s="3107"/>
      <c r="B90" s="3113"/>
      <c r="C90" s="315"/>
      <c r="D90" s="311"/>
      <c r="E90" s="311"/>
      <c r="F90" s="311"/>
      <c r="G90" s="316"/>
      <c r="H90" s="316"/>
      <c r="I90" s="317"/>
      <c r="J90" s="1505">
        <f>SUM(G90:I90)</f>
        <v>0</v>
      </c>
      <c r="K90" s="1506">
        <f t="shared" ref="K90" si="15">+G90*(1+$K$11)+H90+I90</f>
        <v>0</v>
      </c>
    </row>
    <row r="91" spans="1:23" ht="16" thickBot="1" x14ac:dyDescent="0.4">
      <c r="A91" s="1507"/>
      <c r="B91" s="1507"/>
      <c r="C91" s="1507"/>
      <c r="D91" s="1507"/>
      <c r="E91" s="1507"/>
      <c r="F91" s="1507"/>
      <c r="G91" s="1507"/>
      <c r="H91" s="1507"/>
      <c r="I91" s="1507"/>
      <c r="J91" s="1507"/>
      <c r="K91" s="1510">
        <f>SUM(K84:K90)</f>
        <v>91228589.739999995</v>
      </c>
    </row>
    <row r="92" spans="1:23" x14ac:dyDescent="0.35">
      <c r="A92" s="1507"/>
      <c r="B92" s="1507"/>
      <c r="C92" s="1507"/>
      <c r="D92" s="1507"/>
      <c r="E92" s="1507"/>
      <c r="F92" s="1507"/>
      <c r="G92" s="1507"/>
      <c r="H92" s="1507"/>
      <c r="I92" s="1507"/>
      <c r="J92" s="1507"/>
      <c r="K92" s="153">
        <v>1</v>
      </c>
    </row>
    <row r="96" spans="1:23" x14ac:dyDescent="0.35">
      <c r="L96" s="1515"/>
    </row>
    <row r="98" spans="11:11" x14ac:dyDescent="0.35">
      <c r="K98" s="156"/>
    </row>
    <row r="100" spans="11:11" x14ac:dyDescent="0.35">
      <c r="K100" s="1516"/>
    </row>
  </sheetData>
  <mergeCells count="38">
    <mergeCell ref="A76:A80"/>
    <mergeCell ref="B76:B80"/>
    <mergeCell ref="A84:A90"/>
    <mergeCell ref="B84:B90"/>
    <mergeCell ref="B25:B34"/>
    <mergeCell ref="B35:B39"/>
    <mergeCell ref="B40:B61"/>
    <mergeCell ref="A68:A72"/>
    <mergeCell ref="B68:B72"/>
    <mergeCell ref="A15:A61"/>
    <mergeCell ref="B15:B24"/>
    <mergeCell ref="AB13:AC13"/>
    <mergeCell ref="AD13:AE13"/>
    <mergeCell ref="AG13:AH13"/>
    <mergeCell ref="AI13:AJ13"/>
    <mergeCell ref="AK13:AL13"/>
    <mergeCell ref="Z13:AA13"/>
    <mergeCell ref="M12:R12"/>
    <mergeCell ref="A13:B14"/>
    <mergeCell ref="C13:C14"/>
    <mergeCell ref="D13:D14"/>
    <mergeCell ref="E13:E14"/>
    <mergeCell ref="F13:F14"/>
    <mergeCell ref="G13:J13"/>
    <mergeCell ref="K13:K14"/>
    <mergeCell ref="M13:N13"/>
    <mergeCell ref="O13:P13"/>
    <mergeCell ref="Q13:R13"/>
    <mergeCell ref="S13:S14"/>
    <mergeCell ref="U13:U14"/>
    <mergeCell ref="V13:V14"/>
    <mergeCell ref="W13:W14"/>
    <mergeCell ref="AN9:AP10"/>
    <mergeCell ref="A9:H9"/>
    <mergeCell ref="M9:S10"/>
    <mergeCell ref="U9:W10"/>
    <mergeCell ref="Z9:AE10"/>
    <mergeCell ref="AG9:AL10"/>
  </mergeCells>
  <conditionalFormatting sqref="S15:S61">
    <cfRule type="cellIs" dxfId="15" priority="1" operator="equal">
      <formula>1</formula>
    </cfRule>
  </conditionalFormatting>
  <hyperlinks>
    <hyperlink ref="A9:H9" location="'D) Costos Indirectos '!A9" display="TABLA 6: REMUNERACIONES DEL PERSONAL LEY 18.712 ADMINISTRACION CENTRAL Y APOYO ADMINISTRATIVO ASISTENCIA RECREATIVA" xr:uid="{00000000-0004-0000-0700-000000000000}"/>
    <hyperlink ref="M9:S10" location="'D) Costos Indirectos '!M9" display="TABLA 7: DISTRIBUCION COSTOS REMUNERACIONES ADMINISTRACION CENTRAL Y APOYO ADMINISTRATIVO A. RECREATIVA" xr:uid="{00000000-0004-0000-0700-000001000000}"/>
    <hyperlink ref="U9:W10" location="'D) Costos Indirectos '!U9" display="TABLA 8: COSTOS DE OPERACION ADMINISTRACIÓN CENTRAL Y  APOYO ADMINISTRATIVO ASISTENCIA RECREATIVA" xr:uid="{00000000-0004-0000-0700-000002000000}"/>
    <hyperlink ref="Z9:AE10" location="'D) Costos Indirectos '!Z9" display="TABLA 9: RESUMEN DISTRIBUCION COSTOS REMUNERACIONES ADMINISTRACION CENTRAL Y APOYO ADMINISTRATIVO A. RECREATIVA" xr:uid="{00000000-0004-0000-0700-000003000000}"/>
    <hyperlink ref="AG9:AL10" location="'D) Costos Indirectos '!AG9" display="TABLA 10: RESUMEN DISTRIBUCION COSTOS OPERACIÓN ADMINISTRACION CENTRAL  Y APOYO ADMINISTRATIVO A. RECREATIVA" xr:uid="{00000000-0004-0000-0700-000004000000}"/>
    <hyperlink ref="AN9:AP10" location="'D) Costos Indirectos '!AN9" display="'D) Costos Indirectos '!AN9" xr:uid="{00000000-0004-0000-0700-000005000000}"/>
  </hyperlink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S92"/>
  <sheetViews>
    <sheetView showGridLines="0" zoomScale="80" zoomScaleNormal="80" workbookViewId="0">
      <selection activeCell="K53" sqref="K53"/>
    </sheetView>
  </sheetViews>
  <sheetFormatPr baseColWidth="10" defaultRowHeight="14.5" x14ac:dyDescent="0.35"/>
  <cols>
    <col min="1" max="1" width="28" style="5" customWidth="1"/>
    <col min="2" max="2" width="54.7265625" style="5" bestFit="1" customWidth="1"/>
    <col min="3" max="3" width="14.1796875" style="5" customWidth="1"/>
    <col min="4" max="4" width="14.1796875" style="5" bestFit="1" customWidth="1"/>
    <col min="5" max="18" width="14.1796875" style="5" customWidth="1"/>
  </cols>
  <sheetData>
    <row r="1" spans="1:19" x14ac:dyDescent="0.35">
      <c r="A1" s="2"/>
      <c r="B1" s="1"/>
      <c r="C1" s="2"/>
      <c r="D1" s="2"/>
      <c r="E1" s="2"/>
      <c r="F1" s="3"/>
      <c r="G1" s="2"/>
      <c r="H1" s="2"/>
      <c r="I1" s="2"/>
      <c r="J1" s="2"/>
      <c r="K1" s="2"/>
      <c r="L1" s="2"/>
      <c r="M1" s="2"/>
      <c r="N1" s="2"/>
      <c r="O1" s="2"/>
      <c r="P1" s="2"/>
      <c r="Q1" s="2"/>
      <c r="R1" s="2"/>
    </row>
    <row r="2" spans="1:19" x14ac:dyDescent="0.35">
      <c r="A2" s="2"/>
      <c r="B2" s="4"/>
      <c r="C2" s="2"/>
      <c r="D2" s="2"/>
      <c r="E2" s="2"/>
      <c r="F2" s="3" t="s">
        <v>204</v>
      </c>
      <c r="G2" s="2"/>
      <c r="H2" s="2"/>
      <c r="I2" s="2"/>
      <c r="J2" s="2"/>
      <c r="K2" s="2"/>
      <c r="L2" s="158"/>
      <c r="M2" s="2"/>
      <c r="N2" s="2"/>
      <c r="O2" s="2"/>
      <c r="P2" s="2"/>
      <c r="Q2" s="2"/>
      <c r="R2" s="2"/>
    </row>
    <row r="3" spans="1:19" x14ac:dyDescent="0.35">
      <c r="A3" s="2"/>
      <c r="C3" s="2"/>
      <c r="D3" s="2"/>
      <c r="E3" s="2"/>
      <c r="F3" s="2"/>
      <c r="G3" s="2"/>
      <c r="H3" s="2"/>
      <c r="I3" s="2"/>
      <c r="J3" s="2"/>
      <c r="K3" s="2"/>
      <c r="L3" s="2"/>
      <c r="M3" s="159"/>
      <c r="N3" s="2"/>
      <c r="O3" s="2"/>
      <c r="P3" s="2"/>
      <c r="Q3" s="2"/>
      <c r="R3" s="2"/>
    </row>
    <row r="4" spans="1:19" ht="15.5" x14ac:dyDescent="0.35">
      <c r="A4" s="2"/>
      <c r="C4" s="8"/>
      <c r="D4" s="2"/>
      <c r="E4" s="8" t="s">
        <v>1</v>
      </c>
      <c r="F4" s="3130" t="s">
        <v>34</v>
      </c>
      <c r="G4" s="3131"/>
      <c r="H4" s="8"/>
      <c r="I4" s="8"/>
      <c r="J4" s="8"/>
      <c r="K4" s="8"/>
      <c r="L4" s="8"/>
      <c r="M4" s="8"/>
      <c r="N4" s="8"/>
      <c r="O4" s="8"/>
      <c r="P4" s="8"/>
      <c r="Q4" s="8"/>
      <c r="R4" s="8"/>
    </row>
    <row r="5" spans="1:19" x14ac:dyDescent="0.35">
      <c r="A5" s="2"/>
      <c r="C5" s="8"/>
      <c r="D5" s="2"/>
      <c r="E5" s="8"/>
      <c r="F5" s="3"/>
      <c r="G5" s="3"/>
      <c r="H5" s="8"/>
      <c r="I5" s="8"/>
      <c r="J5" s="8"/>
      <c r="K5" s="8"/>
      <c r="L5" s="8"/>
      <c r="M5" s="8"/>
      <c r="N5" s="8"/>
      <c r="O5" s="8"/>
      <c r="P5" s="8"/>
      <c r="Q5" s="8"/>
      <c r="R5" s="8"/>
    </row>
    <row r="6" spans="1:19" ht="15.5" x14ac:dyDescent="0.35">
      <c r="A6" s="3132" t="s">
        <v>205</v>
      </c>
      <c r="B6" s="3132"/>
      <c r="C6" s="8"/>
      <c r="D6" s="2"/>
      <c r="E6" s="8"/>
      <c r="F6" s="3"/>
      <c r="G6" s="3"/>
      <c r="H6" s="8"/>
      <c r="I6" s="8"/>
      <c r="J6" s="8"/>
      <c r="K6" s="8"/>
      <c r="L6" s="8"/>
      <c r="M6" s="8"/>
      <c r="N6" s="8"/>
      <c r="O6" s="8"/>
      <c r="P6" s="8"/>
      <c r="Q6" s="8"/>
      <c r="R6" s="8"/>
    </row>
    <row r="7" spans="1:19" ht="15" thickBot="1" x14ac:dyDescent="0.4">
      <c r="A7" s="2"/>
      <c r="B7" s="3"/>
      <c r="C7" s="3"/>
      <c r="D7" s="3"/>
      <c r="E7" s="3"/>
      <c r="F7" s="3"/>
      <c r="G7" s="3"/>
      <c r="H7" s="3"/>
      <c r="I7" s="3"/>
      <c r="J7" s="3"/>
      <c r="K7" s="3"/>
      <c r="L7" s="3"/>
      <c r="M7" s="3"/>
      <c r="N7" s="3"/>
      <c r="O7" s="3"/>
      <c r="P7" s="3"/>
      <c r="Q7" s="160"/>
      <c r="R7" s="3"/>
    </row>
    <row r="8" spans="1:19" ht="15.5" x14ac:dyDescent="0.35">
      <c r="A8" s="3133" t="s">
        <v>3</v>
      </c>
      <c r="B8" s="3133" t="s">
        <v>22</v>
      </c>
      <c r="C8" s="3135" t="s">
        <v>527</v>
      </c>
      <c r="D8" s="3136"/>
      <c r="E8" s="3136"/>
      <c r="F8" s="3137"/>
      <c r="G8" s="3138" t="s">
        <v>528</v>
      </c>
      <c r="H8" s="3138"/>
      <c r="I8" s="3138"/>
      <c r="J8" s="3139"/>
      <c r="K8" s="3138" t="s">
        <v>206</v>
      </c>
      <c r="L8" s="3138"/>
      <c r="M8" s="3138"/>
      <c r="N8" s="3139"/>
      <c r="O8" s="3138" t="s">
        <v>207</v>
      </c>
      <c r="P8" s="3138"/>
      <c r="Q8" s="3138"/>
      <c r="R8" s="3139"/>
    </row>
    <row r="9" spans="1:19" ht="15" thickBot="1" x14ac:dyDescent="0.4">
      <c r="A9" s="3134" t="e">
        <f>NA()</f>
        <v>#N/A</v>
      </c>
      <c r="B9" s="3134" t="e">
        <f>NA()</f>
        <v>#N/A</v>
      </c>
      <c r="C9" s="161" t="s">
        <v>26</v>
      </c>
      <c r="D9" s="162" t="s">
        <v>208</v>
      </c>
      <c r="E9" s="162" t="s">
        <v>209</v>
      </c>
      <c r="F9" s="163" t="s">
        <v>210</v>
      </c>
      <c r="G9" s="164" t="s">
        <v>26</v>
      </c>
      <c r="H9" s="165" t="s">
        <v>208</v>
      </c>
      <c r="I9" s="165" t="s">
        <v>209</v>
      </c>
      <c r="J9" s="166" t="s">
        <v>210</v>
      </c>
      <c r="K9" s="164" t="s">
        <v>26</v>
      </c>
      <c r="L9" s="165" t="s">
        <v>208</v>
      </c>
      <c r="M9" s="165" t="s">
        <v>209</v>
      </c>
      <c r="N9" s="166" t="s">
        <v>210</v>
      </c>
      <c r="O9" s="164" t="s">
        <v>26</v>
      </c>
      <c r="P9" s="165" t="s">
        <v>208</v>
      </c>
      <c r="Q9" s="165" t="s">
        <v>209</v>
      </c>
      <c r="R9" s="166" t="s">
        <v>210</v>
      </c>
    </row>
    <row r="10" spans="1:19" x14ac:dyDescent="0.35">
      <c r="A10" s="2805" t="str">
        <f>+'B) Reajuste Tarifas y Ocupación'!A12</f>
        <v>C. H. Mare Nostrum</v>
      </c>
      <c r="B10" s="351" t="str">
        <f>+'B) Reajuste Tarifas y Ocupación'!B12</f>
        <v>Superior</v>
      </c>
      <c r="C10" s="359">
        <f>+'B) Reajuste Tarifas y Ocupación'!J12</f>
        <v>58000</v>
      </c>
      <c r="D10" s="360">
        <f>+'B) Reajuste Tarifas y Ocupación'!K12</f>
        <v>89200</v>
      </c>
      <c r="E10" s="360">
        <f>+'B) Reajuste Tarifas y Ocupación'!L12</f>
        <v>98100</v>
      </c>
      <c r="F10" s="365">
        <f>+'B) Reajuste Tarifas y Ocupación'!M12</f>
        <v>111100</v>
      </c>
      <c r="G10" s="373">
        <f>+'B) Reajuste Tarifas y Ocupación'!C12</f>
        <v>55500</v>
      </c>
      <c r="H10" s="374">
        <f>+'B) Reajuste Tarifas y Ocupación'!D12</f>
        <v>85300</v>
      </c>
      <c r="I10" s="374">
        <f>+'B) Reajuste Tarifas y Ocupación'!E12</f>
        <v>93800</v>
      </c>
      <c r="J10" s="375">
        <f>+'B) Reajuste Tarifas y Ocupación'!F12</f>
        <v>106300</v>
      </c>
      <c r="K10" s="167">
        <f>C10-G10</f>
        <v>2500</v>
      </c>
      <c r="L10" s="168">
        <f>D10-H10</f>
        <v>3900</v>
      </c>
      <c r="M10" s="168">
        <f>E10-I10</f>
        <v>4300</v>
      </c>
      <c r="N10" s="169">
        <f>F10-J10</f>
        <v>4800</v>
      </c>
      <c r="O10" s="793">
        <f>+P10</f>
        <v>4.4999999999999998E-2</v>
      </c>
      <c r="P10" s="794">
        <f>+'B) Reajuste Tarifas y Ocupación'!G12</f>
        <v>4.4999999999999998E-2</v>
      </c>
      <c r="Q10" s="794">
        <f>+'B) Reajuste Tarifas y Ocupación'!H12</f>
        <v>4.4999999999999998E-2</v>
      </c>
      <c r="R10" s="795">
        <f>+'B) Reajuste Tarifas y Ocupación'!I12</f>
        <v>4.4999999999999998E-2</v>
      </c>
    </row>
    <row r="11" spans="1:19" x14ac:dyDescent="0.35">
      <c r="A11" s="2806"/>
      <c r="B11" s="352" t="str">
        <f>+'B) Reajuste Tarifas y Ocupación'!B13</f>
        <v>Simple</v>
      </c>
      <c r="C11" s="361">
        <f>+'B) Reajuste Tarifas y Ocupación'!J13</f>
        <v>40000</v>
      </c>
      <c r="D11" s="292">
        <f>+'B) Reajuste Tarifas y Ocupación'!K13</f>
        <v>61500</v>
      </c>
      <c r="E11" s="292">
        <f>+'B) Reajuste Tarifas y Ocupación'!L13</f>
        <v>67700</v>
      </c>
      <c r="F11" s="366">
        <f>+'B) Reajuste Tarifas y Ocupación'!M13</f>
        <v>76800</v>
      </c>
      <c r="G11" s="376">
        <f>+'B) Reajuste Tarifas y Ocupación'!C13</f>
        <v>38300</v>
      </c>
      <c r="H11" s="293">
        <f>+'B) Reajuste Tarifas y Ocupación'!D13</f>
        <v>58800</v>
      </c>
      <c r="I11" s="293">
        <f>+'B) Reajuste Tarifas y Ocupación'!E13</f>
        <v>64700</v>
      </c>
      <c r="J11" s="377">
        <f>+'B) Reajuste Tarifas y Ocupación'!F13</f>
        <v>73400</v>
      </c>
      <c r="K11" s="175">
        <f t="shared" ref="K11:N78" si="0">C11-G11</f>
        <v>1700</v>
      </c>
      <c r="L11" s="176">
        <f t="shared" si="0"/>
        <v>2700</v>
      </c>
      <c r="M11" s="176">
        <f t="shared" si="0"/>
        <v>3000</v>
      </c>
      <c r="N11" s="177">
        <f t="shared" si="0"/>
        <v>3400</v>
      </c>
      <c r="O11" s="784">
        <f t="shared" ref="O11:O78" si="1">+P11</f>
        <v>4.4999999999999998E-2</v>
      </c>
      <c r="P11" s="785">
        <f>+'B) Reajuste Tarifas y Ocupación'!G13</f>
        <v>4.4999999999999998E-2</v>
      </c>
      <c r="Q11" s="785">
        <f>+'B) Reajuste Tarifas y Ocupación'!H13</f>
        <v>4.4999999999999998E-2</v>
      </c>
      <c r="R11" s="786">
        <f>+'B) Reajuste Tarifas y Ocupación'!I13</f>
        <v>4.4999999999999998E-2</v>
      </c>
    </row>
    <row r="12" spans="1:19" x14ac:dyDescent="0.35">
      <c r="A12" s="2806"/>
      <c r="B12" s="352" t="str">
        <f>+'B) Reajuste Tarifas y Ocupación'!B14</f>
        <v>Suit</v>
      </c>
      <c r="C12" s="361">
        <f>+'B) Reajuste Tarifas y Ocupación'!J14</f>
        <v>54100</v>
      </c>
      <c r="D12" s="292">
        <f>+'B) Reajuste Tarifas y Ocupación'!K14</f>
        <v>83100</v>
      </c>
      <c r="E12" s="292">
        <f>+'B) Reajuste Tarifas y Ocupación'!L14</f>
        <v>91500</v>
      </c>
      <c r="F12" s="366">
        <f>+'B) Reajuste Tarifas y Ocupación'!M14</f>
        <v>103600</v>
      </c>
      <c r="G12" s="376">
        <f>+'B) Reajuste Tarifas y Ocupación'!C14</f>
        <v>51700</v>
      </c>
      <c r="H12" s="293">
        <f>+'B) Reajuste Tarifas y Ocupación'!D14</f>
        <v>79500</v>
      </c>
      <c r="I12" s="293">
        <f>+'B) Reajuste Tarifas y Ocupación'!E14</f>
        <v>87500</v>
      </c>
      <c r="J12" s="377">
        <f>+'B) Reajuste Tarifas y Ocupación'!F14</f>
        <v>99100</v>
      </c>
      <c r="K12" s="175">
        <f t="shared" si="0"/>
        <v>2400</v>
      </c>
      <c r="L12" s="176">
        <f>D12-H12</f>
        <v>3600</v>
      </c>
      <c r="M12" s="176">
        <f t="shared" si="0"/>
        <v>4000</v>
      </c>
      <c r="N12" s="177">
        <f t="shared" si="0"/>
        <v>4500</v>
      </c>
      <c r="O12" s="784">
        <f t="shared" si="1"/>
        <v>4.4999999999999998E-2</v>
      </c>
      <c r="P12" s="785">
        <f>+'B) Reajuste Tarifas y Ocupación'!G14</f>
        <v>4.4999999999999998E-2</v>
      </c>
      <c r="Q12" s="785">
        <f>+'B) Reajuste Tarifas y Ocupación'!H14</f>
        <v>4.4999999999999998E-2</v>
      </c>
      <c r="R12" s="786">
        <f>+'B) Reajuste Tarifas y Ocupación'!I14</f>
        <v>4.4999999999999998E-2</v>
      </c>
    </row>
    <row r="13" spans="1:19" x14ac:dyDescent="0.35">
      <c r="A13" s="2806"/>
      <c r="B13" s="352" t="str">
        <f>+'B) Reajuste Tarifas y Ocupación'!B15</f>
        <v>Matrimonial o Doble</v>
      </c>
      <c r="C13" s="361">
        <f>+'B) Reajuste Tarifas y Ocupación'!J15</f>
        <v>48900</v>
      </c>
      <c r="D13" s="292">
        <f>+'B) Reajuste Tarifas y Ocupación'!K15</f>
        <v>75100</v>
      </c>
      <c r="E13" s="292">
        <f>+'B) Reajuste Tarifas y Ocupación'!L15</f>
        <v>82500</v>
      </c>
      <c r="F13" s="366">
        <f>+'B) Reajuste Tarifas y Ocupación'!M15</f>
        <v>93600</v>
      </c>
      <c r="G13" s="376">
        <f>+'B) Reajuste Tarifas y Ocupación'!C15</f>
        <v>46700</v>
      </c>
      <c r="H13" s="293">
        <f>+'B) Reajuste Tarifas y Ocupación'!D15</f>
        <v>71800</v>
      </c>
      <c r="I13" s="293">
        <f>+'B) Reajuste Tarifas y Ocupación'!E15</f>
        <v>78900</v>
      </c>
      <c r="J13" s="377">
        <f>+'B) Reajuste Tarifas y Ocupación'!F15</f>
        <v>89500</v>
      </c>
      <c r="K13" s="175">
        <f t="shared" si="0"/>
        <v>2200</v>
      </c>
      <c r="L13" s="176">
        <f t="shared" si="0"/>
        <v>3300</v>
      </c>
      <c r="M13" s="176">
        <f t="shared" si="0"/>
        <v>3600</v>
      </c>
      <c r="N13" s="177">
        <f t="shared" si="0"/>
        <v>4100</v>
      </c>
      <c r="O13" s="784">
        <f t="shared" si="1"/>
        <v>4.4999999999999998E-2</v>
      </c>
      <c r="P13" s="785">
        <f>+'B) Reajuste Tarifas y Ocupación'!G15</f>
        <v>4.4999999999999998E-2</v>
      </c>
      <c r="Q13" s="785">
        <f>+'B) Reajuste Tarifas y Ocupación'!H15</f>
        <v>4.4999999999999998E-2</v>
      </c>
      <c r="R13" s="786">
        <f>+'B) Reajuste Tarifas y Ocupación'!I15</f>
        <v>4.4999999999999998E-2</v>
      </c>
      <c r="S13" s="306"/>
    </row>
    <row r="14" spans="1:19" x14ac:dyDescent="0.35">
      <c r="A14" s="2806"/>
      <c r="B14" s="352" t="s">
        <v>374</v>
      </c>
      <c r="C14" s="780">
        <f>'B) Reajuste Tarifas y Ocupación'!J16</f>
        <v>19200</v>
      </c>
      <c r="D14" s="780">
        <f>'B) Reajuste Tarifas y Ocupación'!K16</f>
        <v>29500</v>
      </c>
      <c r="E14" s="789"/>
      <c r="F14" s="790"/>
      <c r="G14" s="782">
        <f>'B) Reajuste Tarifas y Ocupación'!C16</f>
        <v>18400</v>
      </c>
      <c r="H14" s="782">
        <f>'B) Reajuste Tarifas y Ocupación'!D16</f>
        <v>28200</v>
      </c>
      <c r="I14" s="787"/>
      <c r="J14" s="788"/>
      <c r="K14" s="175">
        <f t="shared" si="0"/>
        <v>800</v>
      </c>
      <c r="L14" s="176">
        <f t="shared" si="0"/>
        <v>1300</v>
      </c>
      <c r="M14" s="791"/>
      <c r="N14" s="792"/>
      <c r="O14" s="784">
        <f>P14</f>
        <v>4.4999999999999998E-2</v>
      </c>
      <c r="P14" s="785">
        <f>+'B) Reajuste Tarifas y Ocupación'!G16</f>
        <v>4.4999999999999998E-2</v>
      </c>
      <c r="Q14" s="796"/>
      <c r="R14" s="797"/>
      <c r="S14" s="306"/>
    </row>
    <row r="15" spans="1:19" x14ac:dyDescent="0.35">
      <c r="A15" s="2806"/>
      <c r="B15" s="353" t="str">
        <f>+'B) Reajuste Tarifas y Ocupación'!B17</f>
        <v>Uso por tránsito/ Early check-in/Late check-out</v>
      </c>
      <c r="C15" s="363"/>
      <c r="D15" s="358"/>
      <c r="E15" s="358"/>
      <c r="F15" s="367"/>
      <c r="G15" s="378"/>
      <c r="H15" s="372"/>
      <c r="I15" s="372"/>
      <c r="J15" s="379"/>
      <c r="K15" s="188"/>
      <c r="L15" s="189"/>
      <c r="M15" s="189"/>
      <c r="N15" s="190"/>
      <c r="O15" s="798"/>
      <c r="P15" s="796"/>
      <c r="Q15" s="796"/>
      <c r="R15" s="797"/>
    </row>
    <row r="16" spans="1:19" x14ac:dyDescent="0.35">
      <c r="A16" s="2806"/>
      <c r="B16" s="354" t="str">
        <f>+'B) Reajuste Tarifas y Ocupación'!B18</f>
        <v>Superior</v>
      </c>
      <c r="C16" s="363"/>
      <c r="D16" s="292">
        <f>+'B) Reajuste Tarifas y Ocupación'!K18</f>
        <v>26800</v>
      </c>
      <c r="E16" s="292">
        <f>+'B) Reajuste Tarifas y Ocupación'!L18</f>
        <v>29500</v>
      </c>
      <c r="F16" s="366">
        <f>+'B) Reajuste Tarifas y Ocupación'!M18</f>
        <v>33400</v>
      </c>
      <c r="G16" s="378"/>
      <c r="H16" s="293">
        <f>+'B) Reajuste Tarifas y Ocupación'!D18</f>
        <v>25600</v>
      </c>
      <c r="I16" s="293">
        <f>+'B) Reajuste Tarifas y Ocupación'!E18</f>
        <v>28200</v>
      </c>
      <c r="J16" s="377">
        <f>+'B) Reajuste Tarifas y Ocupación'!F18</f>
        <v>31900</v>
      </c>
      <c r="K16" s="188"/>
      <c r="L16" s="176">
        <f t="shared" si="0"/>
        <v>1200</v>
      </c>
      <c r="M16" s="176">
        <f t="shared" si="0"/>
        <v>1300</v>
      </c>
      <c r="N16" s="177">
        <f t="shared" si="0"/>
        <v>1500</v>
      </c>
      <c r="O16" s="798"/>
      <c r="P16" s="796"/>
      <c r="Q16" s="796"/>
      <c r="R16" s="797"/>
    </row>
    <row r="17" spans="1:19" x14ac:dyDescent="0.35">
      <c r="A17" s="2806"/>
      <c r="B17" s="354" t="str">
        <f>+'B) Reajuste Tarifas y Ocupación'!B19</f>
        <v>Simple</v>
      </c>
      <c r="C17" s="363"/>
      <c r="D17" s="292">
        <f>+'B) Reajuste Tarifas y Ocupación'!K19</f>
        <v>18500</v>
      </c>
      <c r="E17" s="292">
        <f>+'B) Reajuste Tarifas y Ocupación'!L19</f>
        <v>20400</v>
      </c>
      <c r="F17" s="366">
        <f>+'B) Reajuste Tarifas y Ocupación'!M19</f>
        <v>23100</v>
      </c>
      <c r="G17" s="378"/>
      <c r="H17" s="293">
        <f>+'B) Reajuste Tarifas y Ocupación'!D19</f>
        <v>17700</v>
      </c>
      <c r="I17" s="293">
        <f>+'B) Reajuste Tarifas y Ocupación'!E19</f>
        <v>19500</v>
      </c>
      <c r="J17" s="377">
        <f>+'B) Reajuste Tarifas y Ocupación'!F19</f>
        <v>22100</v>
      </c>
      <c r="K17" s="188"/>
      <c r="L17" s="176">
        <f t="shared" si="0"/>
        <v>800</v>
      </c>
      <c r="M17" s="176">
        <f t="shared" si="0"/>
        <v>900</v>
      </c>
      <c r="N17" s="177">
        <f t="shared" si="0"/>
        <v>1000</v>
      </c>
      <c r="O17" s="798"/>
      <c r="P17" s="796"/>
      <c r="Q17" s="796"/>
      <c r="R17" s="797"/>
    </row>
    <row r="18" spans="1:19" x14ac:dyDescent="0.35">
      <c r="A18" s="2806"/>
      <c r="B18" s="354" t="str">
        <f>+'B) Reajuste Tarifas y Ocupación'!B20</f>
        <v>Suit</v>
      </c>
      <c r="C18" s="363"/>
      <c r="D18" s="292">
        <f>+'B) Reajuste Tarifas y Ocupación'!K20</f>
        <v>25000</v>
      </c>
      <c r="E18" s="292">
        <f>+'B) Reajuste Tarifas y Ocupación'!L20</f>
        <v>27500</v>
      </c>
      <c r="F18" s="366">
        <f>+'B) Reajuste Tarifas y Ocupación'!M20</f>
        <v>31100</v>
      </c>
      <c r="G18" s="378"/>
      <c r="H18" s="293">
        <f>+'B) Reajuste Tarifas y Ocupación'!D20</f>
        <v>23900</v>
      </c>
      <c r="I18" s="293">
        <f>+'B) Reajuste Tarifas y Ocupación'!E20</f>
        <v>26300</v>
      </c>
      <c r="J18" s="377">
        <f>+'B) Reajuste Tarifas y Ocupación'!F20</f>
        <v>29800</v>
      </c>
      <c r="K18" s="188"/>
      <c r="L18" s="176">
        <f t="shared" si="0"/>
        <v>1100</v>
      </c>
      <c r="M18" s="176">
        <f t="shared" si="0"/>
        <v>1200</v>
      </c>
      <c r="N18" s="177">
        <f t="shared" si="0"/>
        <v>1300</v>
      </c>
      <c r="O18" s="798"/>
      <c r="P18" s="796"/>
      <c r="Q18" s="796"/>
      <c r="R18" s="797"/>
    </row>
    <row r="19" spans="1:19" ht="15" thickBot="1" x14ac:dyDescent="0.4">
      <c r="A19" s="2807"/>
      <c r="B19" s="195" t="str">
        <f>+'B) Reajuste Tarifas y Ocupación'!B21</f>
        <v>Matrimonial o Doble</v>
      </c>
      <c r="C19" s="196"/>
      <c r="D19" s="197">
        <f>+'B) Reajuste Tarifas y Ocupación'!K21</f>
        <v>22600</v>
      </c>
      <c r="E19" s="197">
        <f>+'B) Reajuste Tarifas y Ocupación'!L21</f>
        <v>24800</v>
      </c>
      <c r="F19" s="368">
        <f>+'B) Reajuste Tarifas y Ocupación'!M21</f>
        <v>28100</v>
      </c>
      <c r="G19" s="380"/>
      <c r="H19" s="381">
        <f>+'B) Reajuste Tarifas y Ocupación'!D21</f>
        <v>21600</v>
      </c>
      <c r="I19" s="381">
        <f>+'B) Reajuste Tarifas y Ocupación'!E21</f>
        <v>23700</v>
      </c>
      <c r="J19" s="382">
        <f>+'B) Reajuste Tarifas y Ocupación'!F21</f>
        <v>26900</v>
      </c>
      <c r="K19" s="199"/>
      <c r="L19" s="200">
        <f t="shared" si="0"/>
        <v>1000</v>
      </c>
      <c r="M19" s="200">
        <f t="shared" si="0"/>
        <v>1100</v>
      </c>
      <c r="N19" s="201">
        <f t="shared" si="0"/>
        <v>1200</v>
      </c>
      <c r="O19" s="542"/>
      <c r="P19" s="799"/>
      <c r="Q19" s="799"/>
      <c r="R19" s="800"/>
    </row>
    <row r="20" spans="1:19" x14ac:dyDescent="0.35">
      <c r="A20" s="3140" t="str">
        <f>+'B) Reajuste Tarifas y Ocupación'!A22</f>
        <v>Cabañas Punta Osas</v>
      </c>
      <c r="B20" s="351" t="str">
        <f>+'B) Reajuste Tarifas y Ocupación'!B22</f>
        <v>Chica</v>
      </c>
      <c r="C20" s="359">
        <f>+'B) Reajuste Tarifas y Ocupación'!J22</f>
        <v>58900</v>
      </c>
      <c r="D20" s="360">
        <f>+'B) Reajuste Tarifas y Ocupación'!K22</f>
        <v>90500</v>
      </c>
      <c r="E20" s="360">
        <f>+'B) Reajuste Tarifas y Ocupación'!L22</f>
        <v>99500</v>
      </c>
      <c r="F20" s="365">
        <f>+'B) Reajuste Tarifas y Ocupación'!M22</f>
        <v>112800</v>
      </c>
      <c r="G20" s="373">
        <f>+'B) Reajuste Tarifas y Ocupación'!C22</f>
        <v>56300</v>
      </c>
      <c r="H20" s="374">
        <f>+'B) Reajuste Tarifas y Ocupación'!D22</f>
        <v>86600</v>
      </c>
      <c r="I20" s="374">
        <f>+'B) Reajuste Tarifas y Ocupación'!E22</f>
        <v>95200</v>
      </c>
      <c r="J20" s="375">
        <f>+'B) Reajuste Tarifas y Ocupación'!F22</f>
        <v>107900</v>
      </c>
      <c r="K20" s="167">
        <f t="shared" si="0"/>
        <v>2600</v>
      </c>
      <c r="L20" s="398">
        <f t="shared" si="0"/>
        <v>3900</v>
      </c>
      <c r="M20" s="398">
        <f t="shared" si="0"/>
        <v>4300</v>
      </c>
      <c r="N20" s="399">
        <f t="shared" si="0"/>
        <v>4900</v>
      </c>
      <c r="O20" s="385">
        <f t="shared" si="1"/>
        <v>4.4999999999999998E-2</v>
      </c>
      <c r="P20" s="386">
        <f>+'B) Reajuste Tarifas y Ocupación'!G22</f>
        <v>4.4999999999999998E-2</v>
      </c>
      <c r="Q20" s="386">
        <f>+'B) Reajuste Tarifas y Ocupación'!H22</f>
        <v>4.4999999999999998E-2</v>
      </c>
      <c r="R20" s="387">
        <f>+'B) Reajuste Tarifas y Ocupación'!I22</f>
        <v>4.4999999999999998E-2</v>
      </c>
      <c r="S20" s="306"/>
    </row>
    <row r="21" spans="1:19" x14ac:dyDescent="0.35">
      <c r="A21" s="3141"/>
      <c r="B21" s="352" t="str">
        <f>+'B) Reajuste Tarifas y Ocupación'!B23</f>
        <v>Grande</v>
      </c>
      <c r="C21" s="361">
        <f>+'B) Reajuste Tarifas y Ocupación'!J23</f>
        <v>71700</v>
      </c>
      <c r="D21" s="292">
        <f>+'B) Reajuste Tarifas y Ocupación'!K23</f>
        <v>110200</v>
      </c>
      <c r="E21" s="292">
        <f>+'B) Reajuste Tarifas y Ocupación'!L23</f>
        <v>121200</v>
      </c>
      <c r="F21" s="366">
        <f>+'B) Reajuste Tarifas y Ocupación'!M23</f>
        <v>137300</v>
      </c>
      <c r="G21" s="376">
        <f>+'B) Reajuste Tarifas y Ocupación'!C23</f>
        <v>68600</v>
      </c>
      <c r="H21" s="293">
        <f>+'B) Reajuste Tarifas y Ocupación'!D23</f>
        <v>105400</v>
      </c>
      <c r="I21" s="293">
        <f>+'B) Reajuste Tarifas y Ocupación'!E23</f>
        <v>115900</v>
      </c>
      <c r="J21" s="377">
        <f>+'B) Reajuste Tarifas y Ocupación'!F23</f>
        <v>131300</v>
      </c>
      <c r="K21" s="400">
        <f t="shared" si="0"/>
        <v>3100</v>
      </c>
      <c r="L21" s="401">
        <f t="shared" si="0"/>
        <v>4800</v>
      </c>
      <c r="M21" s="401">
        <f t="shared" si="0"/>
        <v>5300</v>
      </c>
      <c r="N21" s="402">
        <f t="shared" si="0"/>
        <v>6000</v>
      </c>
      <c r="O21" s="388">
        <f t="shared" si="1"/>
        <v>4.4999999999999998E-2</v>
      </c>
      <c r="P21" s="383">
        <f>+'B) Reajuste Tarifas y Ocupación'!G23</f>
        <v>4.4999999999999998E-2</v>
      </c>
      <c r="Q21" s="383">
        <f>+'B) Reajuste Tarifas y Ocupación'!H23</f>
        <v>4.4999999999999998E-2</v>
      </c>
      <c r="R21" s="389">
        <f>+'B) Reajuste Tarifas y Ocupación'!I23</f>
        <v>4.4999999999999998E-2</v>
      </c>
    </row>
    <row r="22" spans="1:19" x14ac:dyDescent="0.35">
      <c r="A22" s="3141"/>
      <c r="B22" s="352" t="str">
        <f>+'B) Reajuste Tarifas y Ocupación'!B24</f>
        <v>Persona adicional</v>
      </c>
      <c r="C22" s="361">
        <f>+'B) Reajuste Tarifas y Ocupación'!J24</f>
        <v>7500</v>
      </c>
      <c r="D22" s="292">
        <f>+'B) Reajuste Tarifas y Ocupación'!K24</f>
        <v>11500</v>
      </c>
      <c r="E22" s="292">
        <f>+'B) Reajuste Tarifas y Ocupación'!L24</f>
        <v>12700</v>
      </c>
      <c r="F22" s="366">
        <f>+'B) Reajuste Tarifas y Ocupación'!M24</f>
        <v>14400</v>
      </c>
      <c r="G22" s="376">
        <f>+'B) Reajuste Tarifas y Ocupación'!C24</f>
        <v>7200</v>
      </c>
      <c r="H22" s="293">
        <f>+'B) Reajuste Tarifas y Ocupación'!D24</f>
        <v>11000</v>
      </c>
      <c r="I22" s="293">
        <f>+'B) Reajuste Tarifas y Ocupación'!E24</f>
        <v>12100</v>
      </c>
      <c r="J22" s="377">
        <f>+'B) Reajuste Tarifas y Ocupación'!F24</f>
        <v>13700</v>
      </c>
      <c r="K22" s="400">
        <f t="shared" si="0"/>
        <v>300</v>
      </c>
      <c r="L22" s="401">
        <f t="shared" si="0"/>
        <v>500</v>
      </c>
      <c r="M22" s="401">
        <f t="shared" si="0"/>
        <v>600</v>
      </c>
      <c r="N22" s="402">
        <f t="shared" si="0"/>
        <v>700</v>
      </c>
      <c r="O22" s="388">
        <f t="shared" si="1"/>
        <v>4.4999999999999998E-2</v>
      </c>
      <c r="P22" s="383">
        <f>+'B) Reajuste Tarifas y Ocupación'!G24</f>
        <v>4.4999999999999998E-2</v>
      </c>
      <c r="Q22" s="383">
        <f>+'B) Reajuste Tarifas y Ocupación'!H24</f>
        <v>4.4999999999999998E-2</v>
      </c>
      <c r="R22" s="389">
        <f>+'B) Reajuste Tarifas y Ocupación'!I24</f>
        <v>4.4999999999999998E-2</v>
      </c>
    </row>
    <row r="23" spans="1:19" x14ac:dyDescent="0.35">
      <c r="A23" s="3141"/>
      <c r="B23" s="807" t="str">
        <f>+'B) Reajuste Tarifas y Ocupación'!B25</f>
        <v>Uso por tránsito/ Early check-in/Late check-out</v>
      </c>
      <c r="C23" s="801"/>
      <c r="D23" s="802"/>
      <c r="E23" s="802"/>
      <c r="F23" s="803"/>
      <c r="G23" s="804"/>
      <c r="H23" s="805"/>
      <c r="I23" s="805"/>
      <c r="J23" s="806"/>
      <c r="K23" s="403"/>
      <c r="L23" s="404"/>
      <c r="M23" s="404"/>
      <c r="N23" s="405"/>
      <c r="O23" s="390"/>
      <c r="P23" s="384"/>
      <c r="Q23" s="384"/>
      <c r="R23" s="391"/>
    </row>
    <row r="24" spans="1:19" x14ac:dyDescent="0.35">
      <c r="A24" s="3141"/>
      <c r="B24" s="808" t="str">
        <f>+'B) Reajuste Tarifas y Ocupación'!B26</f>
        <v>Cabaña Chica</v>
      </c>
      <c r="C24" s="363"/>
      <c r="D24" s="809">
        <f>+'B) Reajuste Tarifas y Ocupación'!K26</f>
        <v>27200</v>
      </c>
      <c r="E24" s="809">
        <f>+'B) Reajuste Tarifas y Ocupación'!L26</f>
        <v>29900</v>
      </c>
      <c r="F24" s="810">
        <f>+'B) Reajuste Tarifas y Ocupación'!M26</f>
        <v>33900</v>
      </c>
      <c r="G24" s="378"/>
      <c r="H24" s="811">
        <f>+'B) Reajuste Tarifas y Ocupación'!D26</f>
        <v>26000</v>
      </c>
      <c r="I24" s="811">
        <f>+'B) Reajuste Tarifas y Ocupación'!E26</f>
        <v>28600</v>
      </c>
      <c r="J24" s="812">
        <f>+'B) Reajuste Tarifas y Ocupación'!F26</f>
        <v>32400</v>
      </c>
      <c r="K24" s="403"/>
      <c r="L24" s="813">
        <f t="shared" si="0"/>
        <v>1200</v>
      </c>
      <c r="M24" s="813">
        <f t="shared" si="0"/>
        <v>1300</v>
      </c>
      <c r="N24" s="814">
        <f t="shared" si="0"/>
        <v>1500</v>
      </c>
      <c r="O24" s="390"/>
      <c r="P24" s="384"/>
      <c r="Q24" s="384"/>
      <c r="R24" s="391"/>
    </row>
    <row r="25" spans="1:19" ht="15" thickBot="1" x14ac:dyDescent="0.4">
      <c r="A25" s="3142"/>
      <c r="B25" s="210" t="str">
        <f>+'B) Reajuste Tarifas y Ocupación'!B27</f>
        <v>Cabaña Grande</v>
      </c>
      <c r="C25" s="410"/>
      <c r="D25" s="226">
        <f>+'B) Reajuste Tarifas y Ocupación'!K27</f>
        <v>33100</v>
      </c>
      <c r="E25" s="226">
        <f>+'B) Reajuste Tarifas y Ocupación'!L27</f>
        <v>36400</v>
      </c>
      <c r="F25" s="411">
        <f>+'B) Reajuste Tarifas y Ocupación'!M27</f>
        <v>41200</v>
      </c>
      <c r="G25" s="412"/>
      <c r="H25" s="413">
        <f>+'B) Reajuste Tarifas y Ocupación'!D27</f>
        <v>31700</v>
      </c>
      <c r="I25" s="413">
        <f>+'B) Reajuste Tarifas y Ocupación'!E27</f>
        <v>34800</v>
      </c>
      <c r="J25" s="414">
        <f>+'B) Reajuste Tarifas y Ocupación'!F27</f>
        <v>39400</v>
      </c>
      <c r="K25" s="406"/>
      <c r="L25" s="200">
        <f t="shared" si="0"/>
        <v>1400</v>
      </c>
      <c r="M25" s="200">
        <f t="shared" si="0"/>
        <v>1600</v>
      </c>
      <c r="N25" s="407">
        <f t="shared" si="0"/>
        <v>1800</v>
      </c>
      <c r="O25" s="415"/>
      <c r="P25" s="416"/>
      <c r="Q25" s="416"/>
      <c r="R25" s="417"/>
    </row>
    <row r="26" spans="1:19" x14ac:dyDescent="0.35">
      <c r="A26" s="2805" t="str">
        <f>+'B) Reajuste Tarifas y Ocupación'!A28</f>
        <v>C.R. Los Maitenes</v>
      </c>
      <c r="B26" s="351" t="str">
        <f>+'B) Reajuste Tarifas y Ocupación'!B28</f>
        <v>Camping (5p)</v>
      </c>
      <c r="C26" s="359">
        <f>+'B) Reajuste Tarifas y Ocupación'!J28</f>
        <v>25500</v>
      </c>
      <c r="D26" s="360">
        <f>+'B) Reajuste Tarifas y Ocupación'!K28</f>
        <v>39100</v>
      </c>
      <c r="E26" s="360">
        <f>+'B) Reajuste Tarifas y Ocupación'!L28</f>
        <v>43100</v>
      </c>
      <c r="F26" s="365">
        <f>+'B) Reajuste Tarifas y Ocupación'!M28</f>
        <v>48900</v>
      </c>
      <c r="G26" s="373">
        <f>+'B) Reajuste Tarifas y Ocupación'!C28</f>
        <v>24400</v>
      </c>
      <c r="H26" s="374">
        <f>+'B) Reajuste Tarifas y Ocupación'!D28</f>
        <v>37400</v>
      </c>
      <c r="I26" s="374">
        <f>+'B) Reajuste Tarifas y Ocupación'!E28</f>
        <v>41200</v>
      </c>
      <c r="J26" s="375">
        <f>+'B) Reajuste Tarifas y Ocupación'!F28</f>
        <v>46700</v>
      </c>
      <c r="K26" s="392">
        <f t="shared" si="0"/>
        <v>1100</v>
      </c>
      <c r="L26" s="393">
        <f t="shared" si="0"/>
        <v>1700</v>
      </c>
      <c r="M26" s="393">
        <f t="shared" si="0"/>
        <v>1900</v>
      </c>
      <c r="N26" s="394">
        <f t="shared" si="0"/>
        <v>2200</v>
      </c>
      <c r="O26" s="385">
        <f t="shared" si="1"/>
        <v>4.4999999999999998E-2</v>
      </c>
      <c r="P26" s="386">
        <f>+'B) Reajuste Tarifas y Ocupación'!G28</f>
        <v>4.4999999999999998E-2</v>
      </c>
      <c r="Q26" s="386">
        <f>+'B) Reajuste Tarifas y Ocupación'!H28</f>
        <v>4.4999999999999998E-2</v>
      </c>
      <c r="R26" s="387">
        <f>+'B) Reajuste Tarifas y Ocupación'!I28</f>
        <v>4.4999999999999998E-2</v>
      </c>
      <c r="S26" s="306"/>
    </row>
    <row r="27" spans="1:19" x14ac:dyDescent="0.35">
      <c r="A27" s="2806"/>
      <c r="B27" s="352" t="str">
        <f>+'B) Reajuste Tarifas y Ocupación'!B29</f>
        <v>Camping (P/Adicional)</v>
      </c>
      <c r="C27" s="361">
        <f>+'B) Reajuste Tarifas y Ocupación'!J29</f>
        <v>5200</v>
      </c>
      <c r="D27" s="292">
        <f>+'B) Reajuste Tarifas y Ocupación'!K29</f>
        <v>7900</v>
      </c>
      <c r="E27" s="292">
        <f>+'B) Reajuste Tarifas y Ocupación'!L29</f>
        <v>8700</v>
      </c>
      <c r="F27" s="366">
        <f>+'B) Reajuste Tarifas y Ocupación'!M29</f>
        <v>9800</v>
      </c>
      <c r="G27" s="376">
        <f>+'B) Reajuste Tarifas y Ocupación'!C29</f>
        <v>4900</v>
      </c>
      <c r="H27" s="293">
        <f>+'B) Reajuste Tarifas y Ocupación'!D29</f>
        <v>7500</v>
      </c>
      <c r="I27" s="293">
        <f>+'B) Reajuste Tarifas y Ocupación'!E29</f>
        <v>8300</v>
      </c>
      <c r="J27" s="377">
        <f>+'B) Reajuste Tarifas y Ocupación'!F29</f>
        <v>9300</v>
      </c>
      <c r="K27" s="175">
        <f t="shared" si="0"/>
        <v>300</v>
      </c>
      <c r="L27" s="176">
        <f t="shared" si="0"/>
        <v>400</v>
      </c>
      <c r="M27" s="176">
        <f t="shared" si="0"/>
        <v>400</v>
      </c>
      <c r="N27" s="177">
        <f t="shared" si="0"/>
        <v>500</v>
      </c>
      <c r="O27" s="388">
        <f t="shared" si="1"/>
        <v>4.4999999999999998E-2</v>
      </c>
      <c r="P27" s="383">
        <f>+'B) Reajuste Tarifas y Ocupación'!G29</f>
        <v>4.4999999999999998E-2</v>
      </c>
      <c r="Q27" s="383">
        <f>+'B) Reajuste Tarifas y Ocupación'!H29</f>
        <v>4.4999999999999998E-2</v>
      </c>
      <c r="R27" s="389">
        <f>+'B) Reajuste Tarifas y Ocupación'!I29</f>
        <v>4.4999999999999998E-2</v>
      </c>
    </row>
    <row r="28" spans="1:19" x14ac:dyDescent="0.35">
      <c r="A28" s="2806"/>
      <c r="B28" s="352" t="str">
        <f>+'B) Reajuste Tarifas y Ocupación'!B30</f>
        <v>Picnic (6p)</v>
      </c>
      <c r="C28" s="361">
        <f>+'B) Reajuste Tarifas y Ocupación'!J30</f>
        <v>15300</v>
      </c>
      <c r="D28" s="292">
        <f>+'B) Reajuste Tarifas y Ocupación'!K30</f>
        <v>23500</v>
      </c>
      <c r="E28" s="292">
        <f>+'B) Reajuste Tarifas y Ocupación'!L30</f>
        <v>25900</v>
      </c>
      <c r="F28" s="366">
        <f>+'B) Reajuste Tarifas y Ocupación'!M30</f>
        <v>29200</v>
      </c>
      <c r="G28" s="376">
        <f>+'B) Reajuste Tarifas y Ocupación'!C30</f>
        <v>14600</v>
      </c>
      <c r="H28" s="293">
        <f>+'B) Reajuste Tarifas y Ocupación'!D30</f>
        <v>22400</v>
      </c>
      <c r="I28" s="293">
        <f>+'B) Reajuste Tarifas y Ocupación'!E30</f>
        <v>24700</v>
      </c>
      <c r="J28" s="377">
        <f>+'B) Reajuste Tarifas y Ocupación'!F30</f>
        <v>27900</v>
      </c>
      <c r="K28" s="175">
        <f t="shared" si="0"/>
        <v>700</v>
      </c>
      <c r="L28" s="176">
        <f t="shared" si="0"/>
        <v>1100</v>
      </c>
      <c r="M28" s="176">
        <f t="shared" si="0"/>
        <v>1200</v>
      </c>
      <c r="N28" s="177">
        <f t="shared" si="0"/>
        <v>1300</v>
      </c>
      <c r="O28" s="388">
        <f t="shared" si="1"/>
        <v>4.4999999999999998E-2</v>
      </c>
      <c r="P28" s="383">
        <f>+'B) Reajuste Tarifas y Ocupación'!G30</f>
        <v>4.4999999999999998E-2</v>
      </c>
      <c r="Q28" s="383">
        <f>+'B) Reajuste Tarifas y Ocupación'!H30</f>
        <v>4.4999999999999998E-2</v>
      </c>
      <c r="R28" s="389">
        <f>+'B) Reajuste Tarifas y Ocupación'!I30</f>
        <v>4.4999999999999998E-2</v>
      </c>
      <c r="S28" s="306"/>
    </row>
    <row r="29" spans="1:19" x14ac:dyDescent="0.35">
      <c r="A29" s="2806"/>
      <c r="B29" s="352" t="str">
        <f>+'B) Reajuste Tarifas y Ocupación'!B31</f>
        <v>Picnic (12p)</v>
      </c>
      <c r="C29" s="361">
        <f>+'B) Reajuste Tarifas y Ocupación'!J31</f>
        <v>30200</v>
      </c>
      <c r="D29" s="292">
        <f>+'B) Reajuste Tarifas y Ocupación'!K31</f>
        <v>46400</v>
      </c>
      <c r="E29" s="292">
        <f>+'B) Reajuste Tarifas y Ocupación'!L31</f>
        <v>51000</v>
      </c>
      <c r="F29" s="366">
        <f>+'B) Reajuste Tarifas y Ocupación'!M31</f>
        <v>57800</v>
      </c>
      <c r="G29" s="376">
        <f>+'B) Reajuste Tarifas y Ocupación'!C31</f>
        <v>28900</v>
      </c>
      <c r="H29" s="293">
        <f>+'B) Reajuste Tarifas y Ocupación'!D31</f>
        <v>44400</v>
      </c>
      <c r="I29" s="293">
        <f>+'B) Reajuste Tarifas y Ocupación'!E31</f>
        <v>48800</v>
      </c>
      <c r="J29" s="377">
        <f>+'B) Reajuste Tarifas y Ocupación'!F31</f>
        <v>55300</v>
      </c>
      <c r="K29" s="175">
        <f t="shared" si="0"/>
        <v>1300</v>
      </c>
      <c r="L29" s="176">
        <f t="shared" si="0"/>
        <v>2000</v>
      </c>
      <c r="M29" s="176">
        <f t="shared" si="0"/>
        <v>2200</v>
      </c>
      <c r="N29" s="177">
        <f t="shared" si="0"/>
        <v>2500</v>
      </c>
      <c r="O29" s="388">
        <f t="shared" si="1"/>
        <v>4.4999999999999998E-2</v>
      </c>
      <c r="P29" s="383">
        <f>+'B) Reajuste Tarifas y Ocupación'!G31</f>
        <v>4.4999999999999998E-2</v>
      </c>
      <c r="Q29" s="383">
        <f>+'B) Reajuste Tarifas y Ocupación'!H31</f>
        <v>4.4999999999999998E-2</v>
      </c>
      <c r="R29" s="389">
        <f>+'B) Reajuste Tarifas y Ocupación'!I31</f>
        <v>4.4999999999999998E-2</v>
      </c>
    </row>
    <row r="30" spans="1:19" x14ac:dyDescent="0.35">
      <c r="A30" s="2806"/>
      <c r="B30" s="352" t="str">
        <f>+'B) Reajuste Tarifas y Ocupación'!B32</f>
        <v>Picnic (15p)</v>
      </c>
      <c r="C30" s="363"/>
      <c r="D30" s="292">
        <f>+'B) Reajuste Tarifas y Ocupación'!K32</f>
        <v>57600</v>
      </c>
      <c r="E30" s="292">
        <f>+'B) Reajuste Tarifas y Ocupación'!L32</f>
        <v>63400</v>
      </c>
      <c r="F30" s="366">
        <f>+'B) Reajuste Tarifas y Ocupación'!M32</f>
        <v>71700</v>
      </c>
      <c r="G30" s="378"/>
      <c r="H30" s="293">
        <f>+'B) Reajuste Tarifas y Ocupación'!D32</f>
        <v>55100</v>
      </c>
      <c r="I30" s="293">
        <f>+'B) Reajuste Tarifas y Ocupación'!E32</f>
        <v>60600</v>
      </c>
      <c r="J30" s="377">
        <f>+'B) Reajuste Tarifas y Ocupación'!F32</f>
        <v>68600</v>
      </c>
      <c r="K30" s="188"/>
      <c r="L30" s="176">
        <f t="shared" si="0"/>
        <v>2500</v>
      </c>
      <c r="M30" s="176">
        <f t="shared" si="0"/>
        <v>2800</v>
      </c>
      <c r="N30" s="177">
        <f t="shared" si="0"/>
        <v>3100</v>
      </c>
      <c r="O30" s="390"/>
      <c r="P30" s="383">
        <f>+'B) Reajuste Tarifas y Ocupación'!G32</f>
        <v>4.4999999999999998E-2</v>
      </c>
      <c r="Q30" s="383">
        <f>+'B) Reajuste Tarifas y Ocupación'!H32</f>
        <v>4.4999999999999998E-2</v>
      </c>
      <c r="R30" s="389">
        <f>+'B) Reajuste Tarifas y Ocupación'!I32</f>
        <v>4.4999999999999998E-2</v>
      </c>
    </row>
    <row r="31" spans="1:19" x14ac:dyDescent="0.35">
      <c r="A31" s="2806"/>
      <c r="B31" s="352" t="str">
        <f>+'B) Reajuste Tarifas y Ocupación'!B33</f>
        <v>Picnic (30p)</v>
      </c>
      <c r="C31" s="363"/>
      <c r="D31" s="292">
        <f>+'B) Reajuste Tarifas y Ocupación'!K33</f>
        <v>114600</v>
      </c>
      <c r="E31" s="292">
        <f>+'B) Reajuste Tarifas y Ocupación'!L33</f>
        <v>126000</v>
      </c>
      <c r="F31" s="366">
        <f>+'B) Reajuste Tarifas y Ocupación'!M33</f>
        <v>142800</v>
      </c>
      <c r="G31" s="378"/>
      <c r="H31" s="293">
        <f>+'B) Reajuste Tarifas y Ocupación'!D33</f>
        <v>109600</v>
      </c>
      <c r="I31" s="293">
        <f>+'B) Reajuste Tarifas y Ocupación'!E33</f>
        <v>120500</v>
      </c>
      <c r="J31" s="377">
        <f>+'B) Reajuste Tarifas y Ocupación'!F33</f>
        <v>136600</v>
      </c>
      <c r="K31" s="188"/>
      <c r="L31" s="176">
        <f t="shared" si="0"/>
        <v>5000</v>
      </c>
      <c r="M31" s="176">
        <f t="shared" si="0"/>
        <v>5500</v>
      </c>
      <c r="N31" s="177">
        <f t="shared" si="0"/>
        <v>6200</v>
      </c>
      <c r="O31" s="390"/>
      <c r="P31" s="383">
        <f>+'B) Reajuste Tarifas y Ocupación'!G33</f>
        <v>4.4999999999999998E-2</v>
      </c>
      <c r="Q31" s="383">
        <f>+'B) Reajuste Tarifas y Ocupación'!H33</f>
        <v>4.4999999999999998E-2</v>
      </c>
      <c r="R31" s="389">
        <f>+'B) Reajuste Tarifas y Ocupación'!I33</f>
        <v>4.4999999999999998E-2</v>
      </c>
    </row>
    <row r="32" spans="1:19" x14ac:dyDescent="0.35">
      <c r="A32" s="2806"/>
      <c r="B32" s="352" t="str">
        <f>+'B) Reajuste Tarifas y Ocupación'!B34</f>
        <v>Picnic (60p)</v>
      </c>
      <c r="C32" s="363"/>
      <c r="D32" s="292">
        <f>+'B) Reajuste Tarifas y Ocupación'!K34</f>
        <v>215600</v>
      </c>
      <c r="E32" s="292">
        <f>+'B) Reajuste Tarifas y Ocupación'!L34</f>
        <v>237200</v>
      </c>
      <c r="F32" s="366">
        <f>+'B) Reajuste Tarifas y Ocupación'!M34</f>
        <v>268700</v>
      </c>
      <c r="G32" s="378"/>
      <c r="H32" s="293">
        <f>+'B) Reajuste Tarifas y Ocupación'!D34</f>
        <v>206300</v>
      </c>
      <c r="I32" s="293">
        <f>+'B) Reajuste Tarifas y Ocupación'!E34</f>
        <v>226900</v>
      </c>
      <c r="J32" s="377">
        <f>+'B) Reajuste Tarifas y Ocupación'!F34</f>
        <v>257100</v>
      </c>
      <c r="K32" s="188"/>
      <c r="L32" s="176">
        <f t="shared" si="0"/>
        <v>9300</v>
      </c>
      <c r="M32" s="176">
        <f t="shared" si="0"/>
        <v>10300</v>
      </c>
      <c r="N32" s="177">
        <f t="shared" si="0"/>
        <v>11600</v>
      </c>
      <c r="O32" s="390"/>
      <c r="P32" s="383">
        <f>+'B) Reajuste Tarifas y Ocupación'!G34</f>
        <v>4.4999999999999998E-2</v>
      </c>
      <c r="Q32" s="383">
        <f>+'B) Reajuste Tarifas y Ocupación'!H34</f>
        <v>4.4999999999999998E-2</v>
      </c>
      <c r="R32" s="389">
        <f>+'B) Reajuste Tarifas y Ocupación'!I34</f>
        <v>4.4999999999999998E-2</v>
      </c>
    </row>
    <row r="33" spans="1:19" x14ac:dyDescent="0.35">
      <c r="A33" s="2806"/>
      <c r="B33" s="352" t="str">
        <f>+'B) Reajuste Tarifas y Ocupación'!B35</f>
        <v>Picnic (P/Adicional)</v>
      </c>
      <c r="C33" s="363"/>
      <c r="D33" s="292">
        <f>+'B) Reajuste Tarifas y Ocupación'!K35</f>
        <v>4600</v>
      </c>
      <c r="E33" s="292">
        <f>+'B) Reajuste Tarifas y Ocupación'!L35</f>
        <v>5100</v>
      </c>
      <c r="F33" s="366">
        <f>+'B) Reajuste Tarifas y Ocupación'!M35</f>
        <v>5700</v>
      </c>
      <c r="G33" s="376">
        <f>+'B) Reajuste Tarifas y Ocupación'!C35</f>
        <v>0</v>
      </c>
      <c r="H33" s="293">
        <f>+'B) Reajuste Tarifas y Ocupación'!D35</f>
        <v>4400</v>
      </c>
      <c r="I33" s="293">
        <f>+'B) Reajuste Tarifas y Ocupación'!E35</f>
        <v>4800</v>
      </c>
      <c r="J33" s="377">
        <f>+'B) Reajuste Tarifas y Ocupación'!F35</f>
        <v>5400</v>
      </c>
      <c r="K33" s="188"/>
      <c r="L33" s="176">
        <f t="shared" si="0"/>
        <v>200</v>
      </c>
      <c r="M33" s="176">
        <f t="shared" si="0"/>
        <v>300</v>
      </c>
      <c r="N33" s="177">
        <f t="shared" si="0"/>
        <v>300</v>
      </c>
      <c r="O33" s="390"/>
      <c r="P33" s="383">
        <f>+'B) Reajuste Tarifas y Ocupación'!G35</f>
        <v>4.4999999999999998E-2</v>
      </c>
      <c r="Q33" s="383">
        <f>+'B) Reajuste Tarifas y Ocupación'!H35</f>
        <v>4.4999999999999998E-2</v>
      </c>
      <c r="R33" s="389">
        <f>+'B) Reajuste Tarifas y Ocupación'!I35</f>
        <v>4.4999999999999998E-2</v>
      </c>
    </row>
    <row r="34" spans="1:19" x14ac:dyDescent="0.35">
      <c r="A34" s="2806"/>
      <c r="B34" s="352" t="str">
        <f>+'B) Reajuste Tarifas y Ocupación'!B36</f>
        <v>Matrimonial o Doble</v>
      </c>
      <c r="C34" s="363"/>
      <c r="D34" s="292">
        <f>+'B) Reajuste Tarifas y Ocupación'!K36</f>
        <v>48100</v>
      </c>
      <c r="E34" s="292">
        <f>+'B) Reajuste Tarifas y Ocupación'!L36</f>
        <v>52900</v>
      </c>
      <c r="F34" s="366">
        <f>+'B) Reajuste Tarifas y Ocupación'!M36</f>
        <v>60000</v>
      </c>
      <c r="G34" s="376">
        <f>+'B) Reajuste Tarifas y Ocupación'!C36</f>
        <v>29900</v>
      </c>
      <c r="H34" s="293">
        <f>+'B) Reajuste Tarifas y Ocupación'!D36</f>
        <v>46000</v>
      </c>
      <c r="I34" s="293">
        <f>+'B) Reajuste Tarifas y Ocupación'!E36</f>
        <v>50600</v>
      </c>
      <c r="J34" s="377">
        <f>+'B) Reajuste Tarifas y Ocupación'!F36</f>
        <v>57400</v>
      </c>
      <c r="K34" s="188"/>
      <c r="L34" s="176">
        <f t="shared" si="0"/>
        <v>2100</v>
      </c>
      <c r="M34" s="176">
        <f t="shared" si="0"/>
        <v>2300</v>
      </c>
      <c r="N34" s="177">
        <f t="shared" si="0"/>
        <v>2600</v>
      </c>
      <c r="O34" s="390"/>
      <c r="P34" s="383">
        <f>+'B) Reajuste Tarifas y Ocupación'!G36</f>
        <v>4.4999999999999998E-2</v>
      </c>
      <c r="Q34" s="383">
        <f>+'B) Reajuste Tarifas y Ocupación'!H36</f>
        <v>4.4999999999999998E-2</v>
      </c>
      <c r="R34" s="389">
        <f>+'B) Reajuste Tarifas y Ocupación'!I36</f>
        <v>4.4999999999999998E-2</v>
      </c>
    </row>
    <row r="35" spans="1:19" x14ac:dyDescent="0.35">
      <c r="A35" s="2806"/>
      <c r="B35" s="352" t="str">
        <f>+'B) Reajuste Tarifas y Ocupación'!B37</f>
        <v>Cuádruple</v>
      </c>
      <c r="C35" s="363"/>
      <c r="D35" s="292">
        <f>+'B) Reajuste Tarifas y Ocupación'!K37</f>
        <v>50400</v>
      </c>
      <c r="E35" s="292">
        <f>+'B) Reajuste Tarifas y Ocupación'!L37</f>
        <v>55500</v>
      </c>
      <c r="F35" s="366">
        <f>+'B) Reajuste Tarifas y Ocupación'!M37</f>
        <v>62900</v>
      </c>
      <c r="G35" s="376">
        <f>+'B) Reajuste Tarifas y Ocupación'!C37</f>
        <v>31330</v>
      </c>
      <c r="H35" s="293">
        <f>+'B) Reajuste Tarifas y Ocupación'!D37</f>
        <v>48200</v>
      </c>
      <c r="I35" s="293">
        <f>+'B) Reajuste Tarifas y Ocupación'!E37</f>
        <v>53100</v>
      </c>
      <c r="J35" s="377">
        <f>+'B) Reajuste Tarifas y Ocupación'!F37</f>
        <v>60100</v>
      </c>
      <c r="K35" s="188"/>
      <c r="L35" s="176">
        <f t="shared" si="0"/>
        <v>2200</v>
      </c>
      <c r="M35" s="176">
        <f t="shared" si="0"/>
        <v>2400</v>
      </c>
      <c r="N35" s="177">
        <f t="shared" si="0"/>
        <v>2800</v>
      </c>
      <c r="O35" s="390"/>
      <c r="P35" s="383">
        <f>+'B) Reajuste Tarifas y Ocupación'!G37</f>
        <v>4.4999999999999998E-2</v>
      </c>
      <c r="Q35" s="383">
        <f>+'B) Reajuste Tarifas y Ocupación'!H37</f>
        <v>4.4999999999999998E-2</v>
      </c>
      <c r="R35" s="389">
        <f>+'B) Reajuste Tarifas y Ocupación'!I37</f>
        <v>4.4999999999999998E-2</v>
      </c>
    </row>
    <row r="36" spans="1:19" x14ac:dyDescent="0.35">
      <c r="A36" s="2806"/>
      <c r="B36" s="353" t="str">
        <f>+'B) Reajuste Tarifas y Ocupación'!B38</f>
        <v>Uso por tránsito/ Early check-in/Late check-out</v>
      </c>
      <c r="C36" s="363"/>
      <c r="D36" s="358"/>
      <c r="E36" s="358"/>
      <c r="F36" s="367"/>
      <c r="G36" s="378"/>
      <c r="H36" s="372"/>
      <c r="I36" s="372"/>
      <c r="J36" s="379"/>
      <c r="K36" s="188"/>
      <c r="L36" s="189"/>
      <c r="M36" s="189"/>
      <c r="N36" s="190"/>
      <c r="O36" s="390"/>
      <c r="P36" s="384"/>
      <c r="Q36" s="384"/>
      <c r="R36" s="391"/>
    </row>
    <row r="37" spans="1:19" x14ac:dyDescent="0.35">
      <c r="A37" s="2806"/>
      <c r="B37" s="354" t="str">
        <f>+'B) Reajuste Tarifas y Ocupación'!B39</f>
        <v>Matrimonial o Doble</v>
      </c>
      <c r="C37" s="363"/>
      <c r="D37" s="292">
        <f>+'B) Reajuste Tarifas y Ocupación'!K39</f>
        <v>14500</v>
      </c>
      <c r="E37" s="292">
        <f>+'B) Reajuste Tarifas y Ocupación'!L39</f>
        <v>15900</v>
      </c>
      <c r="F37" s="366">
        <f>+'B) Reajuste Tarifas y Ocupación'!M39</f>
        <v>18000</v>
      </c>
      <c r="G37" s="378"/>
      <c r="H37" s="293">
        <f>+'B) Reajuste Tarifas y Ocupación'!D39</f>
        <v>13800</v>
      </c>
      <c r="I37" s="293">
        <f>+'B) Reajuste Tarifas y Ocupación'!E39</f>
        <v>15200</v>
      </c>
      <c r="J37" s="377">
        <f>+'B) Reajuste Tarifas y Ocupación'!F39</f>
        <v>17300</v>
      </c>
      <c r="K37" s="188"/>
      <c r="L37" s="176">
        <f t="shared" si="0"/>
        <v>700</v>
      </c>
      <c r="M37" s="176">
        <f t="shared" si="0"/>
        <v>700</v>
      </c>
      <c r="N37" s="177">
        <f t="shared" si="0"/>
        <v>700</v>
      </c>
      <c r="O37" s="390"/>
      <c r="P37" s="384"/>
      <c r="Q37" s="384"/>
      <c r="R37" s="391"/>
    </row>
    <row r="38" spans="1:19" x14ac:dyDescent="0.35">
      <c r="A38" s="2806"/>
      <c r="B38" s="354" t="str">
        <f>+'B) Reajuste Tarifas y Ocupación'!B40</f>
        <v>Cuádruple</v>
      </c>
      <c r="C38" s="363"/>
      <c r="D38" s="292">
        <f>+'B) Reajuste Tarifas y Ocupación'!K40</f>
        <v>15200</v>
      </c>
      <c r="E38" s="292">
        <f>+'B) Reajuste Tarifas y Ocupación'!L40</f>
        <v>16700</v>
      </c>
      <c r="F38" s="366">
        <f>+'B) Reajuste Tarifas y Ocupación'!M40</f>
        <v>18900</v>
      </c>
      <c r="G38" s="378"/>
      <c r="H38" s="293">
        <f>+'B) Reajuste Tarifas y Ocupación'!D40</f>
        <v>14500</v>
      </c>
      <c r="I38" s="293">
        <f>+'B) Reajuste Tarifas y Ocupación'!E40</f>
        <v>16000</v>
      </c>
      <c r="J38" s="377">
        <f>+'B) Reajuste Tarifas y Ocupación'!F40</f>
        <v>18100</v>
      </c>
      <c r="K38" s="188"/>
      <c r="L38" s="176">
        <f t="shared" si="0"/>
        <v>700</v>
      </c>
      <c r="M38" s="176">
        <f t="shared" si="0"/>
        <v>700</v>
      </c>
      <c r="N38" s="177">
        <f t="shared" si="0"/>
        <v>800</v>
      </c>
      <c r="O38" s="390"/>
      <c r="P38" s="384"/>
      <c r="Q38" s="384"/>
      <c r="R38" s="391"/>
    </row>
    <row r="39" spans="1:19" x14ac:dyDescent="0.35">
      <c r="A39" s="2806"/>
      <c r="B39" s="352" t="str">
        <f>+'B) Reajuste Tarifas y Ocupación'!B41</f>
        <v>Salón Comedor (Hasta 50p)</v>
      </c>
      <c r="C39" s="363"/>
      <c r="D39" s="292">
        <f>+'B) Reajuste Tarifas y Ocupación'!K41</f>
        <v>271400</v>
      </c>
      <c r="E39" s="292">
        <f>+'B) Reajuste Tarifas y Ocupación'!L41</f>
        <v>327600</v>
      </c>
      <c r="F39" s="366">
        <f>+'B) Reajuste Tarifas y Ocupación'!M41</f>
        <v>381700</v>
      </c>
      <c r="G39" s="378"/>
      <c r="H39" s="293">
        <f>+'B) Reajuste Tarifas y Ocupación'!D41</f>
        <v>259700</v>
      </c>
      <c r="I39" s="293">
        <f>+'B) Reajuste Tarifas y Ocupación'!E41</f>
        <v>313400</v>
      </c>
      <c r="J39" s="377">
        <f>+'B) Reajuste Tarifas y Ocupación'!F41</f>
        <v>365200</v>
      </c>
      <c r="K39" s="188"/>
      <c r="L39" s="176">
        <f t="shared" si="0"/>
        <v>11700</v>
      </c>
      <c r="M39" s="176">
        <f t="shared" si="0"/>
        <v>14200</v>
      </c>
      <c r="N39" s="177">
        <f t="shared" si="0"/>
        <v>16500</v>
      </c>
      <c r="O39" s="390"/>
      <c r="P39" s="383">
        <f>+'B) Reajuste Tarifas y Ocupación'!G41</f>
        <v>4.4999999999999998E-2</v>
      </c>
      <c r="Q39" s="383">
        <f>+'B) Reajuste Tarifas y Ocupación'!H41</f>
        <v>4.4999999999999998E-2</v>
      </c>
      <c r="R39" s="389">
        <f>+'B) Reajuste Tarifas y Ocupación'!I41</f>
        <v>4.4999999999999998E-2</v>
      </c>
    </row>
    <row r="40" spans="1:19" x14ac:dyDescent="0.35">
      <c r="A40" s="2806"/>
      <c r="B40" s="352" t="str">
        <f>+'B) Reajuste Tarifas y Ocupación'!B42</f>
        <v>Salón Comedor (P/Adicional)</v>
      </c>
      <c r="C40" s="363"/>
      <c r="D40" s="292">
        <f>+'B) Reajuste Tarifas y Ocupación'!K42</f>
        <v>4900</v>
      </c>
      <c r="E40" s="292">
        <f>+'B) Reajuste Tarifas y Ocupación'!L42</f>
        <v>5800</v>
      </c>
      <c r="F40" s="366">
        <f>+'B) Reajuste Tarifas y Ocupación'!M42</f>
        <v>7200</v>
      </c>
      <c r="G40" s="378"/>
      <c r="H40" s="293">
        <f>+'B) Reajuste Tarifas y Ocupación'!D42</f>
        <v>4600</v>
      </c>
      <c r="I40" s="293">
        <f>+'B) Reajuste Tarifas y Ocupación'!E42</f>
        <v>5500</v>
      </c>
      <c r="J40" s="377">
        <f>+'B) Reajuste Tarifas y Ocupación'!F42</f>
        <v>6800</v>
      </c>
      <c r="K40" s="188"/>
      <c r="L40" s="176">
        <f t="shared" si="0"/>
        <v>300</v>
      </c>
      <c r="M40" s="176">
        <f t="shared" si="0"/>
        <v>300</v>
      </c>
      <c r="N40" s="177">
        <f t="shared" si="0"/>
        <v>400</v>
      </c>
      <c r="O40" s="390"/>
      <c r="P40" s="383">
        <f>+'B) Reajuste Tarifas y Ocupación'!G42</f>
        <v>4.4999999999999998E-2</v>
      </c>
      <c r="Q40" s="383">
        <f>+'B) Reajuste Tarifas y Ocupación'!H42</f>
        <v>4.4999999999999998E-2</v>
      </c>
      <c r="R40" s="389">
        <f>+'B) Reajuste Tarifas y Ocupación'!I42</f>
        <v>4.4999999999999998E-2</v>
      </c>
    </row>
    <row r="41" spans="1:19" x14ac:dyDescent="0.35">
      <c r="A41" s="2806"/>
      <c r="B41" s="352" t="str">
        <f>+'B) Reajuste Tarifas y Ocupación'!B43</f>
        <v>Sala Multiuso (Hasta 25p)</v>
      </c>
      <c r="C41" s="363"/>
      <c r="D41" s="292">
        <f>+'B) Reajuste Tarifas y Ocupación'!K43</f>
        <v>122400</v>
      </c>
      <c r="E41" s="292">
        <f>+'B) Reajuste Tarifas y Ocupación'!L43</f>
        <v>147900</v>
      </c>
      <c r="F41" s="366">
        <f>+'B) Reajuste Tarifas y Ocupación'!M43</f>
        <v>158800</v>
      </c>
      <c r="G41" s="378"/>
      <c r="H41" s="293">
        <f>+'B) Reajuste Tarifas y Ocupación'!D43</f>
        <v>117100</v>
      </c>
      <c r="I41" s="293">
        <f>+'B) Reajuste Tarifas y Ocupación'!E43</f>
        <v>141500</v>
      </c>
      <c r="J41" s="377">
        <f>+'B) Reajuste Tarifas y Ocupación'!F43</f>
        <v>151900</v>
      </c>
      <c r="K41" s="188"/>
      <c r="L41" s="176">
        <f t="shared" si="0"/>
        <v>5300</v>
      </c>
      <c r="M41" s="176">
        <f t="shared" si="0"/>
        <v>6400</v>
      </c>
      <c r="N41" s="177">
        <f t="shared" si="0"/>
        <v>6900</v>
      </c>
      <c r="O41" s="390"/>
      <c r="P41" s="383">
        <f>+'B) Reajuste Tarifas y Ocupación'!G43</f>
        <v>4.4999999999999998E-2</v>
      </c>
      <c r="Q41" s="383">
        <f>+'B) Reajuste Tarifas y Ocupación'!H43</f>
        <v>4.4999999999999998E-2</v>
      </c>
      <c r="R41" s="389">
        <f>+'B) Reajuste Tarifas y Ocupación'!I43</f>
        <v>4.4999999999999998E-2</v>
      </c>
    </row>
    <row r="42" spans="1:19" ht="15" thickBot="1" x14ac:dyDescent="0.4">
      <c r="A42" s="2807"/>
      <c r="B42" s="409" t="str">
        <f>+'B) Reajuste Tarifas y Ocupación'!B44</f>
        <v>Sala Multiuso (P/Adicional))</v>
      </c>
      <c r="C42" s="196"/>
      <c r="D42" s="197">
        <f>+'B) Reajuste Tarifas y Ocupación'!K44</f>
        <v>3100</v>
      </c>
      <c r="E42" s="197">
        <f>+'B) Reajuste Tarifas y Ocupación'!L44</f>
        <v>4100</v>
      </c>
      <c r="F42" s="368">
        <f>+'B) Reajuste Tarifas y Ocupación'!M44</f>
        <v>10000</v>
      </c>
      <c r="G42" s="380"/>
      <c r="H42" s="381">
        <f>+'B) Reajuste Tarifas y Ocupación'!D44</f>
        <v>2900</v>
      </c>
      <c r="I42" s="381">
        <f>+'B) Reajuste Tarifas y Ocupación'!E44</f>
        <v>3900</v>
      </c>
      <c r="J42" s="382">
        <f>+'B) Reajuste Tarifas y Ocupación'!F44</f>
        <v>9500</v>
      </c>
      <c r="K42" s="199"/>
      <c r="L42" s="200">
        <f t="shared" si="0"/>
        <v>200</v>
      </c>
      <c r="M42" s="200">
        <f t="shared" si="0"/>
        <v>200</v>
      </c>
      <c r="N42" s="201">
        <f t="shared" si="0"/>
        <v>500</v>
      </c>
      <c r="O42" s="415"/>
      <c r="P42" s="420">
        <f>+'B) Reajuste Tarifas y Ocupación'!G44</f>
        <v>4.4999999999999998E-2</v>
      </c>
      <c r="Q42" s="420">
        <f>+'B) Reajuste Tarifas y Ocupación'!H44</f>
        <v>4.4999999999999998E-2</v>
      </c>
      <c r="R42" s="421">
        <f>+'B) Reajuste Tarifas y Ocupación'!I44</f>
        <v>4.4999999999999998E-2</v>
      </c>
    </row>
    <row r="43" spans="1:19" x14ac:dyDescent="0.35">
      <c r="A43" s="2806" t="str">
        <f>+'B) Reajuste Tarifas y Ocupación'!A45</f>
        <v>Piscina C.R. Los Maitenes (Alto)</v>
      </c>
      <c r="B43" s="351" t="str">
        <f>+'B) Reajuste Tarifas y Ocupación'!B45</f>
        <v>Piscina adulto</v>
      </c>
      <c r="C43" s="424"/>
      <c r="D43" s="360">
        <f>+'B) Reajuste Tarifas y Ocupación'!K45</f>
        <v>8800</v>
      </c>
      <c r="E43" s="360">
        <f>+'B) Reajuste Tarifas y Ocupación'!L45</f>
        <v>9800</v>
      </c>
      <c r="F43" s="365">
        <f>+'B) Reajuste Tarifas y Ocupación'!M45</f>
        <v>11000</v>
      </c>
      <c r="G43" s="433"/>
      <c r="H43" s="374">
        <f>+'B) Reajuste Tarifas y Ocupación'!D45</f>
        <v>8400</v>
      </c>
      <c r="I43" s="374">
        <f>+'B) Reajuste Tarifas y Ocupación'!E45</f>
        <v>9300</v>
      </c>
      <c r="J43" s="375">
        <f>+'B) Reajuste Tarifas y Ocupación'!F45</f>
        <v>10500</v>
      </c>
      <c r="K43" s="215"/>
      <c r="L43" s="398">
        <f t="shared" si="0"/>
        <v>400</v>
      </c>
      <c r="M43" s="398">
        <f t="shared" si="0"/>
        <v>500</v>
      </c>
      <c r="N43" s="399">
        <f t="shared" si="0"/>
        <v>500</v>
      </c>
      <c r="O43" s="422"/>
      <c r="P43" s="386">
        <f>+'B) Reajuste Tarifas y Ocupación'!G45</f>
        <v>4.4999999999999998E-2</v>
      </c>
      <c r="Q43" s="386">
        <f>+'B) Reajuste Tarifas y Ocupación'!H45</f>
        <v>4.4999999999999998E-2</v>
      </c>
      <c r="R43" s="387">
        <f>+'B) Reajuste Tarifas y Ocupación'!I45</f>
        <v>4.4999999999999998E-2</v>
      </c>
    </row>
    <row r="44" spans="1:19" ht="15" thickBot="1" x14ac:dyDescent="0.4">
      <c r="A44" s="2806"/>
      <c r="B44" s="409" t="str">
        <f>+'B) Reajuste Tarifas y Ocupación'!B46</f>
        <v>Piscina niño</v>
      </c>
      <c r="C44" s="196"/>
      <c r="D44" s="197">
        <f>+'B) Reajuste Tarifas y Ocupación'!K46</f>
        <v>4600</v>
      </c>
      <c r="E44" s="197">
        <f>+'B) Reajuste Tarifas y Ocupación'!L46</f>
        <v>5100</v>
      </c>
      <c r="F44" s="368">
        <f>+'B) Reajuste Tarifas y Ocupación'!M46</f>
        <v>5700</v>
      </c>
      <c r="G44" s="380"/>
      <c r="H44" s="381">
        <f>+'B) Reajuste Tarifas y Ocupación'!D46</f>
        <v>4400</v>
      </c>
      <c r="I44" s="381">
        <f>+'B) Reajuste Tarifas y Ocupación'!E46</f>
        <v>4800</v>
      </c>
      <c r="J44" s="382">
        <f>+'B) Reajuste Tarifas y Ocupación'!F46</f>
        <v>5400</v>
      </c>
      <c r="K44" s="406"/>
      <c r="L44" s="200">
        <f t="shared" si="0"/>
        <v>200</v>
      </c>
      <c r="M44" s="200">
        <f t="shared" si="0"/>
        <v>300</v>
      </c>
      <c r="N44" s="407">
        <f t="shared" si="0"/>
        <v>300</v>
      </c>
      <c r="O44" s="202"/>
      <c r="P44" s="418">
        <f>+'B) Reajuste Tarifas y Ocupación'!G46</f>
        <v>4.4999999999999998E-2</v>
      </c>
      <c r="Q44" s="418">
        <f>+'B) Reajuste Tarifas y Ocupación'!H46</f>
        <v>4.4999999999999998E-2</v>
      </c>
      <c r="R44" s="419">
        <f>+'B) Reajuste Tarifas y Ocupación'!I46</f>
        <v>4.4999999999999998E-2</v>
      </c>
    </row>
    <row r="45" spans="1:19" x14ac:dyDescent="0.35">
      <c r="A45" s="2805" t="str">
        <f>+'B) Reajuste Tarifas y Ocupación'!A47</f>
        <v>Piscina C.R. Los Maitenes (Bajo)</v>
      </c>
      <c r="B45" s="351" t="str">
        <f>+'B) Reajuste Tarifas y Ocupación'!B47</f>
        <v>Piscina adulto</v>
      </c>
      <c r="C45" s="424"/>
      <c r="D45" s="360">
        <f>+'B) Reajuste Tarifas y Ocupación'!K47</f>
        <v>8800</v>
      </c>
      <c r="E45" s="360">
        <f>+'B) Reajuste Tarifas y Ocupación'!L47</f>
        <v>9800</v>
      </c>
      <c r="F45" s="365">
        <f>+'B) Reajuste Tarifas y Ocupación'!M47</f>
        <v>11000</v>
      </c>
      <c r="G45" s="433"/>
      <c r="H45" s="374">
        <f>+'B) Reajuste Tarifas y Ocupación'!D47</f>
        <v>8400</v>
      </c>
      <c r="I45" s="374">
        <f>+'B) Reajuste Tarifas y Ocupación'!E47</f>
        <v>9300</v>
      </c>
      <c r="J45" s="375">
        <f>+'B) Reajuste Tarifas y Ocupación'!F47</f>
        <v>10500</v>
      </c>
      <c r="K45" s="215"/>
      <c r="L45" s="398">
        <f t="shared" si="0"/>
        <v>400</v>
      </c>
      <c r="M45" s="398">
        <f t="shared" si="0"/>
        <v>500</v>
      </c>
      <c r="N45" s="399">
        <f t="shared" si="0"/>
        <v>500</v>
      </c>
      <c r="O45" s="422"/>
      <c r="P45" s="386">
        <f>+'B) Reajuste Tarifas y Ocupación'!G47</f>
        <v>4.4999999999999998E-2</v>
      </c>
      <c r="Q45" s="386">
        <f>+'B) Reajuste Tarifas y Ocupación'!H47</f>
        <v>4.4999999999999998E-2</v>
      </c>
      <c r="R45" s="387">
        <f>+'B) Reajuste Tarifas y Ocupación'!I47</f>
        <v>4.4999999999999998E-2</v>
      </c>
    </row>
    <row r="46" spans="1:19" ht="15" thickBot="1" x14ac:dyDescent="0.4">
      <c r="A46" s="2807"/>
      <c r="B46" s="214" t="str">
        <f>+'B) Reajuste Tarifas y Ocupación'!B48</f>
        <v>Piscina niño</v>
      </c>
      <c r="C46" s="410"/>
      <c r="D46" s="226">
        <f>+'B) Reajuste Tarifas y Ocupación'!K48</f>
        <v>4600</v>
      </c>
      <c r="E46" s="226">
        <f>+'B) Reajuste Tarifas y Ocupación'!L48</f>
        <v>5100</v>
      </c>
      <c r="F46" s="411">
        <f>+'B) Reajuste Tarifas y Ocupación'!M48</f>
        <v>5700</v>
      </c>
      <c r="G46" s="380"/>
      <c r="H46" s="381">
        <f>+'B) Reajuste Tarifas y Ocupación'!D48</f>
        <v>4400</v>
      </c>
      <c r="I46" s="381">
        <f>+'B) Reajuste Tarifas y Ocupación'!E48</f>
        <v>4800</v>
      </c>
      <c r="J46" s="382">
        <f>+'B) Reajuste Tarifas y Ocupación'!F48</f>
        <v>5400</v>
      </c>
      <c r="K46" s="211"/>
      <c r="L46" s="426">
        <f t="shared" si="0"/>
        <v>200</v>
      </c>
      <c r="M46" s="426">
        <f t="shared" si="0"/>
        <v>300</v>
      </c>
      <c r="N46" s="212">
        <f t="shared" si="0"/>
        <v>300</v>
      </c>
      <c r="O46" s="202"/>
      <c r="P46" s="418">
        <f>+'B) Reajuste Tarifas y Ocupación'!G48</f>
        <v>4.4999999999999998E-2</v>
      </c>
      <c r="Q46" s="418">
        <f>+'B) Reajuste Tarifas y Ocupación'!H48</f>
        <v>4.4999999999999998E-2</v>
      </c>
      <c r="R46" s="419">
        <f>+'B) Reajuste Tarifas y Ocupación'!I48</f>
        <v>4.4999999999999998E-2</v>
      </c>
    </row>
    <row r="47" spans="1:19" ht="15" customHeight="1" x14ac:dyDescent="0.35">
      <c r="A47" s="2746" t="str">
        <f>+'B) Reajuste Tarifas y Ocupación'!A49</f>
        <v>C. R. Las Salinas</v>
      </c>
      <c r="B47" s="351" t="str">
        <f>'B) Reajuste Tarifas y Ocupación'!B49</f>
        <v>Quincho (8p)</v>
      </c>
      <c r="C47" s="359">
        <f>+'B) Reajuste Tarifas y Ocupación'!J49</f>
        <v>15700</v>
      </c>
      <c r="D47" s="360">
        <f>+'B) Reajuste Tarifas y Ocupación'!K49</f>
        <v>24100</v>
      </c>
      <c r="E47" s="360">
        <f>+'B) Reajuste Tarifas y Ocupación'!L49</f>
        <v>26500</v>
      </c>
      <c r="F47" s="227">
        <f>+'B) Reajuste Tarifas y Ocupación'!M49</f>
        <v>30000</v>
      </c>
      <c r="G47" s="373">
        <f>+'B) Reajuste Tarifas y Ocupación'!C49</f>
        <v>15000</v>
      </c>
      <c r="H47" s="374">
        <f>+'B) Reajuste Tarifas y Ocupación'!D49</f>
        <v>23000</v>
      </c>
      <c r="I47" s="374">
        <f>+'B) Reajuste Tarifas y Ocupación'!E49</f>
        <v>25300</v>
      </c>
      <c r="J47" s="375">
        <f>+'B) Reajuste Tarifas y Ocupación'!F49</f>
        <v>28700</v>
      </c>
      <c r="K47" s="427">
        <f>C47-G47</f>
        <v>700</v>
      </c>
      <c r="L47" s="398">
        <f>D47-H47</f>
        <v>1100</v>
      </c>
      <c r="M47" s="398">
        <f t="shared" si="0"/>
        <v>1200</v>
      </c>
      <c r="N47" s="428">
        <f t="shared" si="0"/>
        <v>1300</v>
      </c>
      <c r="O47" s="385">
        <f t="shared" si="1"/>
        <v>4.4999999999999998E-2</v>
      </c>
      <c r="P47" s="386">
        <f>+'B) Reajuste Tarifas y Ocupación'!G49</f>
        <v>4.4999999999999998E-2</v>
      </c>
      <c r="Q47" s="386">
        <f>+'B) Reajuste Tarifas y Ocupación'!H49</f>
        <v>4.4999999999999998E-2</v>
      </c>
      <c r="R47" s="387">
        <f>+'B) Reajuste Tarifas y Ocupación'!I49</f>
        <v>4.4999999999999998E-2</v>
      </c>
      <c r="S47" s="306"/>
    </row>
    <row r="48" spans="1:19" ht="15" customHeight="1" x14ac:dyDescent="0.35">
      <c r="A48" s="2747"/>
      <c r="B48" s="352" t="str">
        <f>'B) Reajuste Tarifas y Ocupación'!B50</f>
        <v>Quincho (P/Adicional)</v>
      </c>
      <c r="C48" s="363"/>
      <c r="D48" s="292">
        <f>+'B) Reajuste Tarifas y Ocupación'!K50</f>
        <v>4000</v>
      </c>
      <c r="E48" s="292">
        <f>+'B) Reajuste Tarifas y Ocupación'!L50</f>
        <v>4400</v>
      </c>
      <c r="F48" s="362">
        <f>+'B) Reajuste Tarifas y Ocupación'!M50</f>
        <v>5100</v>
      </c>
      <c r="G48" s="376">
        <f>+'B) Reajuste Tarifas y Ocupación'!C50</f>
        <v>0</v>
      </c>
      <c r="H48" s="293">
        <f>+'B) Reajuste Tarifas y Ocupación'!D50</f>
        <v>3800</v>
      </c>
      <c r="I48" s="293">
        <f>+'B) Reajuste Tarifas y Ocupación'!E50</f>
        <v>4200</v>
      </c>
      <c r="J48" s="377">
        <f>+'B) Reajuste Tarifas y Ocupación'!F50</f>
        <v>4800</v>
      </c>
      <c r="K48" s="430"/>
      <c r="L48" s="401">
        <f t="shared" si="0"/>
        <v>200</v>
      </c>
      <c r="M48" s="401">
        <f t="shared" si="0"/>
        <v>200</v>
      </c>
      <c r="N48" s="429">
        <f t="shared" si="0"/>
        <v>300</v>
      </c>
      <c r="O48" s="430"/>
      <c r="P48" s="383">
        <f>+'B) Reajuste Tarifas y Ocupación'!G50</f>
        <v>4.4999999999999998E-2</v>
      </c>
      <c r="Q48" s="383">
        <f>+'B) Reajuste Tarifas y Ocupación'!H50</f>
        <v>4.4999999999999998E-2</v>
      </c>
      <c r="R48" s="389">
        <f>+'B) Reajuste Tarifas y Ocupación'!I50</f>
        <v>4.4999999999999998E-2</v>
      </c>
    </row>
    <row r="49" spans="1:19" ht="15" customHeight="1" x14ac:dyDescent="0.35">
      <c r="A49" s="2747"/>
      <c r="B49" s="352" t="s">
        <v>375</v>
      </c>
      <c r="C49" s="823"/>
      <c r="D49" s="781">
        <f>'B) Reajuste Tarifas y Ocupación'!K51</f>
        <v>65900</v>
      </c>
      <c r="E49" s="781">
        <f>'B) Reajuste Tarifas y Ocupación'!L51</f>
        <v>72500</v>
      </c>
      <c r="F49" s="781">
        <f>'B) Reajuste Tarifas y Ocupación'!M51</f>
        <v>82200</v>
      </c>
      <c r="G49" s="817"/>
      <c r="H49" s="783">
        <f>'B) Reajuste Tarifas y Ocupación'!D51</f>
        <v>63000</v>
      </c>
      <c r="I49" s="783">
        <f>'B) Reajuste Tarifas y Ocupación'!E51</f>
        <v>69300</v>
      </c>
      <c r="J49" s="783">
        <f>'B) Reajuste Tarifas y Ocupación'!F51</f>
        <v>78600</v>
      </c>
      <c r="K49" s="824"/>
      <c r="L49" s="401">
        <f t="shared" si="0"/>
        <v>2900</v>
      </c>
      <c r="M49" s="401">
        <f t="shared" si="0"/>
        <v>3200</v>
      </c>
      <c r="N49" s="429">
        <f t="shared" si="0"/>
        <v>3600</v>
      </c>
      <c r="O49" s="824"/>
      <c r="P49" s="383">
        <f>+'B) Reajuste Tarifas y Ocupación'!G51</f>
        <v>4.4999999999999998E-2</v>
      </c>
      <c r="Q49" s="383">
        <f>+'B) Reajuste Tarifas y Ocupación'!H51</f>
        <v>4.4999999999999998E-2</v>
      </c>
      <c r="R49" s="389">
        <f>+'B) Reajuste Tarifas y Ocupación'!I51</f>
        <v>4.4999999999999998E-2</v>
      </c>
    </row>
    <row r="50" spans="1:19" ht="15" customHeight="1" x14ac:dyDescent="0.35">
      <c r="A50" s="2747"/>
      <c r="B50" s="352" t="str">
        <f>'B) Reajuste Tarifas y Ocupación'!B52</f>
        <v>Salón N° 1 Valor Reparticiones (0-120 personas)</v>
      </c>
      <c r="C50" s="363"/>
      <c r="D50" s="781">
        <f>'B) Reajuste Tarifas y Ocupación'!K52</f>
        <v>438900</v>
      </c>
      <c r="E50" s="802"/>
      <c r="F50" s="835"/>
      <c r="G50" s="378"/>
      <c r="H50" s="783">
        <f>'B) Reajuste Tarifas y Ocupación'!D52</f>
        <v>420000</v>
      </c>
      <c r="I50" s="805"/>
      <c r="J50" s="806"/>
      <c r="K50" s="430"/>
      <c r="L50" s="404"/>
      <c r="M50" s="404"/>
      <c r="N50" s="836"/>
      <c r="O50" s="390"/>
      <c r="P50" s="384"/>
      <c r="Q50" s="384"/>
      <c r="R50" s="391"/>
    </row>
    <row r="51" spans="1:19" ht="15" customHeight="1" x14ac:dyDescent="0.35">
      <c r="A51" s="2747"/>
      <c r="B51" s="352" t="s">
        <v>376</v>
      </c>
      <c r="C51" s="823"/>
      <c r="D51" s="781">
        <f>'B) Reajuste Tarifas y Ocupación'!K53</f>
        <v>658400</v>
      </c>
      <c r="E51" s="789"/>
      <c r="F51" s="816"/>
      <c r="G51" s="834"/>
      <c r="H51" s="783">
        <f>'B) Reajuste Tarifas y Ocupación'!D53</f>
        <v>630000</v>
      </c>
      <c r="I51" s="818"/>
      <c r="J51" s="819"/>
      <c r="K51" s="824"/>
      <c r="L51" s="791"/>
      <c r="M51" s="791"/>
      <c r="N51" s="837"/>
      <c r="O51" s="798"/>
      <c r="P51" s="796"/>
      <c r="Q51" s="796"/>
      <c r="R51" s="797"/>
    </row>
    <row r="52" spans="1:19" ht="15" customHeight="1" x14ac:dyDescent="0.35">
      <c r="A52" s="2747"/>
      <c r="B52" s="352" t="s">
        <v>377</v>
      </c>
      <c r="C52" s="363"/>
      <c r="D52" s="292">
        <f>'B) Reajuste Tarifas y Ocupación'!K54</f>
        <v>1316700</v>
      </c>
      <c r="E52" s="292">
        <f>'B) Reajuste Tarifas y Ocupación'!L54</f>
        <v>1448400</v>
      </c>
      <c r="F52" s="292">
        <f>'B) Reajuste Tarifas y Ocupación'!M54</f>
        <v>1641500</v>
      </c>
      <c r="G52" s="378"/>
      <c r="H52" s="293">
        <f>'B) Reajuste Tarifas y Ocupación'!D54</f>
        <v>1260000</v>
      </c>
      <c r="I52" s="293">
        <f>'B) Reajuste Tarifas y Ocupación'!E54</f>
        <v>1386000</v>
      </c>
      <c r="J52" s="293">
        <f>'B) Reajuste Tarifas y Ocupación'!F54</f>
        <v>1570800</v>
      </c>
      <c r="K52" s="430"/>
      <c r="L52" s="401">
        <f>D52-H52</f>
        <v>56700</v>
      </c>
      <c r="M52" s="401">
        <f t="shared" si="0"/>
        <v>62400</v>
      </c>
      <c r="N52" s="429">
        <f t="shared" si="0"/>
        <v>70700</v>
      </c>
      <c r="O52" s="390"/>
      <c r="P52" s="383">
        <f>'B) Reajuste Tarifas y Ocupación'!G54</f>
        <v>4.4999999999999998E-2</v>
      </c>
      <c r="Q52" s="383">
        <f>'B) Reajuste Tarifas y Ocupación'!H54</f>
        <v>4.4999999999999998E-2</v>
      </c>
      <c r="R52" s="383">
        <f>'B) Reajuste Tarifas y Ocupación'!I54</f>
        <v>4.4999999999999998E-2</v>
      </c>
    </row>
    <row r="53" spans="1:19" ht="15" customHeight="1" x14ac:dyDescent="0.35">
      <c r="A53" s="2747"/>
      <c r="B53" s="352" t="s">
        <v>378</v>
      </c>
      <c r="C53" s="823"/>
      <c r="D53" s="781">
        <f>'B) Reajuste Tarifas y Ocupación'!K55</f>
        <v>2633400</v>
      </c>
      <c r="E53" s="789"/>
      <c r="F53" s="790"/>
      <c r="G53" s="834"/>
      <c r="H53" s="783">
        <v>0</v>
      </c>
      <c r="I53" s="818"/>
      <c r="J53" s="819"/>
      <c r="K53" s="824"/>
      <c r="L53" s="401">
        <f>D53-H53</f>
        <v>2633400</v>
      </c>
      <c r="M53" s="791"/>
      <c r="N53" s="837"/>
      <c r="O53" s="798"/>
      <c r="P53" s="838">
        <v>0.05</v>
      </c>
      <c r="Q53" s="796"/>
      <c r="R53" s="797"/>
    </row>
    <row r="54" spans="1:19" ht="15" customHeight="1" x14ac:dyDescent="0.35">
      <c r="A54" s="2747"/>
      <c r="B54" s="352" t="str">
        <f>'B) Reajuste Tarifas y Ocupación'!B57</f>
        <v>Salón N° 2 Eventos AM</v>
      </c>
      <c r="C54" s="363"/>
      <c r="D54" s="292">
        <f>'B) Reajuste Tarifas y Ocupación'!K57</f>
        <v>164600</v>
      </c>
      <c r="E54" s="292">
        <f>'B) Reajuste Tarifas y Ocupación'!L57</f>
        <v>181100</v>
      </c>
      <c r="F54" s="362">
        <f>'B) Reajuste Tarifas y Ocupación'!M57</f>
        <v>205300</v>
      </c>
      <c r="G54" s="378">
        <f>'B) Reajuste Tarifas y Ocupación'!C57</f>
        <v>0</v>
      </c>
      <c r="H54" s="293">
        <f>'B) Reajuste Tarifas y Ocupación'!D57</f>
        <v>157500</v>
      </c>
      <c r="I54" s="293">
        <f>'B) Reajuste Tarifas y Ocupación'!E57</f>
        <v>173300</v>
      </c>
      <c r="J54" s="377">
        <f>'B) Reajuste Tarifas y Ocupación'!F57</f>
        <v>196400</v>
      </c>
      <c r="K54" s="430"/>
      <c r="L54" s="401">
        <f t="shared" ref="L54:L58" si="2">D54-H54</f>
        <v>7100</v>
      </c>
      <c r="M54" s="401">
        <f t="shared" ref="M54:M58" si="3">E54-I54</f>
        <v>7800</v>
      </c>
      <c r="N54" s="429">
        <f t="shared" ref="N54:N58" si="4">F54-J54</f>
        <v>8900</v>
      </c>
      <c r="O54" s="390"/>
      <c r="P54" s="383">
        <f>+'B) Reajuste Tarifas y Ocupación'!G57</f>
        <v>4.4999999999999998E-2</v>
      </c>
      <c r="Q54" s="383">
        <f>+'B) Reajuste Tarifas y Ocupación'!H57</f>
        <v>4.4999999999999998E-2</v>
      </c>
      <c r="R54" s="389">
        <f>+'B) Reajuste Tarifas y Ocupación'!I57</f>
        <v>4.4999999999999998E-2</v>
      </c>
    </row>
    <row r="55" spans="1:19" ht="15" customHeight="1" x14ac:dyDescent="0.35">
      <c r="A55" s="2747"/>
      <c r="B55" s="352" t="str">
        <f>'B) Reajuste Tarifas y Ocupación'!B58</f>
        <v>Salón N° 2 Eventos PM</v>
      </c>
      <c r="C55" s="363"/>
      <c r="D55" s="292">
        <f>'B) Reajuste Tarifas y Ocupación'!K58</f>
        <v>219500</v>
      </c>
      <c r="E55" s="292">
        <f>'B) Reajuste Tarifas y Ocupación'!L58</f>
        <v>241400</v>
      </c>
      <c r="F55" s="362">
        <f>'B) Reajuste Tarifas y Ocupación'!M58</f>
        <v>273600</v>
      </c>
      <c r="G55" s="378">
        <f>'B) Reajuste Tarifas y Ocupación'!C58</f>
        <v>0</v>
      </c>
      <c r="H55" s="293">
        <f>'B) Reajuste Tarifas y Ocupación'!D58</f>
        <v>210000</v>
      </c>
      <c r="I55" s="293">
        <f>'B) Reajuste Tarifas y Ocupación'!E58</f>
        <v>231000</v>
      </c>
      <c r="J55" s="377">
        <f>'B) Reajuste Tarifas y Ocupación'!F58</f>
        <v>261800</v>
      </c>
      <c r="K55" s="430"/>
      <c r="L55" s="401">
        <f t="shared" si="2"/>
        <v>9500</v>
      </c>
      <c r="M55" s="401">
        <f t="shared" si="3"/>
        <v>10400</v>
      </c>
      <c r="N55" s="429">
        <f t="shared" si="4"/>
        <v>11800</v>
      </c>
      <c r="O55" s="390"/>
      <c r="P55" s="383">
        <f>+'B) Reajuste Tarifas y Ocupación'!G58</f>
        <v>4.4999999999999998E-2</v>
      </c>
      <c r="Q55" s="383">
        <f>+'B) Reajuste Tarifas y Ocupación'!H58</f>
        <v>4.4999999999999998E-2</v>
      </c>
      <c r="R55" s="389">
        <f>+'B) Reajuste Tarifas y Ocupación'!I58</f>
        <v>4.4999999999999998E-2</v>
      </c>
    </row>
    <row r="56" spans="1:19" ht="15.75" customHeight="1" x14ac:dyDescent="0.35">
      <c r="A56" s="2747"/>
      <c r="B56" s="352" t="str">
        <f>'B) Reajuste Tarifas y Ocupación'!B60</f>
        <v>Cancha Fútbol (L a V, diurno)</v>
      </c>
      <c r="C56" s="363"/>
      <c r="D56" s="292">
        <f>'B) Reajuste Tarifas y Ocupación'!K60</f>
        <v>16900</v>
      </c>
      <c r="E56" s="292">
        <f>'B) Reajuste Tarifas y Ocupación'!L60</f>
        <v>18500</v>
      </c>
      <c r="F56" s="362">
        <f>'B) Reajuste Tarifas y Ocupación'!M60</f>
        <v>21100</v>
      </c>
      <c r="G56" s="378">
        <f>'B) Reajuste Tarifas y Ocupación'!C60</f>
        <v>0</v>
      </c>
      <c r="H56" s="293">
        <f>'B) Reajuste Tarifas y Ocupación'!D60</f>
        <v>16100</v>
      </c>
      <c r="I56" s="293">
        <f>'B) Reajuste Tarifas y Ocupación'!E60</f>
        <v>17700</v>
      </c>
      <c r="J56" s="377">
        <f>'B) Reajuste Tarifas y Ocupación'!F60</f>
        <v>20100</v>
      </c>
      <c r="K56" s="430"/>
      <c r="L56" s="401">
        <f t="shared" si="2"/>
        <v>800</v>
      </c>
      <c r="M56" s="401">
        <f t="shared" si="3"/>
        <v>800</v>
      </c>
      <c r="N56" s="429">
        <f t="shared" si="4"/>
        <v>1000</v>
      </c>
      <c r="O56" s="390"/>
      <c r="P56" s="383">
        <f>+'B) Reajuste Tarifas y Ocupación'!G60</f>
        <v>4.4999999999999998E-2</v>
      </c>
      <c r="Q56" s="383">
        <f>+'B) Reajuste Tarifas y Ocupación'!H60</f>
        <v>4.4999999999999998E-2</v>
      </c>
      <c r="R56" s="389">
        <f>+'B) Reajuste Tarifas y Ocupación'!I60</f>
        <v>4.4999999999999998E-2</v>
      </c>
    </row>
    <row r="57" spans="1:19" ht="15.75" customHeight="1" x14ac:dyDescent="0.35">
      <c r="A57" s="2747"/>
      <c r="B57" s="352" t="str">
        <f>'B) Reajuste Tarifas y Ocupación'!B61</f>
        <v>Cancha Fútbol (L a V, nocturno)</v>
      </c>
      <c r="C57" s="363"/>
      <c r="D57" s="292">
        <f>'B) Reajuste Tarifas y Ocupación'!K61</f>
        <v>22500</v>
      </c>
      <c r="E57" s="292">
        <f>'B) Reajuste Tarifas y Ocupación'!L61</f>
        <v>24700</v>
      </c>
      <c r="F57" s="362">
        <f>'B) Reajuste Tarifas y Ocupación'!M61</f>
        <v>28100</v>
      </c>
      <c r="G57" s="378">
        <f>'B) Reajuste Tarifas y Ocupación'!C61</f>
        <v>0</v>
      </c>
      <c r="H57" s="293">
        <f>'B) Reajuste Tarifas y Ocupación'!D61</f>
        <v>21500</v>
      </c>
      <c r="I57" s="293">
        <f>'B) Reajuste Tarifas y Ocupación'!E61</f>
        <v>23600</v>
      </c>
      <c r="J57" s="377">
        <f>'B) Reajuste Tarifas y Ocupación'!F61</f>
        <v>26800</v>
      </c>
      <c r="K57" s="430"/>
      <c r="L57" s="401">
        <f t="shared" si="2"/>
        <v>1000</v>
      </c>
      <c r="M57" s="401">
        <f t="shared" si="3"/>
        <v>1100</v>
      </c>
      <c r="N57" s="429">
        <f t="shared" si="4"/>
        <v>1300</v>
      </c>
      <c r="O57" s="390"/>
      <c r="P57" s="383">
        <f>+'B) Reajuste Tarifas y Ocupación'!G61</f>
        <v>4.4999999999999998E-2</v>
      </c>
      <c r="Q57" s="383">
        <f>+'B) Reajuste Tarifas y Ocupación'!H61</f>
        <v>4.4999999999999998E-2</v>
      </c>
      <c r="R57" s="389">
        <f>+'B) Reajuste Tarifas y Ocupación'!I61</f>
        <v>4.4999999999999998E-2</v>
      </c>
    </row>
    <row r="58" spans="1:19" ht="16.5" customHeight="1" thickBot="1" x14ac:dyDescent="0.4">
      <c r="A58" s="2748"/>
      <c r="B58" s="409" t="str">
        <f>'B) Reajuste Tarifas y Ocupación'!B62</f>
        <v>Cancha Fútbol (Fin de semana y festivos)</v>
      </c>
      <c r="C58" s="410"/>
      <c r="D58" s="226">
        <f>'B) Reajuste Tarifas y Ocupación'!K62</f>
        <v>22500</v>
      </c>
      <c r="E58" s="226">
        <f>'B) Reajuste Tarifas y Ocupación'!L62</f>
        <v>24700</v>
      </c>
      <c r="F58" s="228">
        <f>'B) Reajuste Tarifas y Ocupación'!M62</f>
        <v>28100</v>
      </c>
      <c r="G58" s="380">
        <f>'B) Reajuste Tarifas y Ocupación'!C62</f>
        <v>0</v>
      </c>
      <c r="H58" s="381">
        <f>'B) Reajuste Tarifas y Ocupación'!D62</f>
        <v>21500</v>
      </c>
      <c r="I58" s="381">
        <f>'B) Reajuste Tarifas y Ocupación'!E62</f>
        <v>23600</v>
      </c>
      <c r="J58" s="382">
        <f>'B) Reajuste Tarifas y Ocupación'!F62</f>
        <v>26800</v>
      </c>
      <c r="K58" s="431"/>
      <c r="L58" s="200">
        <f t="shared" si="2"/>
        <v>1000</v>
      </c>
      <c r="M58" s="200">
        <f t="shared" si="3"/>
        <v>1100</v>
      </c>
      <c r="N58" s="432">
        <f t="shared" si="4"/>
        <v>1300</v>
      </c>
      <c r="O58" s="202"/>
      <c r="P58" s="418">
        <f>+'B) Reajuste Tarifas y Ocupación'!G62</f>
        <v>4.4999999999999998E-2</v>
      </c>
      <c r="Q58" s="418">
        <f>+'B) Reajuste Tarifas y Ocupación'!H62</f>
        <v>4.4999999999999998E-2</v>
      </c>
      <c r="R58" s="419">
        <f>+'B) Reajuste Tarifas y Ocupación'!I62</f>
        <v>4.4999999999999998E-2</v>
      </c>
    </row>
    <row r="59" spans="1:19" x14ac:dyDescent="0.35">
      <c r="A59" s="2805" t="str">
        <f>+'B) Reajuste Tarifas y Ocupación'!A63</f>
        <v>Piscina C.R. Las Salinas</v>
      </c>
      <c r="B59" s="351" t="str">
        <f>+'B) Reajuste Tarifas y Ocupación'!B63</f>
        <v>Piscina adulto</v>
      </c>
      <c r="C59" s="424"/>
      <c r="D59" s="360">
        <f>+'B) Reajuste Tarifas y Ocupación'!K63</f>
        <v>8500</v>
      </c>
      <c r="E59" s="360">
        <f>+'B) Reajuste Tarifas y Ocupación'!L63</f>
        <v>9400</v>
      </c>
      <c r="F59" s="227">
        <f>+'B) Reajuste Tarifas y Ocupación'!M63</f>
        <v>10600</v>
      </c>
      <c r="G59" s="433"/>
      <c r="H59" s="374">
        <f>+'B) Reajuste Tarifas y Ocupación'!D63</f>
        <v>8100</v>
      </c>
      <c r="I59" s="374">
        <f>+'B) Reajuste Tarifas y Ocupación'!E63</f>
        <v>8900</v>
      </c>
      <c r="J59" s="375">
        <f>+'B) Reajuste Tarifas y Ocupación'!F63</f>
        <v>10100</v>
      </c>
      <c r="K59" s="423"/>
      <c r="L59" s="393">
        <f t="shared" si="0"/>
        <v>400</v>
      </c>
      <c r="M59" s="393">
        <f t="shared" si="0"/>
        <v>500</v>
      </c>
      <c r="N59" s="394">
        <f t="shared" si="0"/>
        <v>500</v>
      </c>
      <c r="O59" s="422"/>
      <c r="P59" s="386">
        <f>+'B) Reajuste Tarifas y Ocupación'!G63</f>
        <v>4.4999999999999998E-2</v>
      </c>
      <c r="Q59" s="386">
        <f>+'B) Reajuste Tarifas y Ocupación'!H63</f>
        <v>4.4999999999999998E-2</v>
      </c>
      <c r="R59" s="387">
        <f>+'B) Reajuste Tarifas y Ocupación'!I63</f>
        <v>4.4999999999999998E-2</v>
      </c>
    </row>
    <row r="60" spans="1:19" ht="15" thickBot="1" x14ac:dyDescent="0.4">
      <c r="A60" s="2807"/>
      <c r="B60" s="409" t="str">
        <f>+'B) Reajuste Tarifas y Ocupación'!B64</f>
        <v>Piscina niño</v>
      </c>
      <c r="C60" s="196"/>
      <c r="D60" s="197">
        <f>+'B) Reajuste Tarifas y Ocupación'!K64</f>
        <v>4300</v>
      </c>
      <c r="E60" s="197">
        <f>+'B) Reajuste Tarifas y Ocupación'!L64</f>
        <v>4900</v>
      </c>
      <c r="F60" s="198">
        <f>+'B) Reajuste Tarifas y Ocupación'!M64</f>
        <v>5500</v>
      </c>
      <c r="G60" s="412"/>
      <c r="H60" s="413">
        <f>+'B) Reajuste Tarifas y Ocupación'!D64</f>
        <v>4100</v>
      </c>
      <c r="I60" s="413">
        <f>+'B) Reajuste Tarifas y Ocupación'!E64</f>
        <v>4600</v>
      </c>
      <c r="J60" s="414">
        <f>+'B) Reajuste Tarifas y Ocupación'!F64</f>
        <v>5200</v>
      </c>
      <c r="K60" s="199"/>
      <c r="L60" s="200">
        <f t="shared" si="0"/>
        <v>200</v>
      </c>
      <c r="M60" s="200">
        <f t="shared" si="0"/>
        <v>300</v>
      </c>
      <c r="N60" s="201">
        <f t="shared" si="0"/>
        <v>300</v>
      </c>
      <c r="O60" s="202"/>
      <c r="P60" s="418">
        <f>+'B) Reajuste Tarifas y Ocupación'!G64</f>
        <v>4.4999999999999998E-2</v>
      </c>
      <c r="Q60" s="418">
        <f>+'B) Reajuste Tarifas y Ocupación'!H64</f>
        <v>4.4999999999999998E-2</v>
      </c>
      <c r="R60" s="419">
        <f>+'B) Reajuste Tarifas y Ocupación'!I64</f>
        <v>4.4999999999999998E-2</v>
      </c>
    </row>
    <row r="61" spans="1:19" x14ac:dyDescent="0.35">
      <c r="A61" s="2805" t="str">
        <f>+'B) Reajuste Tarifas y Ocupación'!A65</f>
        <v>C. R. Ralunco</v>
      </c>
      <c r="B61" s="408" t="str">
        <f>+'B) Reajuste Tarifas y Ocupación'!B65</f>
        <v>Camping ( 5p antiguo)</v>
      </c>
      <c r="C61" s="355">
        <f>+'B) Reajuste Tarifas y Ocupación'!J65</f>
        <v>26200</v>
      </c>
      <c r="D61" s="356">
        <f>+'B) Reajuste Tarifas y Ocupación'!K65</f>
        <v>40200</v>
      </c>
      <c r="E61" s="356">
        <f>+'B) Reajuste Tarifas y Ocupación'!L65</f>
        <v>44100</v>
      </c>
      <c r="F61" s="434">
        <f>+'B) Reajuste Tarifas y Ocupación'!M65</f>
        <v>50000</v>
      </c>
      <c r="G61" s="373">
        <f>+'B) Reajuste Tarifas y Ocupación'!C65</f>
        <v>25000</v>
      </c>
      <c r="H61" s="374">
        <f>+'B) Reajuste Tarifas y Ocupación'!D65</f>
        <v>38400</v>
      </c>
      <c r="I61" s="374">
        <f>+'B) Reajuste Tarifas y Ocupación'!E65</f>
        <v>42200</v>
      </c>
      <c r="J61" s="375">
        <f>+'B) Reajuste Tarifas y Ocupación'!F65</f>
        <v>47800</v>
      </c>
      <c r="K61" s="167">
        <f t="shared" si="0"/>
        <v>1200</v>
      </c>
      <c r="L61" s="168">
        <f t="shared" si="0"/>
        <v>1800</v>
      </c>
      <c r="M61" s="168">
        <f t="shared" si="0"/>
        <v>1900</v>
      </c>
      <c r="N61" s="169">
        <f t="shared" si="0"/>
        <v>2200</v>
      </c>
      <c r="O61" s="395">
        <f t="shared" si="1"/>
        <v>4.4999999999999998E-2</v>
      </c>
      <c r="P61" s="396">
        <f>+'B) Reajuste Tarifas y Ocupación'!G65</f>
        <v>4.4999999999999998E-2</v>
      </c>
      <c r="Q61" s="396">
        <f>+'B) Reajuste Tarifas y Ocupación'!H65</f>
        <v>4.4999999999999998E-2</v>
      </c>
      <c r="R61" s="397">
        <f>+'B) Reajuste Tarifas y Ocupación'!I65</f>
        <v>4.4999999999999998E-2</v>
      </c>
    </row>
    <row r="62" spans="1:19" x14ac:dyDescent="0.35">
      <c r="A62" s="2806"/>
      <c r="B62" s="170" t="str">
        <f>+'B) Reajuste Tarifas y Ocupación'!B66</f>
        <v>Camping (5 p nuevo)</v>
      </c>
      <c r="C62" s="361">
        <f>+'B) Reajuste Tarifas y Ocupación'!J66</f>
        <v>29600</v>
      </c>
      <c r="D62" s="292">
        <f>+'B) Reajuste Tarifas y Ocupación'!K66</f>
        <v>45400</v>
      </c>
      <c r="E62" s="292">
        <f>+'B) Reajuste Tarifas y Ocupación'!L66</f>
        <v>50000</v>
      </c>
      <c r="F62" s="366">
        <f>+'B) Reajuste Tarifas y Ocupación'!M66</f>
        <v>56600</v>
      </c>
      <c r="G62" s="376">
        <f>+'B) Reajuste Tarifas y Ocupación'!C66</f>
        <v>28300</v>
      </c>
      <c r="H62" s="293">
        <f>+'B) Reajuste Tarifas y Ocupación'!D66</f>
        <v>43400</v>
      </c>
      <c r="I62" s="293">
        <f>+'B) Reajuste Tarifas y Ocupación'!E66</f>
        <v>47800</v>
      </c>
      <c r="J62" s="377">
        <f>+'B) Reajuste Tarifas y Ocupación'!F66</f>
        <v>54100</v>
      </c>
      <c r="K62" s="175">
        <f t="shared" si="0"/>
        <v>1300</v>
      </c>
      <c r="L62" s="176">
        <f t="shared" si="0"/>
        <v>2000</v>
      </c>
      <c r="M62" s="176">
        <f t="shared" si="0"/>
        <v>2200</v>
      </c>
      <c r="N62" s="177">
        <f t="shared" si="0"/>
        <v>2500</v>
      </c>
      <c r="O62" s="178">
        <f t="shared" si="1"/>
        <v>4.4999999999999998E-2</v>
      </c>
      <c r="P62" s="179">
        <f>+'B) Reajuste Tarifas y Ocupación'!G66</f>
        <v>4.4999999999999998E-2</v>
      </c>
      <c r="Q62" s="179">
        <f>+'B) Reajuste Tarifas y Ocupación'!H66</f>
        <v>4.4999999999999998E-2</v>
      </c>
      <c r="R62" s="180">
        <f>+'B) Reajuste Tarifas y Ocupación'!I66</f>
        <v>4.4999999999999998E-2</v>
      </c>
      <c r="S62" s="306"/>
    </row>
    <row r="63" spans="1:19" x14ac:dyDescent="0.35">
      <c r="A63" s="2806"/>
      <c r="B63" s="170" t="str">
        <f>+'B) Reajuste Tarifas y Ocupación'!B67</f>
        <v>Camping (P/Adicional)</v>
      </c>
      <c r="C63" s="410"/>
      <c r="D63" s="292">
        <f>+'B) Reajuste Tarifas y Ocupación'!K67</f>
        <v>15300</v>
      </c>
      <c r="E63" s="292">
        <f>+'B) Reajuste Tarifas y Ocupación'!L67</f>
        <v>16900</v>
      </c>
      <c r="F63" s="366">
        <f>+'B) Reajuste Tarifas y Ocupación'!M67</f>
        <v>19100</v>
      </c>
      <c r="G63" s="376">
        <f>+'B) Reajuste Tarifas y Ocupación'!C67</f>
        <v>0</v>
      </c>
      <c r="H63" s="293">
        <f>+'B) Reajuste Tarifas y Ocupación'!D67</f>
        <v>14600</v>
      </c>
      <c r="I63" s="293">
        <f>+'B) Reajuste Tarifas y Ocupación'!E67</f>
        <v>16100</v>
      </c>
      <c r="J63" s="377">
        <f>+'B) Reajuste Tarifas y Ocupación'!F67</f>
        <v>18200</v>
      </c>
      <c r="K63" s="430"/>
      <c r="L63" s="176">
        <f t="shared" si="0"/>
        <v>700</v>
      </c>
      <c r="M63" s="176">
        <f t="shared" si="0"/>
        <v>800</v>
      </c>
      <c r="N63" s="177">
        <f t="shared" si="0"/>
        <v>900</v>
      </c>
      <c r="O63" s="178">
        <f t="shared" si="1"/>
        <v>4.4999999999999998E-2</v>
      </c>
      <c r="P63" s="179">
        <f>+'B) Reajuste Tarifas y Ocupación'!G67</f>
        <v>4.4999999999999998E-2</v>
      </c>
      <c r="Q63" s="179">
        <f>+'B) Reajuste Tarifas y Ocupación'!H67</f>
        <v>4.4999999999999998E-2</v>
      </c>
      <c r="R63" s="180">
        <f>+'B) Reajuste Tarifas y Ocupación'!I67</f>
        <v>4.4999999999999998E-2</v>
      </c>
    </row>
    <row r="64" spans="1:19" x14ac:dyDescent="0.35">
      <c r="A64" s="2806"/>
      <c r="B64" s="170" t="str">
        <f>+'B) Reajuste Tarifas y Ocupación'!B68</f>
        <v>Cabaña</v>
      </c>
      <c r="C64" s="361">
        <f>+'B) Reajuste Tarifas y Ocupación'!J68</f>
        <v>54600</v>
      </c>
      <c r="D64" s="292">
        <f>+'B) Reajuste Tarifas y Ocupación'!K68</f>
        <v>84000</v>
      </c>
      <c r="E64" s="292">
        <f>+'B) Reajuste Tarifas y Ocupación'!L68</f>
        <v>92300</v>
      </c>
      <c r="F64" s="366">
        <f>+'B) Reajuste Tarifas y Ocupación'!M68</f>
        <v>104700</v>
      </c>
      <c r="G64" s="376">
        <f>+'B) Reajuste Tarifas y Ocupación'!C68</f>
        <v>52200</v>
      </c>
      <c r="H64" s="293">
        <f>+'B) Reajuste Tarifas y Ocupación'!D68</f>
        <v>80300</v>
      </c>
      <c r="I64" s="293">
        <f>+'B) Reajuste Tarifas y Ocupación'!E68</f>
        <v>88300</v>
      </c>
      <c r="J64" s="377">
        <f>+'B) Reajuste Tarifas y Ocupación'!F68</f>
        <v>100100</v>
      </c>
      <c r="K64" s="175">
        <f t="shared" si="0"/>
        <v>2400</v>
      </c>
      <c r="L64" s="176">
        <f t="shared" si="0"/>
        <v>3700</v>
      </c>
      <c r="M64" s="176">
        <f t="shared" si="0"/>
        <v>4000</v>
      </c>
      <c r="N64" s="177">
        <f t="shared" si="0"/>
        <v>4600</v>
      </c>
      <c r="O64" s="178">
        <f t="shared" si="1"/>
        <v>4.4999999999999998E-2</v>
      </c>
      <c r="P64" s="179">
        <f>+'B) Reajuste Tarifas y Ocupación'!G68</f>
        <v>4.4999999999999998E-2</v>
      </c>
      <c r="Q64" s="179">
        <f>+'B) Reajuste Tarifas y Ocupación'!H68</f>
        <v>4.4999999999999998E-2</v>
      </c>
      <c r="R64" s="180">
        <f>+'B) Reajuste Tarifas y Ocupación'!I68</f>
        <v>4.4999999999999998E-2</v>
      </c>
      <c r="S64" s="306"/>
    </row>
    <row r="65" spans="1:19" x14ac:dyDescent="0.35">
      <c r="A65" s="2806"/>
      <c r="B65" s="181" t="str">
        <f>+'B) Reajuste Tarifas y Ocupación'!B69</f>
        <v>Uso por tránsito/ Early check-in/Late check-out</v>
      </c>
      <c r="C65" s="363"/>
      <c r="D65" s="358"/>
      <c r="E65" s="358"/>
      <c r="F65" s="367"/>
      <c r="G65" s="378"/>
      <c r="H65" s="372"/>
      <c r="I65" s="372"/>
      <c r="J65" s="379"/>
      <c r="K65" s="188"/>
      <c r="L65" s="189"/>
      <c r="M65" s="189"/>
      <c r="N65" s="190"/>
      <c r="O65" s="191"/>
      <c r="P65" s="192"/>
      <c r="Q65" s="192"/>
      <c r="R65" s="193"/>
    </row>
    <row r="66" spans="1:19" ht="15" thickBot="1" x14ac:dyDescent="0.4">
      <c r="A66" s="2807"/>
      <c r="B66" s="195" t="str">
        <f>+'B) Reajuste Tarifas y Ocupación'!B70</f>
        <v>Cabaña</v>
      </c>
      <c r="C66" s="196"/>
      <c r="D66" s="197">
        <f>+'B) Reajuste Tarifas y Ocupación'!K70</f>
        <v>25200</v>
      </c>
      <c r="E66" s="197">
        <f>+'B) Reajuste Tarifas y Ocupación'!L70</f>
        <v>27700</v>
      </c>
      <c r="F66" s="368">
        <f>+'B) Reajuste Tarifas y Ocupación'!M70</f>
        <v>31500</v>
      </c>
      <c r="G66" s="380"/>
      <c r="H66" s="381">
        <f>+'B) Reajuste Tarifas y Ocupación'!D70</f>
        <v>24100</v>
      </c>
      <c r="I66" s="381">
        <f>+'B) Reajuste Tarifas y Ocupación'!E70</f>
        <v>26500</v>
      </c>
      <c r="J66" s="382">
        <f>+'B) Reajuste Tarifas y Ocupación'!F70</f>
        <v>30100</v>
      </c>
      <c r="K66" s="199"/>
      <c r="L66" s="200">
        <f t="shared" si="0"/>
        <v>1100</v>
      </c>
      <c r="M66" s="200">
        <f t="shared" si="0"/>
        <v>1200</v>
      </c>
      <c r="N66" s="201">
        <f t="shared" si="0"/>
        <v>1400</v>
      </c>
      <c r="O66" s="202"/>
      <c r="P66" s="203"/>
      <c r="Q66" s="203"/>
      <c r="R66" s="204"/>
    </row>
    <row r="67" spans="1:19" x14ac:dyDescent="0.35">
      <c r="A67" s="2806" t="str">
        <f>+'B) Reajuste Tarifas y Ocupación'!A71</f>
        <v>Piscina C.R. Ralunco</v>
      </c>
      <c r="B67" s="205" t="str">
        <f>+'B) Reajuste Tarifas y Ocupación'!B71</f>
        <v>Piscina adulto</v>
      </c>
      <c r="C67" s="424"/>
      <c r="D67" s="360">
        <f>+'B) Reajuste Tarifas y Ocupación'!K71</f>
        <v>0</v>
      </c>
      <c r="E67" s="360">
        <f>+'B) Reajuste Tarifas y Ocupación'!L71</f>
        <v>0</v>
      </c>
      <c r="F67" s="227">
        <f>+'B) Reajuste Tarifas y Ocupación'!M71</f>
        <v>0</v>
      </c>
      <c r="G67" s="425"/>
      <c r="H67" s="374">
        <f>+'B) Reajuste Tarifas y Ocupación'!D71</f>
        <v>0</v>
      </c>
      <c r="I67" s="374">
        <f>+'B) Reajuste Tarifas y Ocupación'!E71</f>
        <v>0</v>
      </c>
      <c r="J67" s="375">
        <f>+'B) Reajuste Tarifas y Ocupación'!F71</f>
        <v>0</v>
      </c>
      <c r="K67" s="215"/>
      <c r="L67" s="398">
        <f t="shared" si="0"/>
        <v>0</v>
      </c>
      <c r="M67" s="398">
        <f t="shared" si="0"/>
        <v>0</v>
      </c>
      <c r="N67" s="399">
        <f t="shared" si="0"/>
        <v>0</v>
      </c>
      <c r="O67" s="422"/>
      <c r="P67" s="386">
        <f>+'B) Reajuste Tarifas y Ocupación'!G71</f>
        <v>0</v>
      </c>
      <c r="Q67" s="386">
        <f>+'B) Reajuste Tarifas y Ocupación'!H71</f>
        <v>0</v>
      </c>
      <c r="R67" s="387">
        <f>+'B) Reajuste Tarifas y Ocupación'!I71</f>
        <v>0</v>
      </c>
    </row>
    <row r="68" spans="1:19" ht="15" thickBot="1" x14ac:dyDescent="0.4">
      <c r="A68" s="2806"/>
      <c r="B68" s="437" t="str">
        <f>+'B) Reajuste Tarifas y Ocupación'!B72</f>
        <v>Piscina niño</v>
      </c>
      <c r="C68" s="410"/>
      <c r="D68" s="226">
        <f>+'B) Reajuste Tarifas y Ocupación'!K72</f>
        <v>0</v>
      </c>
      <c r="E68" s="226">
        <f>+'B) Reajuste Tarifas y Ocupación'!L72</f>
        <v>0</v>
      </c>
      <c r="F68" s="228">
        <f>+'B) Reajuste Tarifas y Ocupación'!M72</f>
        <v>0</v>
      </c>
      <c r="G68" s="213"/>
      <c r="H68" s="381">
        <f>+'B) Reajuste Tarifas y Ocupación'!D72</f>
        <v>0</v>
      </c>
      <c r="I68" s="381">
        <f>+'B) Reajuste Tarifas y Ocupación'!E72</f>
        <v>0</v>
      </c>
      <c r="J68" s="382">
        <f>+'B) Reajuste Tarifas y Ocupación'!F72</f>
        <v>0</v>
      </c>
      <c r="K68" s="406"/>
      <c r="L68" s="200">
        <f t="shared" si="0"/>
        <v>0</v>
      </c>
      <c r="M68" s="200">
        <f t="shared" si="0"/>
        <v>0</v>
      </c>
      <c r="N68" s="407">
        <f t="shared" si="0"/>
        <v>0</v>
      </c>
      <c r="O68" s="202"/>
      <c r="P68" s="435">
        <f>+'B) Reajuste Tarifas y Ocupación'!G72</f>
        <v>0</v>
      </c>
      <c r="Q68" s="435">
        <f>+'B) Reajuste Tarifas y Ocupación'!H72</f>
        <v>0</v>
      </c>
      <c r="R68" s="436">
        <f>+'B) Reajuste Tarifas y Ocupación'!I72</f>
        <v>0</v>
      </c>
    </row>
    <row r="69" spans="1:19" x14ac:dyDescent="0.35">
      <c r="A69" s="2805" t="str">
        <f>+'B) Reajuste Tarifas y Ocupación'!A73</f>
        <v>C. H. Las Salinas</v>
      </c>
      <c r="B69" s="351" t="str">
        <f>+'B) Reajuste Tarifas y Ocupación'!B73</f>
        <v>Simple</v>
      </c>
      <c r="C69" s="438">
        <f>+'B) Reajuste Tarifas y Ocupación'!J73</f>
        <v>27000</v>
      </c>
      <c r="D69" s="439">
        <f>+'B) Reajuste Tarifas y Ocupación'!K73</f>
        <v>41500</v>
      </c>
      <c r="E69" s="360">
        <f>+'B) Reajuste Tarifas y Ocupación'!L73</f>
        <v>45700</v>
      </c>
      <c r="F69" s="227">
        <f>+'B) Reajuste Tarifas y Ocupación'!M73</f>
        <v>51800</v>
      </c>
      <c r="G69" s="440">
        <f>+'B) Reajuste Tarifas y Ocupación'!C73</f>
        <v>25900</v>
      </c>
      <c r="H69" s="374">
        <f>+'B) Reajuste Tarifas y Ocupación'!D73</f>
        <v>39700</v>
      </c>
      <c r="I69" s="374">
        <f>+'B) Reajuste Tarifas y Ocupación'!E73</f>
        <v>43700</v>
      </c>
      <c r="J69" s="375">
        <f>+'B) Reajuste Tarifas y Ocupación'!F73</f>
        <v>49500</v>
      </c>
      <c r="K69" s="167">
        <f t="shared" si="0"/>
        <v>1100</v>
      </c>
      <c r="L69" s="398">
        <f t="shared" si="0"/>
        <v>1800</v>
      </c>
      <c r="M69" s="398">
        <f t="shared" si="0"/>
        <v>2000</v>
      </c>
      <c r="N69" s="399">
        <f t="shared" si="0"/>
        <v>2300</v>
      </c>
      <c r="O69" s="385">
        <f t="shared" si="1"/>
        <v>4.4999999999999998E-2</v>
      </c>
      <c r="P69" s="386">
        <f>+'B) Reajuste Tarifas y Ocupación'!G73</f>
        <v>4.4999999999999998E-2</v>
      </c>
      <c r="Q69" s="386">
        <f>+'B) Reajuste Tarifas y Ocupación'!H73</f>
        <v>4.4999999999999998E-2</v>
      </c>
      <c r="R69" s="387">
        <f>+'B) Reajuste Tarifas y Ocupación'!I73</f>
        <v>4.4999999999999998E-2</v>
      </c>
    </row>
    <row r="70" spans="1:19" x14ac:dyDescent="0.35">
      <c r="A70" s="2806"/>
      <c r="B70" s="408" t="str">
        <f>+'B) Reajuste Tarifas y Ocupación'!B74</f>
        <v>Matrimonial o Doble</v>
      </c>
      <c r="C70" s="361">
        <f>+'B) Reajuste Tarifas y Ocupación'!J74</f>
        <v>34700</v>
      </c>
      <c r="D70" s="292">
        <f>+'B) Reajuste Tarifas y Ocupación'!K74</f>
        <v>53300</v>
      </c>
      <c r="E70" s="292">
        <f>+'B) Reajuste Tarifas y Ocupación'!L74</f>
        <v>58700</v>
      </c>
      <c r="F70" s="362">
        <f>+'B) Reajuste Tarifas y Ocupación'!M74</f>
        <v>66400</v>
      </c>
      <c r="G70" s="376">
        <f>+'B) Reajuste Tarifas y Ocupación'!C74</f>
        <v>33200</v>
      </c>
      <c r="H70" s="293">
        <f>+'B) Reajuste Tarifas y Ocupación'!D74</f>
        <v>51000</v>
      </c>
      <c r="I70" s="293">
        <f>+'B) Reajuste Tarifas y Ocupación'!E74</f>
        <v>56100</v>
      </c>
      <c r="J70" s="377">
        <f>+'B) Reajuste Tarifas y Ocupación'!F74</f>
        <v>63500</v>
      </c>
      <c r="K70" s="400">
        <f t="shared" si="0"/>
        <v>1500</v>
      </c>
      <c r="L70" s="401">
        <f t="shared" si="0"/>
        <v>2300</v>
      </c>
      <c r="M70" s="401">
        <f t="shared" si="0"/>
        <v>2600</v>
      </c>
      <c r="N70" s="402">
        <f t="shared" si="0"/>
        <v>2900</v>
      </c>
      <c r="O70" s="388">
        <f t="shared" si="1"/>
        <v>4.4999999999999998E-2</v>
      </c>
      <c r="P70" s="396">
        <f>+'B) Reajuste Tarifas y Ocupación'!G74</f>
        <v>4.4999999999999998E-2</v>
      </c>
      <c r="Q70" s="396">
        <f>+'B) Reajuste Tarifas y Ocupación'!H74</f>
        <v>4.4999999999999998E-2</v>
      </c>
      <c r="R70" s="397">
        <f>+'B) Reajuste Tarifas y Ocupación'!I74</f>
        <v>4.4999999999999998E-2</v>
      </c>
      <c r="S70" s="306"/>
    </row>
    <row r="71" spans="1:19" x14ac:dyDescent="0.35">
      <c r="A71" s="2806"/>
      <c r="B71" s="205" t="str">
        <f>'B) Reajuste Tarifas y Ocupación'!B75</f>
        <v>Simple (BLANCA ESTELA)</v>
      </c>
      <c r="C71" s="815"/>
      <c r="D71" s="781">
        <f>'B) Reajuste Tarifas y Ocupación'!K75</f>
        <v>7200</v>
      </c>
      <c r="E71" s="789"/>
      <c r="F71" s="816"/>
      <c r="G71" s="817"/>
      <c r="H71" s="783">
        <f>'B) Reajuste Tarifas y Ocupación'!D75</f>
        <v>6800</v>
      </c>
      <c r="I71" s="818"/>
      <c r="J71" s="819"/>
      <c r="K71" s="820"/>
      <c r="L71" s="401">
        <f t="shared" si="0"/>
        <v>400</v>
      </c>
      <c r="M71" s="791"/>
      <c r="N71" s="792"/>
      <c r="O71" s="798"/>
      <c r="P71" s="396">
        <f>+'B) Reajuste Tarifas y Ocupación'!G75</f>
        <v>4.4999999999999998E-2</v>
      </c>
      <c r="Q71" s="821"/>
      <c r="R71" s="822"/>
      <c r="S71" s="306"/>
    </row>
    <row r="72" spans="1:19" x14ac:dyDescent="0.35">
      <c r="A72" s="2806"/>
      <c r="B72" s="205" t="str">
        <f>'B) Reajuste Tarifas y Ocupación'!B76</f>
        <v>Matrimonial o Doble (BLANCA ESTELA)</v>
      </c>
      <c r="C72" s="815"/>
      <c r="D72" s="781">
        <f>'B) Reajuste Tarifas y Ocupación'!K76</f>
        <v>14200</v>
      </c>
      <c r="E72" s="789"/>
      <c r="F72" s="816"/>
      <c r="G72" s="817"/>
      <c r="H72" s="783">
        <f>'B) Reajuste Tarifas y Ocupación'!D76</f>
        <v>13500</v>
      </c>
      <c r="I72" s="818"/>
      <c r="J72" s="819"/>
      <c r="K72" s="820"/>
      <c r="L72" s="401">
        <f t="shared" si="0"/>
        <v>700</v>
      </c>
      <c r="M72" s="791"/>
      <c r="N72" s="792"/>
      <c r="O72" s="798"/>
      <c r="P72" s="396">
        <f>+'B) Reajuste Tarifas y Ocupación'!G76</f>
        <v>4.4999999999999998E-2</v>
      </c>
      <c r="Q72" s="821"/>
      <c r="R72" s="822"/>
      <c r="S72" s="306"/>
    </row>
    <row r="73" spans="1:19" x14ac:dyDescent="0.35">
      <c r="A73" s="2806"/>
      <c r="B73" s="353" t="str">
        <f>+'B) Reajuste Tarifas y Ocupación'!B77</f>
        <v>Uso por tránsito/ Early check-in/Late check-out</v>
      </c>
      <c r="C73" s="363"/>
      <c r="D73" s="358"/>
      <c r="E73" s="358"/>
      <c r="F73" s="364"/>
      <c r="G73" s="378"/>
      <c r="H73" s="372"/>
      <c r="I73" s="372"/>
      <c r="J73" s="379"/>
      <c r="K73" s="403"/>
      <c r="L73" s="404"/>
      <c r="M73" s="404"/>
      <c r="N73" s="405"/>
      <c r="O73" s="390"/>
      <c r="P73" s="384"/>
      <c r="Q73" s="384"/>
      <c r="R73" s="391"/>
    </row>
    <row r="74" spans="1:19" x14ac:dyDescent="0.35">
      <c r="A74" s="2806"/>
      <c r="B74" s="354" t="str">
        <f>+'B) Reajuste Tarifas y Ocupación'!B78</f>
        <v>Simple</v>
      </c>
      <c r="C74" s="363"/>
      <c r="D74" s="292">
        <f>+'B) Reajuste Tarifas y Ocupación'!K78</f>
        <v>12500</v>
      </c>
      <c r="E74" s="292">
        <f>+'B) Reajuste Tarifas y Ocupación'!L78</f>
        <v>13800</v>
      </c>
      <c r="F74" s="362">
        <f>+'B) Reajuste Tarifas y Ocupación'!M78</f>
        <v>15600</v>
      </c>
      <c r="G74" s="378"/>
      <c r="H74" s="293">
        <f>+'B) Reajuste Tarifas y Ocupación'!D78</f>
        <v>12000</v>
      </c>
      <c r="I74" s="293">
        <f>+'B) Reajuste Tarifas y Ocupación'!E78</f>
        <v>13200</v>
      </c>
      <c r="J74" s="377">
        <f>+'B) Reajuste Tarifas y Ocupación'!F78</f>
        <v>14900</v>
      </c>
      <c r="K74" s="403"/>
      <c r="L74" s="401">
        <f t="shared" si="0"/>
        <v>500</v>
      </c>
      <c r="M74" s="401">
        <f t="shared" si="0"/>
        <v>600</v>
      </c>
      <c r="N74" s="402">
        <f t="shared" si="0"/>
        <v>700</v>
      </c>
      <c r="O74" s="390"/>
      <c r="P74" s="384"/>
      <c r="Q74" s="384"/>
      <c r="R74" s="391"/>
    </row>
    <row r="75" spans="1:19" ht="15" thickBot="1" x14ac:dyDescent="0.4">
      <c r="A75" s="2807"/>
      <c r="B75" s="195" t="str">
        <f>+'B) Reajuste Tarifas y Ocupación'!B79</f>
        <v>Matrimonial o Doble</v>
      </c>
      <c r="C75" s="196"/>
      <c r="D75" s="197">
        <f>+'B) Reajuste Tarifas y Ocupación'!K79</f>
        <v>16000</v>
      </c>
      <c r="E75" s="197">
        <f>+'B) Reajuste Tarifas y Ocupación'!L79</f>
        <v>17700</v>
      </c>
      <c r="F75" s="198">
        <f>+'B) Reajuste Tarifas y Ocupación'!M79</f>
        <v>20000</v>
      </c>
      <c r="G75" s="380"/>
      <c r="H75" s="381">
        <f>+'B) Reajuste Tarifas y Ocupación'!D79</f>
        <v>15300</v>
      </c>
      <c r="I75" s="381">
        <f>+'B) Reajuste Tarifas y Ocupación'!E79</f>
        <v>16900</v>
      </c>
      <c r="J75" s="382">
        <f>+'B) Reajuste Tarifas y Ocupación'!F79</f>
        <v>19100</v>
      </c>
      <c r="K75" s="406"/>
      <c r="L75" s="200">
        <f t="shared" si="0"/>
        <v>700</v>
      </c>
      <c r="M75" s="200">
        <f t="shared" si="0"/>
        <v>800</v>
      </c>
      <c r="N75" s="407">
        <f t="shared" si="0"/>
        <v>900</v>
      </c>
      <c r="O75" s="202"/>
      <c r="P75" s="203"/>
      <c r="Q75" s="203"/>
      <c r="R75" s="204"/>
    </row>
    <row r="76" spans="1:19" x14ac:dyDescent="0.35">
      <c r="A76" s="2806" t="str">
        <f>+'B) Reajuste Tarifas y Ocupación'!A80</f>
        <v>Cabanas Papudo</v>
      </c>
      <c r="B76" s="408" t="str">
        <f>+'B) Reajuste Tarifas y Ocupación'!B80</f>
        <v>Cabaña Chica</v>
      </c>
      <c r="C76" s="355">
        <f>+'B) Reajuste Tarifas y Ocupación'!J80</f>
        <v>61400</v>
      </c>
      <c r="D76" s="356">
        <f>+'B) Reajuste Tarifas y Ocupación'!K80</f>
        <v>94400</v>
      </c>
      <c r="E76" s="356">
        <f>+'B) Reajuste Tarifas y Ocupación'!L80</f>
        <v>103900</v>
      </c>
      <c r="F76" s="357">
        <f>+'B) Reajuste Tarifas y Ocupación'!M80</f>
        <v>117700</v>
      </c>
      <c r="G76" s="369">
        <f>+'B) Reajuste Tarifas y Ocupación'!C80</f>
        <v>58700</v>
      </c>
      <c r="H76" s="370">
        <f>+'B) Reajuste Tarifas y Ocupación'!D80</f>
        <v>90300</v>
      </c>
      <c r="I76" s="370">
        <f>+'B) Reajuste Tarifas y Ocupación'!E80</f>
        <v>99400</v>
      </c>
      <c r="J76" s="371">
        <f>+'B) Reajuste Tarifas y Ocupación'!F80</f>
        <v>112600</v>
      </c>
      <c r="K76" s="392">
        <f t="shared" si="0"/>
        <v>2700</v>
      </c>
      <c r="L76" s="393">
        <f t="shared" si="0"/>
        <v>4100</v>
      </c>
      <c r="M76" s="393">
        <f t="shared" si="0"/>
        <v>4500</v>
      </c>
      <c r="N76" s="394">
        <f t="shared" si="0"/>
        <v>5100</v>
      </c>
      <c r="O76" s="395">
        <f t="shared" si="1"/>
        <v>4.4999999999999998E-2</v>
      </c>
      <c r="P76" s="396">
        <f>+'B) Reajuste Tarifas y Ocupación'!G80</f>
        <v>4.4999999999999998E-2</v>
      </c>
      <c r="Q76" s="396">
        <f>+'B) Reajuste Tarifas y Ocupación'!H80</f>
        <v>4.4999999999999998E-2</v>
      </c>
      <c r="R76" s="397">
        <f>+'B) Reajuste Tarifas y Ocupación'!I80</f>
        <v>4.4999999999999998E-2</v>
      </c>
    </row>
    <row r="77" spans="1:19" x14ac:dyDescent="0.35">
      <c r="A77" s="2806"/>
      <c r="B77" s="205" t="str">
        <f>+'B) Reajuste Tarifas y Ocupación'!B81</f>
        <v>Cabaña Grande</v>
      </c>
      <c r="C77" s="206">
        <f>+'B) Reajuste Tarifas y Ocupación'!J81</f>
        <v>67600</v>
      </c>
      <c r="D77" s="171">
        <f>+'B) Reajuste Tarifas y Ocupación'!K81</f>
        <v>104000</v>
      </c>
      <c r="E77" s="171">
        <f>+'B) Reajuste Tarifas y Ocupación'!L81</f>
        <v>114400</v>
      </c>
      <c r="F77" s="172">
        <f>+'B) Reajuste Tarifas y Ocupación'!M81</f>
        <v>129600</v>
      </c>
      <c r="G77" s="207">
        <f>+'B) Reajuste Tarifas y Ocupación'!C81</f>
        <v>64700</v>
      </c>
      <c r="H77" s="173">
        <f>+'B) Reajuste Tarifas y Ocupación'!D81</f>
        <v>99500</v>
      </c>
      <c r="I77" s="173">
        <f>+'B) Reajuste Tarifas y Ocupación'!E81</f>
        <v>109400</v>
      </c>
      <c r="J77" s="174">
        <f>+'B) Reajuste Tarifas y Ocupación'!F81</f>
        <v>124000</v>
      </c>
      <c r="K77" s="175">
        <f t="shared" si="0"/>
        <v>2900</v>
      </c>
      <c r="L77" s="176">
        <f t="shared" si="0"/>
        <v>4500</v>
      </c>
      <c r="M77" s="176">
        <f t="shared" si="0"/>
        <v>5000</v>
      </c>
      <c r="N77" s="177">
        <f t="shared" si="0"/>
        <v>5600</v>
      </c>
      <c r="O77" s="178">
        <f t="shared" si="1"/>
        <v>4.4999999999999998E-2</v>
      </c>
      <c r="P77" s="208">
        <f>+'B) Reajuste Tarifas y Ocupación'!G81</f>
        <v>4.4999999999999998E-2</v>
      </c>
      <c r="Q77" s="208">
        <f>+'B) Reajuste Tarifas y Ocupación'!H81</f>
        <v>4.4999999999999998E-2</v>
      </c>
      <c r="R77" s="209">
        <f>+'B) Reajuste Tarifas y Ocupación'!I81</f>
        <v>4.4999999999999998E-2</v>
      </c>
      <c r="S77" s="306"/>
    </row>
    <row r="78" spans="1:19" x14ac:dyDescent="0.35">
      <c r="A78" s="2806"/>
      <c r="B78" s="205" t="str">
        <f>+'B) Reajuste Tarifas y Ocupación'!B82</f>
        <v>Cabaña Superior</v>
      </c>
      <c r="C78" s="206">
        <f>+'B) Reajuste Tarifas y Ocupación'!J82</f>
        <v>69800</v>
      </c>
      <c r="D78" s="171">
        <f>+'B) Reajuste Tarifas y Ocupación'!K82</f>
        <v>107300</v>
      </c>
      <c r="E78" s="183"/>
      <c r="F78" s="184"/>
      <c r="G78" s="207">
        <f>+'B) Reajuste Tarifas y Ocupación'!C82</f>
        <v>66700</v>
      </c>
      <c r="H78" s="173">
        <f>+'B) Reajuste Tarifas y Ocupación'!D82</f>
        <v>102600</v>
      </c>
      <c r="I78" s="186"/>
      <c r="J78" s="187"/>
      <c r="K78" s="175">
        <f t="shared" si="0"/>
        <v>3100</v>
      </c>
      <c r="L78" s="176">
        <f t="shared" si="0"/>
        <v>4700</v>
      </c>
      <c r="M78" s="189"/>
      <c r="N78" s="190"/>
      <c r="O78" s="178">
        <f t="shared" si="1"/>
        <v>4.4999999999999998E-2</v>
      </c>
      <c r="P78" s="208">
        <f>+'B) Reajuste Tarifas y Ocupación'!G82</f>
        <v>4.4999999999999998E-2</v>
      </c>
      <c r="Q78" s="208">
        <f>+'B) Reajuste Tarifas y Ocupación'!H82</f>
        <v>4.4999999999999998E-2</v>
      </c>
      <c r="R78" s="209">
        <f>+'B) Reajuste Tarifas y Ocupación'!I82</f>
        <v>4.4999999999999998E-2</v>
      </c>
    </row>
    <row r="79" spans="1:19" x14ac:dyDescent="0.35">
      <c r="A79" s="2806"/>
      <c r="B79" s="181" t="str">
        <f>+'B) Reajuste Tarifas y Ocupación'!B83</f>
        <v>Uso por tránsito/ Early check-in/Late check-out</v>
      </c>
      <c r="C79" s="182"/>
      <c r="D79" s="183"/>
      <c r="E79" s="183"/>
      <c r="F79" s="184"/>
      <c r="G79" s="185"/>
      <c r="H79" s="186"/>
      <c r="I79" s="186"/>
      <c r="J79" s="187"/>
      <c r="K79" s="188"/>
      <c r="L79" s="189"/>
      <c r="M79" s="189"/>
      <c r="N79" s="190"/>
      <c r="O79" s="191"/>
      <c r="P79" s="192"/>
      <c r="Q79" s="192"/>
      <c r="R79" s="193"/>
    </row>
    <row r="80" spans="1:19" x14ac:dyDescent="0.35">
      <c r="A80" s="2806"/>
      <c r="B80" s="194" t="str">
        <f>+'B) Reajuste Tarifas y Ocupación'!B84</f>
        <v>Cabaña Chica</v>
      </c>
      <c r="C80" s="182"/>
      <c r="D80" s="171">
        <f>+'B) Reajuste Tarifas y Ocupación'!K84</f>
        <v>28400</v>
      </c>
      <c r="E80" s="171">
        <f>+'B) Reajuste Tarifas y Ocupación'!L84</f>
        <v>31200</v>
      </c>
      <c r="F80" s="172">
        <f>+'B) Reajuste Tarifas y Ocupación'!M84</f>
        <v>35400</v>
      </c>
      <c r="G80" s="185"/>
      <c r="H80" s="173">
        <f>+'B) Reajuste Tarifas y Ocupación'!D84</f>
        <v>27100</v>
      </c>
      <c r="I80" s="173">
        <f>+'B) Reajuste Tarifas y Ocupación'!E84</f>
        <v>29900</v>
      </c>
      <c r="J80" s="174">
        <f>+'B) Reajuste Tarifas y Ocupación'!F84</f>
        <v>33800</v>
      </c>
      <c r="K80" s="188"/>
      <c r="L80" s="176">
        <f t="shared" ref="L80:N90" si="5">D80-H80</f>
        <v>1300</v>
      </c>
      <c r="M80" s="176">
        <f t="shared" si="5"/>
        <v>1300</v>
      </c>
      <c r="N80" s="177">
        <f t="shared" si="5"/>
        <v>1600</v>
      </c>
      <c r="O80" s="191"/>
      <c r="P80" s="192"/>
      <c r="Q80" s="192"/>
      <c r="R80" s="193"/>
    </row>
    <row r="81" spans="1:18" x14ac:dyDescent="0.35">
      <c r="A81" s="2806"/>
      <c r="B81" s="194" t="str">
        <f>+'B) Reajuste Tarifas y Ocupación'!B85</f>
        <v>Cabaña Grande</v>
      </c>
      <c r="C81" s="182"/>
      <c r="D81" s="171">
        <f>+'B) Reajuste Tarifas y Ocupación'!K85</f>
        <v>31200</v>
      </c>
      <c r="E81" s="171">
        <f>+'B) Reajuste Tarifas y Ocupación'!L85</f>
        <v>34400</v>
      </c>
      <c r="F81" s="172">
        <f>+'B) Reajuste Tarifas y Ocupación'!M85</f>
        <v>38900</v>
      </c>
      <c r="G81" s="185"/>
      <c r="H81" s="173">
        <f>+'B) Reajuste Tarifas y Ocupación'!D85</f>
        <v>29900</v>
      </c>
      <c r="I81" s="173">
        <f>+'B) Reajuste Tarifas y Ocupación'!E85</f>
        <v>32900</v>
      </c>
      <c r="J81" s="174">
        <f>+'B) Reajuste Tarifas y Ocupación'!F85</f>
        <v>37200</v>
      </c>
      <c r="K81" s="188"/>
      <c r="L81" s="176">
        <f t="shared" si="5"/>
        <v>1300</v>
      </c>
      <c r="M81" s="176">
        <f t="shared" si="5"/>
        <v>1500</v>
      </c>
      <c r="N81" s="177">
        <f t="shared" si="5"/>
        <v>1700</v>
      </c>
      <c r="O81" s="191"/>
      <c r="P81" s="192"/>
      <c r="Q81" s="192"/>
      <c r="R81" s="193"/>
    </row>
    <row r="82" spans="1:18" x14ac:dyDescent="0.35">
      <c r="A82" s="2806"/>
      <c r="B82" s="194" t="str">
        <f>+'B) Reajuste Tarifas y Ocupación'!B86</f>
        <v>Cabaña Superior</v>
      </c>
      <c r="C82" s="182"/>
      <c r="D82" s="171">
        <f>+'B) Reajuste Tarifas y Ocupación'!K86</f>
        <v>32200</v>
      </c>
      <c r="E82" s="183"/>
      <c r="F82" s="184"/>
      <c r="G82" s="185"/>
      <c r="H82" s="173">
        <f>+'B) Reajuste Tarifas y Ocupación'!D86</f>
        <v>30800</v>
      </c>
      <c r="I82" s="186"/>
      <c r="J82" s="187"/>
      <c r="K82" s="188"/>
      <c r="L82" s="176">
        <f t="shared" si="5"/>
        <v>1400</v>
      </c>
      <c r="M82" s="189"/>
      <c r="N82" s="190"/>
      <c r="O82" s="191"/>
      <c r="P82" s="192"/>
      <c r="Q82" s="192"/>
      <c r="R82" s="193"/>
    </row>
    <row r="83" spans="1:18" ht="15" thickBot="1" x14ac:dyDescent="0.4">
      <c r="A83" s="2806"/>
      <c r="B83" s="214" t="str">
        <f>+'B) Reajuste Tarifas y Ocupación'!B87</f>
        <v>Persona adicional</v>
      </c>
      <c r="C83" s="446">
        <f>+'B) Reajuste Tarifas y Ocupación'!J87</f>
        <v>7300</v>
      </c>
      <c r="D83" s="226">
        <f>+'B) Reajuste Tarifas y Ocupación'!K87</f>
        <v>11200</v>
      </c>
      <c r="E83" s="226">
        <f>+'B) Reajuste Tarifas y Ocupación'!L87</f>
        <v>12300</v>
      </c>
      <c r="F83" s="228">
        <f>+'B) Reajuste Tarifas y Ocupación'!M87</f>
        <v>13900</v>
      </c>
      <c r="G83" s="216">
        <f>+'B) Reajuste Tarifas y Ocupación'!C87</f>
        <v>7000</v>
      </c>
      <c r="H83" s="413">
        <f>+'B) Reajuste Tarifas y Ocupación'!D87</f>
        <v>10700</v>
      </c>
      <c r="I83" s="413">
        <f>+'B) Reajuste Tarifas y Ocupación'!E87</f>
        <v>11700</v>
      </c>
      <c r="J83" s="414">
        <f>+'B) Reajuste Tarifas y Ocupación'!F87</f>
        <v>13300</v>
      </c>
      <c r="K83" s="217">
        <f t="shared" ref="K83" si="6">C83-G83</f>
        <v>300</v>
      </c>
      <c r="L83" s="426">
        <f t="shared" si="5"/>
        <v>500</v>
      </c>
      <c r="M83" s="426">
        <f t="shared" si="5"/>
        <v>600</v>
      </c>
      <c r="N83" s="212">
        <f t="shared" si="5"/>
        <v>600</v>
      </c>
      <c r="O83" s="441">
        <f t="shared" ref="O83" si="7">+P83</f>
        <v>4.4999999999999998E-2</v>
      </c>
      <c r="P83" s="420">
        <f>+'B) Reajuste Tarifas y Ocupación'!G87</f>
        <v>4.4999999999999998E-2</v>
      </c>
      <c r="Q83" s="420">
        <f>+'B) Reajuste Tarifas y Ocupación'!H87</f>
        <v>4.4999999999999998E-2</v>
      </c>
      <c r="R83" s="421">
        <f>+'B) Reajuste Tarifas y Ocupación'!I87</f>
        <v>4.4999999999999998E-2</v>
      </c>
    </row>
    <row r="84" spans="1:18" x14ac:dyDescent="0.35">
      <c r="A84" s="2805" t="str">
        <f>+'B) Reajuste Tarifas y Ocupación'!A88</f>
        <v>Residencia Universitaria Recreo</v>
      </c>
      <c r="B84" s="447" t="str">
        <f>+'B) Reajuste Tarifas y Ocupación'!B88</f>
        <v>Simple Recreo</v>
      </c>
      <c r="C84" s="424"/>
      <c r="D84" s="360">
        <f>+'B) Reajuste Tarifas y Ocupación'!K88</f>
        <v>356100</v>
      </c>
      <c r="E84" s="439">
        <f>+'B) Reajuste Tarifas y Ocupación'!L88</f>
        <v>391600</v>
      </c>
      <c r="F84" s="448">
        <f>+'B) Reajuste Tarifas y Ocupación'!M88</f>
        <v>443900</v>
      </c>
      <c r="G84" s="433"/>
      <c r="H84" s="374">
        <f>+'B) Reajuste Tarifas y Ocupación'!D88</f>
        <v>340700</v>
      </c>
      <c r="I84" s="442">
        <f>+'B) Reajuste Tarifas y Ocupación'!E88</f>
        <v>374700</v>
      </c>
      <c r="J84" s="443">
        <f>+'B) Reajuste Tarifas y Ocupación'!F88</f>
        <v>424700</v>
      </c>
      <c r="K84" s="215"/>
      <c r="L84" s="398">
        <f t="shared" si="5"/>
        <v>15400</v>
      </c>
      <c r="M84" s="398">
        <f t="shared" si="5"/>
        <v>16900</v>
      </c>
      <c r="N84" s="399">
        <f t="shared" si="5"/>
        <v>19200</v>
      </c>
      <c r="O84" s="422"/>
      <c r="P84" s="444">
        <f>+'B) Reajuste Tarifas y Ocupación'!G88</f>
        <v>4.4999999999999998E-2</v>
      </c>
      <c r="Q84" s="444">
        <f>+'B) Reajuste Tarifas y Ocupación'!H88</f>
        <v>4.4999999999999998E-2</v>
      </c>
      <c r="R84" s="445">
        <f>+'B) Reajuste Tarifas y Ocupación'!I88</f>
        <v>4.4999999999999998E-2</v>
      </c>
    </row>
    <row r="85" spans="1:18" ht="15" thickBot="1" x14ac:dyDescent="0.4">
      <c r="A85" s="2807"/>
      <c r="B85" s="409" t="str">
        <f>+'B) Reajuste Tarifas y Ocupación'!B89</f>
        <v>Doble Recreo</v>
      </c>
      <c r="C85" s="196"/>
      <c r="D85" s="197">
        <f>+'B) Reajuste Tarifas y Ocupación'!K89</f>
        <v>273900</v>
      </c>
      <c r="E85" s="197">
        <f>+'B) Reajuste Tarifas y Ocupación'!L89</f>
        <v>301300</v>
      </c>
      <c r="F85" s="198">
        <f>+'B) Reajuste Tarifas y Ocupación'!M89</f>
        <v>341600</v>
      </c>
      <c r="G85" s="380"/>
      <c r="H85" s="381">
        <f>+'B) Reajuste Tarifas y Ocupación'!D89</f>
        <v>262100</v>
      </c>
      <c r="I85" s="381">
        <f>+'B) Reajuste Tarifas y Ocupación'!E89</f>
        <v>288300</v>
      </c>
      <c r="J85" s="382">
        <f>+'B) Reajuste Tarifas y Ocupación'!F89</f>
        <v>326800</v>
      </c>
      <c r="K85" s="406"/>
      <c r="L85" s="200">
        <f t="shared" si="5"/>
        <v>11800</v>
      </c>
      <c r="M85" s="200">
        <f t="shared" si="5"/>
        <v>13000</v>
      </c>
      <c r="N85" s="407">
        <f t="shared" si="5"/>
        <v>14800</v>
      </c>
      <c r="O85" s="202"/>
      <c r="P85" s="418">
        <f>+'B) Reajuste Tarifas y Ocupación'!G89</f>
        <v>4.4999999999999998E-2</v>
      </c>
      <c r="Q85" s="418">
        <f>+'B) Reajuste Tarifas y Ocupación'!H89</f>
        <v>4.4999999999999998E-2</v>
      </c>
      <c r="R85" s="419">
        <f>+'B) Reajuste Tarifas y Ocupación'!I89</f>
        <v>4.4999999999999998E-2</v>
      </c>
    </row>
    <row r="86" spans="1:18" x14ac:dyDescent="0.35">
      <c r="A86" s="3143" t="str">
        <f>+'B) Reajuste Tarifas y Ocupación'!A90</f>
        <v>Residencia Universitaria Las Salinas</v>
      </c>
      <c r="B86" s="447" t="str">
        <f>+'B) Reajuste Tarifas y Ocupación'!B90</f>
        <v>Simple Las Salinas</v>
      </c>
      <c r="C86" s="520"/>
      <c r="D86" s="521">
        <f>+'B) Reajuste Tarifas y Ocupación'!K90</f>
        <v>356100</v>
      </c>
      <c r="E86" s="439">
        <f>+'B) Reajuste Tarifas y Ocupación'!L90</f>
        <v>391600</v>
      </c>
      <c r="F86" s="448">
        <f>+'B) Reajuste Tarifas y Ocupación'!M90</f>
        <v>443900</v>
      </c>
      <c r="G86" s="522"/>
      <c r="H86" s="523">
        <f>+'B) Reajuste Tarifas y Ocupación'!D90</f>
        <v>340700</v>
      </c>
      <c r="I86" s="442">
        <f>+'B) Reajuste Tarifas y Ocupación'!E90</f>
        <v>374700</v>
      </c>
      <c r="J86" s="443">
        <f>+'B) Reajuste Tarifas y Ocupación'!F90</f>
        <v>424700</v>
      </c>
      <c r="K86" s="524"/>
      <c r="L86" s="525">
        <f t="shared" si="5"/>
        <v>15400</v>
      </c>
      <c r="M86" s="525">
        <f t="shared" si="5"/>
        <v>16900</v>
      </c>
      <c r="N86" s="526">
        <f t="shared" si="5"/>
        <v>19200</v>
      </c>
      <c r="O86" s="527"/>
      <c r="P86" s="444">
        <f>+'B) Reajuste Tarifas y Ocupación'!G90</f>
        <v>4.4999999999999998E-2</v>
      </c>
      <c r="Q86" s="444">
        <f>+'B) Reajuste Tarifas y Ocupación'!H90</f>
        <v>4.4999999999999998E-2</v>
      </c>
      <c r="R86" s="445">
        <f>+'B) Reajuste Tarifas y Ocupación'!I90</f>
        <v>4.4999999999999998E-2</v>
      </c>
    </row>
    <row r="87" spans="1:18" x14ac:dyDescent="0.35">
      <c r="A87" s="3144"/>
      <c r="B87" s="528" t="str">
        <f>+'B) Reajuste Tarifas y Ocupación'!B91</f>
        <v>Doble Las Salinas</v>
      </c>
      <c r="C87" s="182"/>
      <c r="D87" s="171">
        <f>+'B) Reajuste Tarifas y Ocupación'!K91</f>
        <v>273900</v>
      </c>
      <c r="E87" s="226">
        <f>+'B) Reajuste Tarifas y Ocupación'!L91</f>
        <v>301300</v>
      </c>
      <c r="F87" s="518">
        <f>+'B) Reajuste Tarifas y Ocupación'!M91</f>
        <v>341600</v>
      </c>
      <c r="G87" s="529"/>
      <c r="H87" s="173">
        <f>+'B) Reajuste Tarifas y Ocupación'!D91</f>
        <v>262100</v>
      </c>
      <c r="I87" s="413">
        <f>+'B) Reajuste Tarifas y Ocupación'!E91</f>
        <v>288300</v>
      </c>
      <c r="J87" s="519">
        <f>+'B) Reajuste Tarifas y Ocupación'!F91</f>
        <v>326800</v>
      </c>
      <c r="K87" s="530"/>
      <c r="L87" s="176">
        <f t="shared" si="5"/>
        <v>11800</v>
      </c>
      <c r="M87" s="176">
        <f t="shared" si="5"/>
        <v>13000</v>
      </c>
      <c r="N87" s="531">
        <f t="shared" si="5"/>
        <v>14800</v>
      </c>
      <c r="O87" s="191"/>
      <c r="P87" s="420">
        <f>+'B) Reajuste Tarifas y Ocupación'!G91</f>
        <v>4.4999999999999998E-2</v>
      </c>
      <c r="Q87" s="420">
        <f>+'B) Reajuste Tarifas y Ocupación'!H91</f>
        <v>4.4999999999999998E-2</v>
      </c>
      <c r="R87" s="532">
        <f>+'B) Reajuste Tarifas y Ocupación'!I91</f>
        <v>4.4999999999999998E-2</v>
      </c>
    </row>
    <row r="88" spans="1:18" x14ac:dyDescent="0.35">
      <c r="A88" s="3144"/>
      <c r="B88" s="528" t="str">
        <f>+'B) Reajuste Tarifas y Ocupación'!B92</f>
        <v>Anexo Cabañas Punta Osas</v>
      </c>
      <c r="C88" s="182"/>
      <c r="D88" s="171">
        <f>+'B) Reajuste Tarifas y Ocupación'!K92</f>
        <v>101700</v>
      </c>
      <c r="E88" s="226">
        <f>+'B) Reajuste Tarifas y Ocupación'!L92</f>
        <v>111900</v>
      </c>
      <c r="F88" s="518">
        <f>+'B) Reajuste Tarifas y Ocupación'!M92</f>
        <v>126800</v>
      </c>
      <c r="G88" s="533">
        <f>+'B) Reajuste Tarifas y Ocupación'!C92</f>
        <v>0</v>
      </c>
      <c r="H88" s="173">
        <f>+'B) Reajuste Tarifas y Ocupación'!D92</f>
        <v>97300</v>
      </c>
      <c r="I88" s="413">
        <f>+'B) Reajuste Tarifas y Ocupación'!E92</f>
        <v>107000</v>
      </c>
      <c r="J88" s="519">
        <f>+'B) Reajuste Tarifas y Ocupación'!F92</f>
        <v>121300</v>
      </c>
      <c r="K88" s="530"/>
      <c r="L88" s="176">
        <f t="shared" si="5"/>
        <v>4400</v>
      </c>
      <c r="M88" s="176">
        <f t="shared" si="5"/>
        <v>4900</v>
      </c>
      <c r="N88" s="531">
        <f t="shared" si="5"/>
        <v>5500</v>
      </c>
      <c r="O88" s="191"/>
      <c r="P88" s="420">
        <f>+'B) Reajuste Tarifas y Ocupación'!G92</f>
        <v>4.4999999999999998E-2</v>
      </c>
      <c r="Q88" s="420">
        <f>+'B) Reajuste Tarifas y Ocupación'!H92</f>
        <v>4.4999999999999998E-2</v>
      </c>
      <c r="R88" s="532">
        <f>+'B) Reajuste Tarifas y Ocupación'!I92</f>
        <v>4.4999999999999998E-2</v>
      </c>
    </row>
    <row r="89" spans="1:18" x14ac:dyDescent="0.35">
      <c r="A89" s="3144"/>
      <c r="B89" s="534" t="str">
        <f>+'B) Reajuste Tarifas y Ocupación'!B93</f>
        <v>Uso por tránsito/ Early check-in/Late check-out</v>
      </c>
      <c r="C89" s="182"/>
      <c r="D89" s="183"/>
      <c r="E89" s="183"/>
      <c r="F89" s="184"/>
      <c r="G89" s="529"/>
      <c r="H89" s="186"/>
      <c r="I89" s="186"/>
      <c r="J89" s="187"/>
      <c r="K89" s="530"/>
      <c r="L89" s="189"/>
      <c r="M89" s="189"/>
      <c r="N89" s="535"/>
      <c r="O89" s="191"/>
      <c r="P89" s="192"/>
      <c r="Q89" s="192"/>
      <c r="R89" s="193"/>
    </row>
    <row r="90" spans="1:18" ht="15" thickBot="1" x14ac:dyDescent="0.4">
      <c r="A90" s="3145"/>
      <c r="B90" s="536" t="str">
        <f>+'B) Reajuste Tarifas y Ocupación'!B94</f>
        <v>Anexo Cabañas Punta Osas</v>
      </c>
      <c r="C90" s="537"/>
      <c r="D90" s="452">
        <f>+'B) Reajuste Tarifas y Ocupación'!K94</f>
        <v>30600</v>
      </c>
      <c r="E90" s="452">
        <f>+'B) Reajuste Tarifas y Ocupación'!L94</f>
        <v>33600</v>
      </c>
      <c r="F90" s="453">
        <f>+'B) Reajuste Tarifas y Ocupación'!M94</f>
        <v>38100</v>
      </c>
      <c r="G90" s="538"/>
      <c r="H90" s="511">
        <f>+'B) Reajuste Tarifas y Ocupación'!D94</f>
        <v>97300</v>
      </c>
      <c r="I90" s="511">
        <f>+'B) Reajuste Tarifas y Ocupación'!E94</f>
        <v>107000</v>
      </c>
      <c r="J90" s="512">
        <f>+'B) Reajuste Tarifas y Ocupación'!F94</f>
        <v>121300</v>
      </c>
      <c r="K90" s="211"/>
      <c r="L90" s="426">
        <f t="shared" si="5"/>
        <v>-66700</v>
      </c>
      <c r="M90" s="426">
        <f t="shared" si="5"/>
        <v>-73400</v>
      </c>
      <c r="N90" s="212">
        <f t="shared" si="5"/>
        <v>-83200</v>
      </c>
      <c r="O90" s="539"/>
      <c r="P90" s="416"/>
      <c r="Q90" s="416"/>
      <c r="R90" s="540"/>
    </row>
    <row r="91" spans="1:18" ht="15" customHeight="1" thickBot="1" x14ac:dyDescent="0.4">
      <c r="A91" s="218" t="str">
        <f>'B) Reajuste Tarifas y Ocupación'!A95</f>
        <v>Vista Mar</v>
      </c>
      <c r="B91" s="219" t="str">
        <f>+'B) Reajuste Tarifas y Ocupación'!B95</f>
        <v>Departamento</v>
      </c>
      <c r="C91" s="729"/>
      <c r="D91" s="730">
        <f>+'B) Reajuste Tarifas y Ocupación'!K95</f>
        <v>1523000</v>
      </c>
      <c r="E91" s="730">
        <f>+'B) Reajuste Tarifas y Ocupación'!L95</f>
        <v>1675400</v>
      </c>
      <c r="F91" s="731">
        <f>+'B) Reajuste Tarifas y Ocupación'!M95</f>
        <v>1898700</v>
      </c>
      <c r="G91" s="449">
        <f>+'B) Reajuste Tarifas y Ocupación'!C95</f>
        <v>0</v>
      </c>
      <c r="H91" s="449">
        <f>+'B) Reajuste Tarifas y Ocupación'!D95</f>
        <v>1457400</v>
      </c>
      <c r="I91" s="449">
        <f>+'B) Reajuste Tarifas y Ocupación'!E95</f>
        <v>1603200</v>
      </c>
      <c r="J91" s="450">
        <f>+'B) Reajuste Tarifas y Ocupación'!F95</f>
        <v>1816900</v>
      </c>
      <c r="K91" s="220"/>
      <c r="L91" s="221">
        <f>D91-H91</f>
        <v>65600</v>
      </c>
      <c r="M91" s="221">
        <f t="shared" ref="M91" si="8">E91-I91</f>
        <v>72200</v>
      </c>
      <c r="N91" s="541">
        <f t="shared" ref="N91" si="9">F91-J91</f>
        <v>81800</v>
      </c>
      <c r="O91" s="222"/>
      <c r="P91" s="223">
        <f>+'B) Reajuste Tarifas y Ocupación'!G95</f>
        <v>4.4999999999999998E-2</v>
      </c>
      <c r="Q91" s="223">
        <f>+'B) Reajuste Tarifas y Ocupación'!H95</f>
        <v>4.4999999999999998E-2</v>
      </c>
      <c r="R91" s="224">
        <f>+'B) Reajuste Tarifas y Ocupación'!I95</f>
        <v>4.4999999999999998E-2</v>
      </c>
    </row>
    <row r="92" spans="1:18" ht="16" thickBot="1" x14ac:dyDescent="0.4">
      <c r="A92" s="218" t="str">
        <f>'B) Reajuste Tarifas y Ocupación'!A96</f>
        <v>Cabaña Isla de Pascua</v>
      </c>
      <c r="B92" s="219" t="str">
        <f>+'B) Reajuste Tarifas y Ocupación'!B96</f>
        <v>Cabaña</v>
      </c>
      <c r="C92" s="732">
        <f>'B) Reajuste Tarifas y Ocupación'!J96</f>
        <v>61900</v>
      </c>
      <c r="D92" s="730">
        <f>+'B) Reajuste Tarifas y Ocupación'!K96</f>
        <v>95200</v>
      </c>
      <c r="E92" s="730">
        <f>+'B) Reajuste Tarifas y Ocupación'!L96</f>
        <v>104800</v>
      </c>
      <c r="F92" s="731">
        <f>+'B) Reajuste Tarifas y Ocupación'!M96</f>
        <v>118700</v>
      </c>
      <c r="G92" s="449">
        <f>+'B) Reajuste Tarifas y Ocupación'!C96</f>
        <v>59300</v>
      </c>
      <c r="H92" s="449">
        <f>+'B) Reajuste Tarifas y Ocupación'!D96</f>
        <v>91100</v>
      </c>
      <c r="I92" s="449">
        <f>+'B) Reajuste Tarifas y Ocupación'!E96</f>
        <v>100200</v>
      </c>
      <c r="J92" s="450">
        <f>+'B) Reajuste Tarifas y Ocupación'!F96</f>
        <v>113500</v>
      </c>
      <c r="K92" s="220"/>
      <c r="L92" s="221">
        <f>D92-H92</f>
        <v>4100</v>
      </c>
      <c r="M92" s="221">
        <f t="shared" ref="M92" si="10">E92-I92</f>
        <v>4600</v>
      </c>
      <c r="N92" s="541">
        <f t="shared" ref="N92" si="11">F92-J92</f>
        <v>5200</v>
      </c>
      <c r="O92" s="222"/>
      <c r="P92" s="223">
        <f>+'B) Reajuste Tarifas y Ocupación'!G96</f>
        <v>4.4999999999999998E-2</v>
      </c>
      <c r="Q92" s="223">
        <f>+'B) Reajuste Tarifas y Ocupación'!H96</f>
        <v>4.4999999999999998E-2</v>
      </c>
      <c r="R92" s="224">
        <f>+'B) Reajuste Tarifas y Ocupación'!I96</f>
        <v>4.4999999999999998E-2</v>
      </c>
    </row>
  </sheetData>
  <sheetProtection algorithmName="SHA-512" hashValue="Z9BP5h2iZwLWH+zpO6JvUGXzgSiEgqOjgFmH4ECwMflQaKHFJZmvJ+YPFSgICclJatUwFqO03D+EesuTjZhDyg==" saltValue="OKuIWUhIgnD4mDUQ59PY9A==" spinCount="100000" sheet="1" objects="1" scenarios="1"/>
  <mergeCells count="21">
    <mergeCell ref="A76:A83"/>
    <mergeCell ref="A84:A85"/>
    <mergeCell ref="A86:A90"/>
    <mergeCell ref="A69:A75"/>
    <mergeCell ref="K8:N8"/>
    <mergeCell ref="A45:A46"/>
    <mergeCell ref="A59:A60"/>
    <mergeCell ref="A61:A66"/>
    <mergeCell ref="A67:A68"/>
    <mergeCell ref="A47:A58"/>
    <mergeCell ref="O8:R8"/>
    <mergeCell ref="A10:A19"/>
    <mergeCell ref="A20:A25"/>
    <mergeCell ref="A26:A42"/>
    <mergeCell ref="A43:A44"/>
    <mergeCell ref="F4:G4"/>
    <mergeCell ref="A6:B6"/>
    <mergeCell ref="A8:A9"/>
    <mergeCell ref="B8:B9"/>
    <mergeCell ref="C8:F8"/>
    <mergeCell ref="G8:J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Instructivo</vt:lpstr>
      <vt:lpstr>Índice Tabla</vt:lpstr>
      <vt:lpstr>A) Resumen Ingresos y Egresos</vt:lpstr>
      <vt:lpstr>B) Reajuste Tarifas y Ocupación</vt:lpstr>
      <vt:lpstr>IVA</vt:lpstr>
      <vt:lpstr>% Reajuste</vt:lpstr>
      <vt:lpstr>C) Costos Directos</vt:lpstr>
      <vt:lpstr>D) Costos Indirectos </vt:lpstr>
      <vt:lpstr>E) Resumen Tarifado </vt:lpstr>
      <vt:lpstr>F) Remuneraciones</vt:lpstr>
      <vt:lpstr>G) Comparación Mercado</vt:lpstr>
      <vt:lpstr>I) Costo Desayuno</vt:lpstr>
      <vt:lpstr>H) Detalle Datos</vt:lpstr>
      <vt:lpstr>J)Estructura Economica Mensu.</vt:lpstr>
      <vt:lpstr>MARE NOSTRUM</vt:lpstr>
      <vt:lpstr>CRLM</vt:lpstr>
      <vt:lpstr>PAPUDO</vt:lpstr>
      <vt:lpstr>CPO</vt:lpstr>
      <vt:lpstr>CRLS</vt:lpstr>
      <vt:lpstr>RUR</vt:lpstr>
      <vt:lpstr>VISTAMAR</vt:lpstr>
      <vt:lpstr>RUS</vt:lpstr>
      <vt:lpstr>RALUNCO</vt:lpstr>
      <vt:lpstr>ISLA DE PASCUA</vt:lpstr>
      <vt:lpstr>SEGUROS</vt:lpstr>
      <vt:lpstr>K=</vt:lpstr>
      <vt:lpstr>L)</vt:lpstr>
      <vt:lpstr>'A) Resumen Ingresos y Egresos'!Área_de_impresión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352 Joaquin Rodrigo</dc:creator>
  <cp:lastModifiedBy>Asistencia Recreativa</cp:lastModifiedBy>
  <cp:lastPrinted>2024-10-03T13:32:01Z</cp:lastPrinted>
  <dcterms:created xsi:type="dcterms:W3CDTF">2022-05-03T14:45:25Z</dcterms:created>
  <dcterms:modified xsi:type="dcterms:W3CDTF">2025-11-06T19:50:18Z</dcterms:modified>
</cp:coreProperties>
</file>